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10" activeTab="21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6" r:id="rId5"/>
    <sheet name="Calibration F. prausnitzii" sheetId="25" r:id="rId6"/>
    <sheet name="Determination cell counts RI" sheetId="28" r:id="rId7"/>
    <sheet name="Determination cell count F. p" sheetId="27" r:id="rId8"/>
    <sheet name="Total cell count" sheetId="29" r:id="rId9"/>
    <sheet name="OD600nm" sheetId="4" r:id="rId10"/>
    <sheet name="CDM" sheetId="5" r:id="rId11"/>
    <sheet name="H2" sheetId="17" r:id="rId12"/>
    <sheet name="CO2" sheetId="7" r:id="rId13"/>
    <sheet name="Metabolites" sheetId="8" r:id="rId14"/>
    <sheet name="D-Fructose" sheetId="19" r:id="rId15"/>
    <sheet name="Formic acid" sheetId="18" r:id="rId16"/>
    <sheet name="Acetic acid" sheetId="15" r:id="rId17"/>
    <sheet name="Propionic acid" sheetId="20" r:id="rId18"/>
    <sheet name="Butyric acid" sheetId="21" r:id="rId19"/>
    <sheet name="Lactic acid" sheetId="14" r:id="rId20"/>
    <sheet name="Ethanol" sheetId="16" r:id="rId21"/>
    <sheet name="Graph" sheetId="13" r:id="rId22"/>
    <sheet name="Graph (2)" sheetId="24" r:id="rId23"/>
    <sheet name="Carbon recovery" sheetId="23" r:id="rId24"/>
  </sheets>
  <externalReferences>
    <externalReference r:id="rId25"/>
    <externalReference r:id="rId26"/>
  </externalReferences>
  <definedNames>
    <definedName name="_2012_05_10_FPRAU_fruc1" localSheetId="12">'CO2'!$I$5:$I$293</definedName>
    <definedName name="_2012_06_08_BIF_REC_OLI_1" localSheetId="12">'CO2'!$N$5:$N$201</definedName>
    <definedName name="_2012_06_08_BIF_REC_OLI_1" localSheetId="11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5" i="27" l="1"/>
  <c r="H72" i="27"/>
  <c r="H71" i="27"/>
  <c r="H70" i="27"/>
  <c r="H69" i="27"/>
  <c r="H68" i="27"/>
  <c r="H67" i="27"/>
  <c r="H66" i="27"/>
  <c r="H65" i="27"/>
  <c r="H64" i="27"/>
  <c r="H72" i="28"/>
  <c r="H69" i="28"/>
  <c r="H68" i="28"/>
  <c r="H67" i="28"/>
  <c r="H66" i="28"/>
  <c r="H65" i="28"/>
  <c r="H64" i="28"/>
  <c r="H63" i="28"/>
  <c r="H62" i="28"/>
  <c r="H61" i="28"/>
  <c r="H60" i="28"/>
  <c r="H59" i="28"/>
  <c r="H5" i="27"/>
  <c r="I5" i="27"/>
  <c r="J5" i="27"/>
  <c r="H6" i="27"/>
  <c r="I6" i="27"/>
  <c r="J6" i="27"/>
  <c r="H7" i="27"/>
  <c r="I7" i="27"/>
  <c r="J7" i="27"/>
  <c r="H8" i="27"/>
  <c r="I8" i="27"/>
  <c r="J8" i="27"/>
  <c r="H9" i="27"/>
  <c r="I9" i="27"/>
  <c r="J9" i="27"/>
  <c r="H10" i="27"/>
  <c r="I10" i="27"/>
  <c r="J10" i="27"/>
  <c r="H11" i="27"/>
  <c r="I11" i="27"/>
  <c r="J11" i="27"/>
  <c r="H12" i="27"/>
  <c r="I12" i="27"/>
  <c r="J12" i="27"/>
  <c r="H13" i="27"/>
  <c r="I13" i="27"/>
  <c r="J13" i="27"/>
  <c r="H14" i="27"/>
  <c r="I14" i="27"/>
  <c r="J14" i="27"/>
  <c r="H15" i="27"/>
  <c r="I15" i="27"/>
  <c r="J15" i="27"/>
  <c r="H16" i="27"/>
  <c r="I16" i="27"/>
  <c r="J16" i="27"/>
  <c r="H17" i="27"/>
  <c r="I17" i="27"/>
  <c r="J17" i="27"/>
  <c r="H18" i="27"/>
  <c r="I18" i="27"/>
  <c r="J18" i="27"/>
  <c r="H19" i="27"/>
  <c r="I19" i="27"/>
  <c r="J19" i="27"/>
  <c r="H20" i="27"/>
  <c r="I20" i="27"/>
  <c r="J20" i="27"/>
  <c r="I4" i="27"/>
  <c r="J4" i="27"/>
  <c r="H4" i="27"/>
  <c r="H5" i="28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I4" i="28"/>
  <c r="J4" i="28"/>
  <c r="H4" i="28"/>
  <c r="B24" i="28"/>
  <c r="B23" i="28"/>
  <c r="K5" i="28"/>
  <c r="L5" i="28"/>
  <c r="M5" i="28"/>
  <c r="O5" i="28"/>
  <c r="S5" i="28"/>
  <c r="F6" i="29"/>
  <c r="B25" i="27"/>
  <c r="B24" i="27"/>
  <c r="K5" i="27"/>
  <c r="L5" i="27"/>
  <c r="M5" i="27"/>
  <c r="O5" i="27"/>
  <c r="S5" i="27"/>
  <c r="M6" i="29"/>
  <c r="Q6" i="29"/>
  <c r="K6" i="28"/>
  <c r="L6" i="28"/>
  <c r="M6" i="28"/>
  <c r="O6" i="28"/>
  <c r="S6" i="28"/>
  <c r="F7" i="29"/>
  <c r="K6" i="27"/>
  <c r="L6" i="27"/>
  <c r="M6" i="27"/>
  <c r="O6" i="27"/>
  <c r="S6" i="27"/>
  <c r="M7" i="29"/>
  <c r="Q7" i="29"/>
  <c r="K7" i="28"/>
  <c r="L7" i="28"/>
  <c r="M7" i="28"/>
  <c r="O7" i="28"/>
  <c r="S7" i="28"/>
  <c r="F8" i="29"/>
  <c r="K7" i="27"/>
  <c r="L7" i="27"/>
  <c r="M7" i="27"/>
  <c r="O7" i="27"/>
  <c r="S7" i="27"/>
  <c r="M8" i="29"/>
  <c r="Q8" i="29"/>
  <c r="K8" i="28"/>
  <c r="L8" i="28"/>
  <c r="M8" i="28"/>
  <c r="O8" i="28"/>
  <c r="S8" i="28"/>
  <c r="F9" i="29"/>
  <c r="K8" i="27"/>
  <c r="L8" i="27"/>
  <c r="M8" i="27"/>
  <c r="O8" i="27"/>
  <c r="S8" i="27"/>
  <c r="M9" i="29"/>
  <c r="Q9" i="29"/>
  <c r="K9" i="28"/>
  <c r="L9" i="28"/>
  <c r="M9" i="28"/>
  <c r="O9" i="28"/>
  <c r="S9" i="28"/>
  <c r="F10" i="29"/>
  <c r="K9" i="27"/>
  <c r="L9" i="27"/>
  <c r="M9" i="27"/>
  <c r="O9" i="27"/>
  <c r="S9" i="27"/>
  <c r="M10" i="29"/>
  <c r="Q10" i="29"/>
  <c r="K10" i="28"/>
  <c r="L10" i="28"/>
  <c r="M10" i="28"/>
  <c r="O10" i="28"/>
  <c r="S10" i="28"/>
  <c r="F11" i="29"/>
  <c r="K10" i="27"/>
  <c r="L10" i="27"/>
  <c r="M10" i="27"/>
  <c r="O10" i="27"/>
  <c r="S10" i="27"/>
  <c r="M11" i="29"/>
  <c r="Q11" i="29"/>
  <c r="K11" i="28"/>
  <c r="L11" i="28"/>
  <c r="M11" i="28"/>
  <c r="O11" i="28"/>
  <c r="S11" i="28"/>
  <c r="F12" i="29"/>
  <c r="K11" i="27"/>
  <c r="L11" i="27"/>
  <c r="M11" i="27"/>
  <c r="O11" i="27"/>
  <c r="S11" i="27"/>
  <c r="M12" i="29"/>
  <c r="Q12" i="29"/>
  <c r="K12" i="28"/>
  <c r="L12" i="28"/>
  <c r="M12" i="28"/>
  <c r="O12" i="28"/>
  <c r="S12" i="28"/>
  <c r="F13" i="29"/>
  <c r="K12" i="27"/>
  <c r="L12" i="27"/>
  <c r="M12" i="27"/>
  <c r="O12" i="27"/>
  <c r="S12" i="27"/>
  <c r="M13" i="29"/>
  <c r="Q13" i="29"/>
  <c r="K13" i="28"/>
  <c r="L13" i="28"/>
  <c r="M13" i="28"/>
  <c r="O13" i="28"/>
  <c r="S13" i="28"/>
  <c r="F14" i="29"/>
  <c r="K13" i="27"/>
  <c r="L13" i="27"/>
  <c r="M13" i="27"/>
  <c r="O13" i="27"/>
  <c r="S13" i="27"/>
  <c r="M14" i="29"/>
  <c r="Q14" i="29"/>
  <c r="K14" i="28"/>
  <c r="L14" i="28"/>
  <c r="M14" i="28"/>
  <c r="O14" i="28"/>
  <c r="S14" i="28"/>
  <c r="F15" i="29"/>
  <c r="K14" i="27"/>
  <c r="L14" i="27"/>
  <c r="M14" i="27"/>
  <c r="O14" i="27"/>
  <c r="S14" i="27"/>
  <c r="M15" i="29"/>
  <c r="Q15" i="29"/>
  <c r="K15" i="28"/>
  <c r="L15" i="28"/>
  <c r="M15" i="28"/>
  <c r="O15" i="28"/>
  <c r="S15" i="28"/>
  <c r="F16" i="29"/>
  <c r="K15" i="27"/>
  <c r="L15" i="27"/>
  <c r="M15" i="27"/>
  <c r="O15" i="27"/>
  <c r="S15" i="27"/>
  <c r="M16" i="29"/>
  <c r="Q16" i="29"/>
  <c r="K16" i="28"/>
  <c r="L16" i="28"/>
  <c r="M16" i="28"/>
  <c r="O16" i="28"/>
  <c r="S16" i="28"/>
  <c r="F17" i="29"/>
  <c r="K16" i="27"/>
  <c r="L16" i="27"/>
  <c r="M16" i="27"/>
  <c r="O16" i="27"/>
  <c r="S16" i="27"/>
  <c r="M17" i="29"/>
  <c r="Q17" i="29"/>
  <c r="K17" i="28"/>
  <c r="L17" i="28"/>
  <c r="M17" i="28"/>
  <c r="O17" i="28"/>
  <c r="S17" i="28"/>
  <c r="F18" i="29"/>
  <c r="K17" i="27"/>
  <c r="L17" i="27"/>
  <c r="M17" i="27"/>
  <c r="O17" i="27"/>
  <c r="S17" i="27"/>
  <c r="M18" i="29"/>
  <c r="Q18" i="29"/>
  <c r="K18" i="28"/>
  <c r="L18" i="28"/>
  <c r="M18" i="28"/>
  <c r="O18" i="28"/>
  <c r="S18" i="28"/>
  <c r="F19" i="29"/>
  <c r="K18" i="27"/>
  <c r="L18" i="27"/>
  <c r="M18" i="27"/>
  <c r="O18" i="27"/>
  <c r="S18" i="27"/>
  <c r="M19" i="29"/>
  <c r="Q19" i="29"/>
  <c r="K19" i="28"/>
  <c r="L19" i="28"/>
  <c r="M19" i="28"/>
  <c r="O19" i="28"/>
  <c r="S19" i="28"/>
  <c r="F20" i="29"/>
  <c r="K19" i="27"/>
  <c r="L19" i="27"/>
  <c r="M19" i="27"/>
  <c r="O19" i="27"/>
  <c r="S19" i="27"/>
  <c r="M20" i="29"/>
  <c r="Q20" i="29"/>
  <c r="K20" i="28"/>
  <c r="L20" i="28"/>
  <c r="M20" i="28"/>
  <c r="O20" i="28"/>
  <c r="S20" i="28"/>
  <c r="F21" i="29"/>
  <c r="K20" i="27"/>
  <c r="L20" i="27"/>
  <c r="M20" i="27"/>
  <c r="O20" i="27"/>
  <c r="S20" i="27"/>
  <c r="M21" i="29"/>
  <c r="Q21" i="29"/>
  <c r="K4" i="28"/>
  <c r="L4" i="28"/>
  <c r="M4" i="28"/>
  <c r="O4" i="28"/>
  <c r="S4" i="28"/>
  <c r="F5" i="29"/>
  <c r="K4" i="27"/>
  <c r="L4" i="27"/>
  <c r="M4" i="27"/>
  <c r="O4" i="27"/>
  <c r="S4" i="27"/>
  <c r="M5" i="29"/>
  <c r="Q5" i="29"/>
  <c r="P5" i="28"/>
  <c r="R5" i="28"/>
  <c r="E6" i="29"/>
  <c r="P5" i="27"/>
  <c r="R5" i="27"/>
  <c r="L6" i="29"/>
  <c r="O6" i="29"/>
  <c r="P6" i="29"/>
  <c r="P6" i="28"/>
  <c r="R6" i="28"/>
  <c r="E7" i="29"/>
  <c r="P6" i="27"/>
  <c r="R6" i="27"/>
  <c r="L7" i="29"/>
  <c r="O7" i="29"/>
  <c r="P7" i="29"/>
  <c r="P7" i="28"/>
  <c r="R7" i="28"/>
  <c r="E8" i="29"/>
  <c r="P7" i="27"/>
  <c r="R7" i="27"/>
  <c r="L8" i="29"/>
  <c r="O8" i="29"/>
  <c r="P8" i="29"/>
  <c r="P8" i="28"/>
  <c r="R8" i="28"/>
  <c r="E9" i="29"/>
  <c r="P8" i="27"/>
  <c r="R8" i="27"/>
  <c r="L9" i="29"/>
  <c r="O9" i="29"/>
  <c r="P9" i="29"/>
  <c r="P9" i="28"/>
  <c r="R9" i="28"/>
  <c r="E10" i="29"/>
  <c r="P9" i="27"/>
  <c r="R9" i="27"/>
  <c r="L10" i="29"/>
  <c r="O10" i="29"/>
  <c r="P10" i="29"/>
  <c r="P10" i="28"/>
  <c r="R10" i="28"/>
  <c r="E11" i="29"/>
  <c r="P10" i="27"/>
  <c r="R10" i="27"/>
  <c r="L11" i="29"/>
  <c r="O11" i="29"/>
  <c r="P11" i="29"/>
  <c r="P11" i="28"/>
  <c r="R11" i="28"/>
  <c r="E12" i="29"/>
  <c r="P11" i="27"/>
  <c r="R11" i="27"/>
  <c r="L12" i="29"/>
  <c r="O12" i="29"/>
  <c r="P12" i="29"/>
  <c r="P12" i="28"/>
  <c r="R12" i="28"/>
  <c r="E13" i="29"/>
  <c r="P12" i="27"/>
  <c r="R12" i="27"/>
  <c r="L13" i="29"/>
  <c r="O13" i="29"/>
  <c r="P13" i="29"/>
  <c r="P13" i="28"/>
  <c r="R13" i="28"/>
  <c r="E14" i="29"/>
  <c r="P13" i="27"/>
  <c r="R13" i="27"/>
  <c r="L14" i="29"/>
  <c r="O14" i="29"/>
  <c r="P14" i="29"/>
  <c r="P14" i="28"/>
  <c r="R14" i="28"/>
  <c r="E15" i="29"/>
  <c r="P14" i="27"/>
  <c r="R14" i="27"/>
  <c r="L15" i="29"/>
  <c r="O15" i="29"/>
  <c r="P15" i="29"/>
  <c r="P15" i="28"/>
  <c r="R15" i="28"/>
  <c r="E16" i="29"/>
  <c r="P15" i="27"/>
  <c r="R15" i="27"/>
  <c r="L16" i="29"/>
  <c r="O16" i="29"/>
  <c r="P16" i="29"/>
  <c r="P16" i="28"/>
  <c r="R16" i="28"/>
  <c r="E17" i="29"/>
  <c r="P16" i="27"/>
  <c r="R16" i="27"/>
  <c r="L17" i="29"/>
  <c r="O17" i="29"/>
  <c r="P17" i="29"/>
  <c r="P17" i="28"/>
  <c r="R17" i="28"/>
  <c r="E18" i="29"/>
  <c r="P17" i="27"/>
  <c r="R17" i="27"/>
  <c r="L18" i="29"/>
  <c r="O18" i="29"/>
  <c r="P18" i="29"/>
  <c r="P18" i="28"/>
  <c r="R18" i="28"/>
  <c r="E19" i="29"/>
  <c r="P18" i="27"/>
  <c r="R18" i="27"/>
  <c r="L19" i="29"/>
  <c r="O19" i="29"/>
  <c r="P19" i="29"/>
  <c r="P19" i="28"/>
  <c r="R19" i="28"/>
  <c r="E20" i="29"/>
  <c r="P19" i="27"/>
  <c r="R19" i="27"/>
  <c r="L20" i="29"/>
  <c r="O20" i="29"/>
  <c r="P20" i="29"/>
  <c r="P20" i="28"/>
  <c r="R20" i="28"/>
  <c r="E21" i="29"/>
  <c r="P20" i="27"/>
  <c r="R20" i="27"/>
  <c r="L21" i="29"/>
  <c r="O21" i="29"/>
  <c r="P21" i="29"/>
  <c r="P4" i="28"/>
  <c r="R4" i="28"/>
  <c r="E5" i="29"/>
  <c r="P4" i="27"/>
  <c r="R4" i="27"/>
  <c r="L5" i="29"/>
  <c r="O5" i="29"/>
  <c r="P5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Q4" i="27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Q20" i="27"/>
  <c r="N20" i="27"/>
  <c r="Q19" i="27"/>
  <c r="N19" i="27"/>
  <c r="Q18" i="27"/>
  <c r="N18" i="27"/>
  <c r="Q17" i="27"/>
  <c r="N17" i="27"/>
  <c r="Q16" i="27"/>
  <c r="N16" i="27"/>
  <c r="Q15" i="27"/>
  <c r="N15" i="27"/>
  <c r="Q14" i="27"/>
  <c r="N14" i="27"/>
  <c r="Q13" i="27"/>
  <c r="N13" i="27"/>
  <c r="Q12" i="27"/>
  <c r="N12" i="27"/>
  <c r="Q11" i="27"/>
  <c r="N11" i="27"/>
  <c r="Q10" i="27"/>
  <c r="N10" i="27"/>
  <c r="Q9" i="27"/>
  <c r="N9" i="27"/>
  <c r="Q8" i="27"/>
  <c r="N8" i="27"/>
  <c r="Q7" i="27"/>
  <c r="N7" i="27"/>
  <c r="Q6" i="27"/>
  <c r="N6" i="27"/>
  <c r="Q5" i="27"/>
  <c r="N5" i="27"/>
  <c r="N4" i="27"/>
  <c r="D48" i="26"/>
  <c r="F40" i="26"/>
  <c r="G38" i="26"/>
  <c r="H38" i="26"/>
  <c r="I38" i="26"/>
  <c r="J38" i="26"/>
  <c r="K38" i="26"/>
  <c r="L38" i="26"/>
  <c r="F38" i="26"/>
  <c r="G37" i="26"/>
  <c r="H37" i="26"/>
  <c r="I37" i="26"/>
  <c r="J37" i="26"/>
  <c r="K37" i="26"/>
  <c r="L37" i="26"/>
  <c r="F37" i="26"/>
  <c r="G36" i="26"/>
  <c r="H36" i="26"/>
  <c r="I36" i="26"/>
  <c r="J36" i="26"/>
  <c r="L36" i="26"/>
  <c r="F36" i="26"/>
  <c r="G35" i="26"/>
  <c r="H35" i="26"/>
  <c r="I35" i="26"/>
  <c r="J35" i="26"/>
  <c r="K35" i="26"/>
  <c r="L35" i="26"/>
  <c r="F35" i="26"/>
  <c r="G34" i="26"/>
  <c r="H34" i="26"/>
  <c r="I34" i="26"/>
  <c r="J34" i="26"/>
  <c r="K34" i="26"/>
  <c r="L34" i="26"/>
  <c r="F34" i="26"/>
  <c r="G33" i="26"/>
  <c r="H33" i="26"/>
  <c r="I33" i="26"/>
  <c r="J33" i="26"/>
  <c r="K33" i="26"/>
  <c r="L33" i="26"/>
  <c r="F33" i="26"/>
  <c r="G32" i="26"/>
  <c r="H32" i="26"/>
  <c r="I32" i="26"/>
  <c r="J32" i="26"/>
  <c r="K32" i="26"/>
  <c r="L32" i="26"/>
  <c r="F32" i="26"/>
  <c r="G31" i="26"/>
  <c r="H31" i="26"/>
  <c r="I31" i="26"/>
  <c r="J31" i="26"/>
  <c r="K31" i="26"/>
  <c r="L31" i="26"/>
  <c r="F31" i="26"/>
  <c r="G30" i="26"/>
  <c r="H30" i="26"/>
  <c r="I30" i="26"/>
  <c r="J30" i="26"/>
  <c r="K30" i="26"/>
  <c r="L30" i="26"/>
  <c r="F30" i="26"/>
  <c r="G29" i="26"/>
  <c r="H29" i="26"/>
  <c r="I29" i="26"/>
  <c r="J29" i="26"/>
  <c r="K29" i="26"/>
  <c r="L29" i="26"/>
  <c r="F29" i="26"/>
  <c r="G28" i="26"/>
  <c r="H28" i="26"/>
  <c r="I28" i="26"/>
  <c r="J28" i="26"/>
  <c r="K28" i="26"/>
  <c r="L28" i="26"/>
  <c r="F28" i="26"/>
  <c r="G27" i="26"/>
  <c r="H27" i="26"/>
  <c r="I27" i="26"/>
  <c r="J27" i="26"/>
  <c r="K27" i="26"/>
  <c r="L27" i="26"/>
  <c r="F27" i="26"/>
  <c r="G26" i="26"/>
  <c r="H26" i="26"/>
  <c r="I26" i="26"/>
  <c r="J26" i="26"/>
  <c r="K26" i="26"/>
  <c r="L26" i="26"/>
  <c r="F26" i="26"/>
  <c r="G25" i="26"/>
  <c r="H25" i="26"/>
  <c r="I25" i="26"/>
  <c r="J25" i="26"/>
  <c r="K25" i="26"/>
  <c r="L25" i="26"/>
  <c r="F25" i="26"/>
  <c r="G24" i="26"/>
  <c r="H24" i="26"/>
  <c r="I24" i="26"/>
  <c r="J24" i="26"/>
  <c r="K24" i="26"/>
  <c r="L24" i="26"/>
  <c r="F24" i="26"/>
  <c r="G23" i="26"/>
  <c r="H23" i="26"/>
  <c r="I23" i="26"/>
  <c r="J23" i="26"/>
  <c r="K23" i="26"/>
  <c r="L23" i="26"/>
  <c r="F23" i="26"/>
  <c r="O19" i="26"/>
  <c r="K19" i="26"/>
  <c r="G19" i="26"/>
  <c r="P19" i="26"/>
  <c r="R19" i="26"/>
  <c r="Q19" i="26"/>
  <c r="O18" i="26"/>
  <c r="K18" i="26"/>
  <c r="G18" i="26"/>
  <c r="P18" i="26"/>
  <c r="R18" i="26"/>
  <c r="Q18" i="26"/>
  <c r="O17" i="26"/>
  <c r="K17" i="26"/>
  <c r="G17" i="26"/>
  <c r="P17" i="26"/>
  <c r="R17" i="26"/>
  <c r="Q17" i="26"/>
  <c r="O16" i="26"/>
  <c r="K16" i="26"/>
  <c r="G16" i="26"/>
  <c r="P16" i="26"/>
  <c r="R16" i="26"/>
  <c r="Q16" i="26"/>
  <c r="O15" i="26"/>
  <c r="K15" i="26"/>
  <c r="G15" i="26"/>
  <c r="P15" i="26"/>
  <c r="R15" i="26"/>
  <c r="Q15" i="26"/>
  <c r="O14" i="26"/>
  <c r="K14" i="26"/>
  <c r="G14" i="26"/>
  <c r="P14" i="26"/>
  <c r="R14" i="26"/>
  <c r="Q14" i="26"/>
  <c r="O13" i="26"/>
  <c r="K13" i="26"/>
  <c r="G13" i="26"/>
  <c r="P13" i="26"/>
  <c r="R13" i="26"/>
  <c r="Q13" i="26"/>
  <c r="O12" i="26"/>
  <c r="K12" i="26"/>
  <c r="G12" i="26"/>
  <c r="P12" i="26"/>
  <c r="R12" i="26"/>
  <c r="Q12" i="26"/>
  <c r="O11" i="26"/>
  <c r="K11" i="26"/>
  <c r="G11" i="26"/>
  <c r="P11" i="26"/>
  <c r="R11" i="26"/>
  <c r="Q11" i="26"/>
  <c r="O10" i="26"/>
  <c r="K10" i="26"/>
  <c r="G10" i="26"/>
  <c r="P10" i="26"/>
  <c r="R10" i="26"/>
  <c r="Q10" i="26"/>
  <c r="O9" i="26"/>
  <c r="K9" i="26"/>
  <c r="G9" i="26"/>
  <c r="P9" i="26"/>
  <c r="R9" i="26"/>
  <c r="Q9" i="26"/>
  <c r="O8" i="26"/>
  <c r="K8" i="26"/>
  <c r="G8" i="26"/>
  <c r="P8" i="26"/>
  <c r="R8" i="26"/>
  <c r="Q8" i="26"/>
  <c r="O7" i="26"/>
  <c r="K7" i="26"/>
  <c r="G7" i="26"/>
  <c r="P7" i="26"/>
  <c r="R7" i="26"/>
  <c r="Q7" i="26"/>
  <c r="O6" i="26"/>
  <c r="K6" i="26"/>
  <c r="G6" i="26"/>
  <c r="P6" i="26"/>
  <c r="R6" i="26"/>
  <c r="Q6" i="26"/>
  <c r="O5" i="26"/>
  <c r="K5" i="26"/>
  <c r="G5" i="26"/>
  <c r="P5" i="26"/>
  <c r="R5" i="26"/>
  <c r="Q5" i="26"/>
  <c r="O4" i="26"/>
  <c r="K4" i="26"/>
  <c r="G4" i="26"/>
  <c r="P4" i="26"/>
  <c r="R4" i="26"/>
  <c r="Q4" i="26"/>
  <c r="D48" i="25"/>
  <c r="F40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K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L8" i="25"/>
  <c r="O8" i="25"/>
  <c r="H8" i="25"/>
  <c r="K8" i="25"/>
  <c r="D8" i="25"/>
  <c r="G8" i="25"/>
  <c r="P8" i="25"/>
  <c r="R8" i="25"/>
  <c r="Q8" i="25"/>
  <c r="L7" i="25"/>
  <c r="O7" i="25"/>
  <c r="H7" i="25"/>
  <c r="K7" i="25"/>
  <c r="D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T20" i="8"/>
  <c r="T4" i="8"/>
  <c r="B4" i="23"/>
  <c r="P4" i="8"/>
  <c r="P20" i="8"/>
  <c r="B3" i="23"/>
  <c r="L20" i="8"/>
  <c r="L4" i="8"/>
  <c r="B5" i="23"/>
  <c r="B12" i="23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F8" i="1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L41" i="8"/>
  <c r="L25" i="8"/>
  <c r="B6" i="23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B8" i="23"/>
  <c r="H4" i="8"/>
  <c r="H20" i="8"/>
  <c r="B2" i="23"/>
  <c r="C5" i="17"/>
  <c r="D5" i="17"/>
  <c r="E5" i="17"/>
  <c r="F5" i="17"/>
  <c r="G5" i="17"/>
  <c r="C6" i="17"/>
  <c r="D6" i="17"/>
  <c r="E6" i="17"/>
  <c r="G6" i="17"/>
  <c r="C7" i="17"/>
  <c r="D7" i="17"/>
  <c r="E7" i="17"/>
  <c r="G7" i="17"/>
  <c r="C8" i="17"/>
  <c r="D8" i="17"/>
  <c r="E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5" i="22"/>
  <c r="U5" i="22"/>
  <c r="L5" i="22"/>
  <c r="V5" i="22"/>
  <c r="P5" i="22"/>
  <c r="X5" i="22"/>
  <c r="H6" i="22"/>
  <c r="U6" i="22"/>
  <c r="L6" i="22"/>
  <c r="V6" i="22"/>
  <c r="P6" i="22"/>
  <c r="X6" i="22"/>
  <c r="H7" i="22"/>
  <c r="U7" i="22"/>
  <c r="L7" i="22"/>
  <c r="V7" i="22"/>
  <c r="P7" i="22"/>
  <c r="X7" i="22"/>
  <c r="H8" i="22"/>
  <c r="U8" i="22"/>
  <c r="L8" i="22"/>
  <c r="V8" i="22"/>
  <c r="P8" i="22"/>
  <c r="X8" i="22"/>
  <c r="H9" i="22"/>
  <c r="U9" i="22"/>
  <c r="L9" i="22"/>
  <c r="V9" i="22"/>
  <c r="P9" i="22"/>
  <c r="X9" i="22"/>
  <c r="H10" i="22"/>
  <c r="U10" i="22"/>
  <c r="L10" i="22"/>
  <c r="V10" i="22"/>
  <c r="P10" i="22"/>
  <c r="X10" i="22"/>
  <c r="H11" i="22"/>
  <c r="U11" i="22"/>
  <c r="L11" i="22"/>
  <c r="V11" i="22"/>
  <c r="P11" i="22"/>
  <c r="X11" i="22"/>
  <c r="H12" i="22"/>
  <c r="U12" i="22"/>
  <c r="L12" i="22"/>
  <c r="V12" i="22"/>
  <c r="P12" i="22"/>
  <c r="X12" i="22"/>
  <c r="H13" i="22"/>
  <c r="U13" i="22"/>
  <c r="L13" i="22"/>
  <c r="V13" i="22"/>
  <c r="P13" i="22"/>
  <c r="X13" i="22"/>
  <c r="H14" i="22"/>
  <c r="U14" i="22"/>
  <c r="L14" i="22"/>
  <c r="V14" i="22"/>
  <c r="P14" i="22"/>
  <c r="X14" i="22"/>
  <c r="H15" i="22"/>
  <c r="U15" i="22"/>
  <c r="L15" i="22"/>
  <c r="V15" i="22"/>
  <c r="P15" i="22"/>
  <c r="X15" i="22"/>
  <c r="H16" i="22"/>
  <c r="U16" i="22"/>
  <c r="L16" i="22"/>
  <c r="V16" i="22"/>
  <c r="P16" i="22"/>
  <c r="X16" i="22"/>
  <c r="H17" i="22"/>
  <c r="U17" i="22"/>
  <c r="L17" i="22"/>
  <c r="V17" i="22"/>
  <c r="P17" i="22"/>
  <c r="X17" i="22"/>
  <c r="H18" i="22"/>
  <c r="U18" i="22"/>
  <c r="L18" i="22"/>
  <c r="V18" i="22"/>
  <c r="P18" i="22"/>
  <c r="X18" i="22"/>
  <c r="H19" i="22"/>
  <c r="U19" i="22"/>
  <c r="L19" i="22"/>
  <c r="V19" i="22"/>
  <c r="P19" i="22"/>
  <c r="X19" i="22"/>
  <c r="H20" i="22"/>
  <c r="U20" i="22"/>
  <c r="L20" i="22"/>
  <c r="V20" i="22"/>
  <c r="P20" i="22"/>
  <c r="X20" i="22"/>
  <c r="H4" i="22"/>
  <c r="U4" i="22"/>
  <c r="L4" i="22"/>
  <c r="V4" i="22"/>
  <c r="P4" i="22"/>
  <c r="W4" i="22"/>
  <c r="X4" i="22"/>
  <c r="R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J20" i="2"/>
  <c r="K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3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19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<sst xmlns="http://schemas.openxmlformats.org/spreadsheetml/2006/main" count="779" uniqueCount="332">
  <si>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</si>
  <si>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</si>
  <si>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</si>
  <si>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</si>
  <si>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</si>
  <si>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</si>
  <si>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</si>
  <si>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</si>
  <si>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</si>
  <si>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</si>
  <si>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</si>
  <si>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</si>
  <si>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</si>
  <si>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</si>
  <si>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</si>
  <si>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</si>
  <si>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</si>
  <si>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</si>
  <si>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</si>
  <si>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</si>
  <si>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</si>
  <si>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</si>
  <si>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</si>
  <si>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</si>
  <si>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</si>
  <si>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</si>
  <si>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</si>
  <si>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</si>
  <si>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</si>
  <si>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</si>
  <si>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</si>
  <si>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</si>
  <si>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</si>
  <si>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</si>
  <si>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</si>
  <si>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</si>
  <si>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</si>
  <si>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</si>
  <si>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</si>
  <si>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</si>
  <si>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</si>
  <si>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</si>
  <si>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</si>
  <si>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</si>
  <si>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</si>
  <si>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</si>
  <si>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</si>
  <si>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</si>
  <si>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</si>
  <si>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</si>
  <si>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</si>
  <si>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</si>
  <si>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</si>
  <si>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</si>
  <si>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</si>
  <si>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</si>
  <si>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</si>
  <si>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</si>
  <si>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</si>
  <si>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</si>
  <si>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</si>
  <si>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</si>
  <si>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</si>
  <si>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</si>
  <si>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</si>
  <si>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</si>
  <si>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</si>
  <si>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</si>
  <si>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</si>
  <si>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</si>
  <si>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</si>
  <si>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</si>
  <si>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</si>
  <si>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</si>
  <si>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</si>
  <si>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</si>
  <si>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</si>
  <si>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</si>
  <si>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</si>
  <si>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</si>
  <si>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</si>
  <si>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</si>
  <si>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</si>
  <si>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</si>
  <si>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</si>
  <si>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</si>
  <si>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</si>
  <si>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</si>
  <si>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</si>
  <si>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</si>
  <si>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</si>
  <si>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</si>
  <si>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</si>
  <si>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</si>
  <si>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</si>
  <si>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</si>
  <si>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</si>
  <si>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</si>
  <si>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</si>
  <si>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</si>
  <si>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</si>
  <si>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</si>
  <si>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</si>
  <si>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</si>
  <si>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</si>
  <si>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</si>
  <si>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</si>
  <si>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</si>
  <si>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</si>
  <si>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</si>
  <si>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</si>
  <si>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</si>
  <si>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</si>
  <si>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</si>
  <si>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</si>
  <si>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</si>
  <si>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</si>
  <si>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</si>
  <si>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</si>
  <si>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</si>
  <si>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</si>
  <si>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</si>
  <si>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</si>
  <si>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</si>
  <si>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</si>
  <si>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</si>
  <si>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</si>
  <si>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</si>
  <si>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</si>
  <si>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</si>
  <si>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</si>
  <si>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</si>
  <si>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</si>
  <si>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</si>
  <si>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</si>
  <si>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</si>
  <si>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</si>
  <si>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</si>
  <si>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</si>
  <si>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</si>
  <si>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</si>
  <si>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</si>
  <si>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</si>
  <si>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</si>
  <si>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</si>
  <si>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</si>
  <si>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</si>
  <si>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</si>
  <si>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</si>
  <si>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</si>
  <si>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</si>
  <si>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</si>
  <si>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t>Na-acetate trihydrate (50 mM)</t>
  </si>
  <si>
    <t>6.80</t>
  </si>
  <si>
    <t>0.40</t>
  </si>
  <si>
    <t>0.20</t>
  </si>
  <si>
    <t xml:space="preserve">2x-z-y </t>
  </si>
  <si>
    <t>2x-z-y</t>
  </si>
  <si>
    <t>2x-z-y-f mol H2</t>
  </si>
  <si>
    <t>2x-z-y-f</t>
  </si>
  <si>
    <t>2x-z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</si>
  <si>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Faecalibacterium prausnitzii DSM 17677</t>
    </r>
    <r>
      <rPr>
        <vertAlign val="superscript"/>
        <sz val="11"/>
        <color theme="1"/>
        <rFont val="Calibri"/>
        <family val="2"/>
        <scheme val="minor"/>
      </rPr>
      <t>T</t>
    </r>
  </si>
  <si>
    <t>x mol D-fructose consumed</t>
  </si>
  <si>
    <t>2x-z-f mol CO2produced</t>
  </si>
  <si>
    <t>y mol acetate consumed</t>
  </si>
  <si>
    <t>2x-z+y mol acetyl-CoA produced</t>
  </si>
  <si>
    <t>(2x-2+y)/2 mol butyrate produced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</si>
  <si>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</si>
  <si>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</si>
  <si>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</si>
  <si>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</si>
  <si>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</si>
  <si>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</si>
  <si>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</si>
  <si>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</si>
  <si>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</si>
  <si>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</si>
  <si>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</si>
  <si>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</si>
  <si>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</si>
  <si>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</si>
  <si>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</si>
  <si>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</si>
  <si>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</si>
  <si>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</si>
  <si>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 xml:space="preserve">Volume (ul) </t>
  </si>
  <si>
    <t>Outliers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</si>
  <si>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</si>
  <si>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</si>
  <si>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</si>
  <si>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</si>
  <si>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</si>
  <si>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</si>
  <si>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</si>
  <si>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</si>
  <si>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</si>
  <si>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</si>
  <si>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</si>
  <si>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</si>
  <si>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</si>
  <si>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</si>
  <si>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</si>
  <si>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</si>
  <si>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</si>
  <si>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</si>
  <si>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</si>
  <si>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</si>
  <si>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</si>
  <si>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</si>
  <si>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</si>
  <si>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</si>
  <si>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</si>
  <si>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</si>
  <si>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outliers</t>
  </si>
  <si>
    <t>IPC FP10 epp</t>
  </si>
  <si>
    <t>Threshold</t>
  </si>
  <si>
    <t>AUTO</t>
  </si>
  <si>
    <t>Ct Threshold</t>
  </si>
  <si>
    <t>baseline</t>
  </si>
  <si>
    <t>Rico</t>
  </si>
  <si>
    <t>intercept</t>
  </si>
  <si>
    <t>Efficiency E (%)</t>
  </si>
  <si>
    <t>CT1 normalized</t>
  </si>
  <si>
    <t>CT2 normalized</t>
  </si>
  <si>
    <t>CT3 normalized</t>
  </si>
  <si>
    <t>Average CT normalized</t>
  </si>
  <si>
    <t>IPC RI10 epp</t>
  </si>
  <si>
    <t>Baseline</t>
  </si>
  <si>
    <t>F. prausnitzii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</si>
  <si>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</si>
  <si>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</si>
  <si>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</si>
  <si>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</si>
  <si>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</si>
  <si>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</si>
  <si>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</si>
  <si>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</si>
  <si>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</si>
  <si>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</si>
  <si>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</si>
  <si>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</si>
  <si>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</si>
  <si>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Log (cells/ml medium)</t>
  </si>
  <si>
    <t>STDV Log (cells/ml medium)</t>
  </si>
  <si>
    <t>Dilution log (10x)</t>
  </si>
  <si>
    <t xml:space="preserve">Dilution 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</si>
  <si>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</si>
  <si>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</si>
  <si>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</si>
  <si>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</si>
  <si>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</si>
  <si>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</si>
  <si>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</si>
  <si>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</si>
  <si>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</si>
  <si>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Total Average</t>
  </si>
  <si>
    <t>STDV(cells/ml medium)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</si>
  <si>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</si>
  <si>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</si>
  <si>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</si>
  <si>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</si>
  <si>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</si>
  <si>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</si>
  <si>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</si>
  <si>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Total average</t>
  </si>
  <si>
    <t>IPC value epp 8 plate 20150729</t>
  </si>
  <si>
    <t>R. intestinalis</t>
  </si>
  <si>
    <t>plate 20150729</t>
  </si>
  <si>
    <t>plate 20150730</t>
  </si>
  <si>
    <t>IPC value epp 7 plate 20150730</t>
  </si>
  <si>
    <t>IPC value epp 8</t>
  </si>
  <si>
    <t>plate 20150804</t>
  </si>
  <si>
    <t>plate 20150807</t>
  </si>
  <si>
    <t>IPC value epp 7</t>
  </si>
  <si>
    <t>plate 20150831</t>
  </si>
  <si>
    <t>plate 20150902</t>
  </si>
  <si>
    <t>plate 20150903</t>
  </si>
  <si>
    <t>IPC value epp 6</t>
  </si>
  <si>
    <t>plate 20150908</t>
  </si>
  <si>
    <t>plate 20150910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</si>
  <si>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</si>
  <si>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</si>
  <si>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</si>
  <si>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</si>
  <si>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</si>
  <si>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>IPC value epp 5 plate 20150910</t>
  </si>
  <si>
    <t>IPC value epp 5 plate 20150911</t>
  </si>
  <si>
    <t>IPC value epp 5 plate 20150922</t>
  </si>
  <si>
    <t>IPC value epp 4 plate 20150929</t>
  </si>
  <si>
    <t>IPC value epp 4 plate 20151002</t>
  </si>
  <si>
    <t>IPC value epp 4 plate 20151009</t>
  </si>
  <si>
    <t>IPC value epp 4 plate 20151007</t>
  </si>
  <si>
    <t>plate 20150911</t>
  </si>
  <si>
    <t>IPC value epp 5</t>
  </si>
  <si>
    <t>plate 20150922</t>
  </si>
  <si>
    <t>plate 20151007</t>
  </si>
  <si>
    <t>plate 20151009</t>
  </si>
  <si>
    <t xml:space="preserve">Total cell count </t>
  </si>
  <si>
    <t>plate 20151013</t>
  </si>
  <si>
    <t>IPC value epp 4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</si>
  <si>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</si>
  <si>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</si>
  <si>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</si>
  <si>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</si>
  <si>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</si>
  <si>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</si>
  <si>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</si>
  <si>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</si>
  <si>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IPC value epp 3 plate 20151020</t>
  </si>
  <si>
    <t>IPC value epp 3 plate 20151111</t>
  </si>
  <si>
    <t>IPC value epp 2 plate 20151111</t>
  </si>
  <si>
    <t>IPC value epp 2 plate 20151112</t>
  </si>
  <si>
    <t>IPC value epp 2 plate 20151204</t>
  </si>
  <si>
    <t>IPC value epp 1 plate 20160119</t>
  </si>
  <si>
    <t>IPC value epp 1 plate 20160208</t>
  </si>
  <si>
    <t>plate 20160222</t>
  </si>
  <si>
    <t>plate 20160223</t>
  </si>
  <si>
    <t>IPC value epp 1</t>
  </si>
  <si>
    <t>plate 20160225</t>
  </si>
  <si>
    <t>plate 20160308</t>
  </si>
  <si>
    <t>plate 20160310</t>
  </si>
  <si>
    <t>plate 20160311</t>
  </si>
  <si>
    <t>plate 20160318</t>
  </si>
  <si>
    <t>plate 20160405</t>
  </si>
  <si>
    <t>IPC value epp 1 plate 20160222</t>
  </si>
  <si>
    <t>IPC value epp 1 plate 20160223</t>
  </si>
  <si>
    <t>IPC value epp 9 plate 20160223</t>
  </si>
  <si>
    <t>IPC value epp 9 plate 20160225</t>
  </si>
  <si>
    <t>IPC value epp 9 plate 20160308</t>
  </si>
  <si>
    <t>IPC value epp 9 plate 20160310</t>
  </si>
  <si>
    <t>IPC value epp 8 plate 20160325</t>
  </si>
  <si>
    <t>IPC value epp 8 plate 20160405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</si>
</sst>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454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65" fontId="0" fillId="0" borderId="0" xfId="0" applyNumberFormat="1"/>
    <xf numFmtId="164" fontId="18" fillId="0" borderId="1" xfId="0" applyNumberFormat="1" applyFont="1" applyFill="1" applyBorder="1" applyAlignment="1">
      <alignment horizont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28" fillId="0" borderId="0" xfId="349"/>
    <xf numFmtId="0" fontId="28" fillId="2" borderId="4" xfId="349" applyFill="1" applyBorder="1" applyAlignment="1">
      <alignment horizontal="center" vertical="center"/>
    </xf>
    <xf numFmtId="0" fontId="28" fillId="2" borderId="16" xfId="349" applyFill="1" applyBorder="1" applyAlignment="1">
      <alignment horizontal="center" vertical="center"/>
    </xf>
    <xf numFmtId="0" fontId="28" fillId="2" borderId="3" xfId="349" applyFill="1" applyBorder="1" applyAlignment="1">
      <alignment horizontal="center" vertical="center"/>
    </xf>
    <xf numFmtId="0" fontId="28" fillId="0" borderId="3" xfId="349" applyFill="1" applyBorder="1" applyAlignment="1">
      <alignment horizontal="center" vertical="center"/>
    </xf>
    <xf numFmtId="0" fontId="28" fillId="0" borderId="16" xfId="349" applyFill="1" applyBorder="1" applyAlignment="1">
      <alignment horizontal="center" vertical="center"/>
    </xf>
    <xf numFmtId="11" fontId="28" fillId="0" borderId="16" xfId="349" applyNumberFormat="1" applyFill="1" applyBorder="1" applyAlignment="1">
      <alignment horizontal="center" vertical="center"/>
    </xf>
    <xf numFmtId="0" fontId="0" fillId="0" borderId="16" xfId="349" applyFont="1" applyBorder="1" applyAlignment="1">
      <alignment horizontal="center" vertical="center"/>
    </xf>
    <xf numFmtId="0" fontId="28" fillId="0" borderId="16" xfId="349" applyBorder="1" applyAlignment="1">
      <alignment horizontal="center" vertical="center"/>
    </xf>
    <xf numFmtId="11" fontId="28" fillId="0" borderId="16" xfId="349" applyNumberFormat="1" applyBorder="1" applyAlignment="1">
      <alignment horizontal="center" vertical="center"/>
    </xf>
    <xf numFmtId="2" fontId="28" fillId="0" borderId="16" xfId="349" applyNumberFormat="1" applyBorder="1" applyAlignment="1">
      <alignment horizontal="center" vertical="center"/>
    </xf>
    <xf numFmtId="0" fontId="0" fillId="0" borderId="0" xfId="349" applyFont="1"/>
    <xf numFmtId="0" fontId="28" fillId="2" borderId="22" xfId="349" applyFill="1" applyBorder="1" applyAlignment="1">
      <alignment wrapText="1"/>
    </xf>
    <xf numFmtId="0" fontId="0" fillId="2" borderId="22" xfId="349" applyFont="1" applyFill="1" applyBorder="1" applyAlignment="1">
      <alignment wrapText="1"/>
    </xf>
    <xf numFmtId="0" fontId="0" fillId="2" borderId="22" xfId="349" applyFont="1" applyFill="1" applyBorder="1" applyAlignment="1">
      <alignment horizontal="center" vertical="center" wrapText="1"/>
    </xf>
    <xf numFmtId="165" fontId="28" fillId="0" borderId="16" xfId="349" applyNumberFormat="1" applyBorder="1" applyAlignment="1">
      <alignment horizontal="center" vertical="center"/>
    </xf>
    <xf numFmtId="165" fontId="28" fillId="0" borderId="16" xfId="349" applyNumberFormat="1" applyBorder="1"/>
    <xf numFmtId="165" fontId="28" fillId="0" borderId="0" xfId="349" applyNumberFormat="1"/>
    <xf numFmtId="0" fontId="28" fillId="2" borderId="16" xfId="349" applyFill="1" applyBorder="1"/>
    <xf numFmtId="0" fontId="29" fillId="0" borderId="16" xfId="349" applyFont="1" applyBorder="1"/>
    <xf numFmtId="0" fontId="28" fillId="0" borderId="16" xfId="349" applyBorder="1"/>
    <xf numFmtId="0" fontId="28" fillId="0" borderId="0" xfId="349" applyFont="1"/>
    <xf numFmtId="0" fontId="30" fillId="12" borderId="0" xfId="349" applyFont="1" applyFill="1"/>
    <xf numFmtId="165" fontId="25" fillId="0" borderId="18" xfId="0" applyNumberFormat="1" applyFont="1" applyBorder="1" applyAlignment="1">
      <alignment horizontal="center" vertical="center"/>
    </xf>
    <xf numFmtId="2" fontId="28" fillId="0" borderId="16" xfId="349" applyNumberFormat="1" applyBorder="1"/>
    <xf numFmtId="1" fontId="28" fillId="0" borderId="16" xfId="349" applyNumberFormat="1" applyBorder="1"/>
    <xf numFmtId="1" fontId="0" fillId="0" borderId="0" xfId="0" applyNumberFormat="1" applyBorder="1" applyAlignment="1">
      <alignment horizontal="center" vertical="center"/>
    </xf>
    <xf numFmtId="165" fontId="28" fillId="0" borderId="0" xfId="349" applyNumberFormat="1" applyBorder="1" applyAlignment="1">
      <alignment horizontal="center" vertical="center"/>
    </xf>
    <xf numFmtId="165" fontId="28" fillId="0" borderId="0" xfId="349" applyNumberFormat="1" applyBorder="1"/>
    <xf numFmtId="165" fontId="25" fillId="0" borderId="0" xfId="0" applyNumberFormat="1" applyFont="1" applyBorder="1" applyAlignment="1">
      <alignment horizontal="center" vertical="center"/>
    </xf>
    <xf numFmtId="2" fontId="28" fillId="0" borderId="0" xfId="349" applyNumberFormat="1" applyBorder="1"/>
    <xf numFmtId="1" fontId="28" fillId="0" borderId="0" xfId="349" applyNumberFormat="1" applyBorder="1"/>
    <xf numFmtId="0" fontId="0" fillId="0" borderId="16" xfId="349" applyFont="1" applyBorder="1"/>
    <xf numFmtId="165" fontId="25" fillId="0" borderId="16" xfId="0" applyNumberFormat="1" applyFont="1" applyBorder="1" applyAlignment="1">
      <alignment horizontal="center" vertical="center"/>
    </xf>
    <xf numFmtId="2" fontId="25" fillId="0" borderId="20" xfId="0" applyNumberFormat="1" applyFont="1" applyBorder="1"/>
    <xf numFmtId="165" fontId="0" fillId="0" borderId="16" xfId="349" applyNumberFormat="1" applyFont="1" applyBorder="1" applyAlignment="1">
      <alignment horizontal="center" vertical="center"/>
    </xf>
    <xf numFmtId="2" fontId="25" fillId="0" borderId="0" xfId="0" applyNumberFormat="1" applyFont="1"/>
    <xf numFmtId="0" fontId="30" fillId="14" borderId="0" xfId="0" applyFont="1" applyFill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5" fontId="25" fillId="0" borderId="0" xfId="0" applyNumberFormat="1" applyFont="1"/>
    <xf numFmtId="165" fontId="25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49" applyNumberFormat="1" applyFill="1" applyBorder="1" applyAlignment="1">
      <alignment horizontal="center" vertical="center"/>
    </xf>
    <xf numFmtId="0" fontId="28" fillId="0" borderId="5" xfId="349" applyNumberFormat="1" applyFill="1" applyBorder="1" applyAlignment="1">
      <alignment horizontal="center" vertical="center"/>
    </xf>
    <xf numFmtId="0" fontId="28" fillId="0" borderId="18" xfId="349" applyNumberFormat="1" applyFill="1" applyBorder="1" applyAlignment="1">
      <alignment horizontal="center" vertical="center"/>
    </xf>
    <xf numFmtId="0" fontId="28" fillId="2" borderId="4" xfId="349" applyFill="1" applyBorder="1" applyAlignment="1">
      <alignment horizontal="center" vertical="center"/>
    </xf>
    <xf numFmtId="0" fontId="28" fillId="2" borderId="3" xfId="349" applyFill="1" applyBorder="1" applyAlignment="1">
      <alignment horizontal="center" vertical="center"/>
    </xf>
    <xf numFmtId="0" fontId="0" fillId="2" borderId="4" xfId="349" applyFont="1" applyFill="1" applyBorder="1" applyAlignment="1">
      <alignment horizontal="center" vertical="center"/>
    </xf>
    <xf numFmtId="0" fontId="28" fillId="2" borderId="16" xfId="349" applyFill="1" applyBorder="1" applyAlignment="1">
      <alignment horizontal="center" vertical="center"/>
    </xf>
    <xf numFmtId="0" fontId="0" fillId="0" borderId="21" xfId="349" applyFont="1" applyBorder="1" applyAlignment="1">
      <alignment horizontal="center"/>
    </xf>
    <xf numFmtId="0" fontId="28" fillId="0" borderId="21" xfId="349" applyBorder="1" applyAlignment="1">
      <alignment horizontal="center"/>
    </xf>
    <xf numFmtId="0" fontId="21" fillId="0" borderId="23" xfId="349" applyFont="1" applyBorder="1" applyAlignment="1">
      <alignment horizontal="center"/>
    </xf>
    <xf numFmtId="0" fontId="28" fillId="0" borderId="23" xfId="349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454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Input" xfId="10"/>
    <cellStyle name="Linked Cell" xfId="11"/>
    <cellStyle name="Neutral" xfId="12"/>
    <cellStyle name="Normal" xfId="0" builtinId="0"/>
    <cellStyle name="Normal 2" xfId="349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chartsheet" Target="chartsheets/sheet2.xml"/><Relationship Id="rId24" Type="http://schemas.openxmlformats.org/officeDocument/2006/relationships/worksheet" Target="worksheets/sheet22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28" Type="http://schemas.openxmlformats.org/officeDocument/2006/relationships/connections" Target="connections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50568"/>
        <c:axId val="-2108445160"/>
      </c:scatterChart>
      <c:valAx>
        <c:axId val="2128150568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108445160"/>
        <c:crosses val="autoZero"/>
        <c:crossBetween val="midCat"/>
        <c:majorUnit val="2.0"/>
      </c:valAx>
      <c:valAx>
        <c:axId val="-2108445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8150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08392"/>
        <c:axId val="-2092648904"/>
      </c:scatterChart>
      <c:valAx>
        <c:axId val="-2107508392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2648904"/>
        <c:crosses val="autoZero"/>
        <c:crossBetween val="midCat"/>
        <c:majorUnit val="2.0"/>
      </c:valAx>
      <c:valAx>
        <c:axId val="-20926489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107508392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0.0447019829118366</c:v>
                  </c:pt>
                  <c:pt idx="1">
                    <c:v>0.03876258965698</c:v>
                  </c:pt>
                  <c:pt idx="2">
                    <c:v>0.0129463817111968</c:v>
                  </c:pt>
                  <c:pt idx="3">
                    <c:v>0.0259628860044447</c:v>
                  </c:pt>
                  <c:pt idx="4">
                    <c:v>0.0130445034470631</c:v>
                  </c:pt>
                  <c:pt idx="5">
                    <c:v>0.0393553870830245</c:v>
                  </c:pt>
                  <c:pt idx="6">
                    <c:v>0.034859974073839</c:v>
                  </c:pt>
                  <c:pt idx="7">
                    <c:v>0.0476833986040096</c:v>
                  </c:pt>
                  <c:pt idx="8">
                    <c:v>0.0229768448760882</c:v>
                  </c:pt>
                  <c:pt idx="9">
                    <c:v>0.0531889899887802</c:v>
                  </c:pt>
                  <c:pt idx="10">
                    <c:v>0.0</c:v>
                  </c:pt>
                  <c:pt idx="11">
                    <c:v>0.0133642286870762</c:v>
                  </c:pt>
                  <c:pt idx="12">
                    <c:v>0.0354210068543939</c:v>
                  </c:pt>
                  <c:pt idx="13">
                    <c:v>0.0134248993749537</c:v>
                  </c:pt>
                  <c:pt idx="14">
                    <c:v>0.035825730636685</c:v>
                  </c:pt>
                  <c:pt idx="15">
                    <c:v>0.0270817068005305</c:v>
                  </c:pt>
                  <c:pt idx="16">
                    <c:v>0.0812451204015915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0.0447019829118366</c:v>
                  </c:pt>
                  <c:pt idx="1">
                    <c:v>0.03876258965698</c:v>
                  </c:pt>
                  <c:pt idx="2">
                    <c:v>0.0129463817111968</c:v>
                  </c:pt>
                  <c:pt idx="3">
                    <c:v>0.0259628860044447</c:v>
                  </c:pt>
                  <c:pt idx="4">
                    <c:v>0.0130445034470631</c:v>
                  </c:pt>
                  <c:pt idx="5">
                    <c:v>0.0393553870830245</c:v>
                  </c:pt>
                  <c:pt idx="6">
                    <c:v>0.034859974073839</c:v>
                  </c:pt>
                  <c:pt idx="7">
                    <c:v>0.0476833986040096</c:v>
                  </c:pt>
                  <c:pt idx="8">
                    <c:v>0.0229768448760882</c:v>
                  </c:pt>
                  <c:pt idx="9">
                    <c:v>0.0531889899887802</c:v>
                  </c:pt>
                  <c:pt idx="10">
                    <c:v>0.0</c:v>
                  </c:pt>
                  <c:pt idx="11">
                    <c:v>0.0133642286870762</c:v>
                  </c:pt>
                  <c:pt idx="12">
                    <c:v>0.0354210068543939</c:v>
                  </c:pt>
                  <c:pt idx="13">
                    <c:v>0.0134248993749537</c:v>
                  </c:pt>
                  <c:pt idx="14">
                    <c:v>0.035825730636685</c:v>
                  </c:pt>
                  <c:pt idx="15">
                    <c:v>0.0270817068005305</c:v>
                  </c:pt>
                  <c:pt idx="16">
                    <c:v>0.0812451204015915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0.625827760765712</c:v>
                </c:pt>
                <c:pt idx="1">
                  <c:v>0.604248972469499</c:v>
                </c:pt>
                <c:pt idx="2">
                  <c:v>0.635340742109243</c:v>
                </c:pt>
                <c:pt idx="3">
                  <c:v>0.704514923509467</c:v>
                </c:pt>
                <c:pt idx="4">
                  <c:v>0.57990606339873</c:v>
                </c:pt>
                <c:pt idx="5">
                  <c:v>0.5907679264876</c:v>
                </c:pt>
                <c:pt idx="6">
                  <c:v>0.623779739678112</c:v>
                </c:pt>
                <c:pt idx="7">
                  <c:v>0.748274549389989</c:v>
                </c:pt>
                <c:pt idx="8">
                  <c:v>0.735259036034822</c:v>
                </c:pt>
                <c:pt idx="9">
                  <c:v>0.821457128152571</c:v>
                </c:pt>
                <c:pt idx="10">
                  <c:v>0.877360075179228</c:v>
                </c:pt>
                <c:pt idx="11">
                  <c:v>1.057070221109336</c:v>
                </c:pt>
                <c:pt idx="12">
                  <c:v>1.213531089570672</c:v>
                </c:pt>
                <c:pt idx="13">
                  <c:v>1.294395167751521</c:v>
                </c:pt>
                <c:pt idx="14">
                  <c:v>2.009178546415001</c:v>
                </c:pt>
                <c:pt idx="15">
                  <c:v>2.329708975998717</c:v>
                </c:pt>
                <c:pt idx="16">
                  <c:v>2.57987906738113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0.242550043667183</c:v>
                  </c:pt>
                  <c:pt idx="1">
                    <c:v>0.368265042740573</c:v>
                  </c:pt>
                  <c:pt idx="2">
                    <c:v>0.070022151301878</c:v>
                  </c:pt>
                  <c:pt idx="3">
                    <c:v>0.0702117847515772</c:v>
                  </c:pt>
                  <c:pt idx="4">
                    <c:v>0.657491115351222</c:v>
                  </c:pt>
                  <c:pt idx="5">
                    <c:v>0.168135619890042</c:v>
                  </c:pt>
                  <c:pt idx="6">
                    <c:v>0.149221304872065</c:v>
                  </c:pt>
                  <c:pt idx="7">
                    <c:v>0.363647436341637</c:v>
                  </c:pt>
                  <c:pt idx="8">
                    <c:v>0.110796483680886</c:v>
                  </c:pt>
                  <c:pt idx="9">
                    <c:v>0.242665465938057</c:v>
                  </c:pt>
                  <c:pt idx="10">
                    <c:v>0.471505111557643</c:v>
                  </c:pt>
                  <c:pt idx="11">
                    <c:v>0.171285537345641</c:v>
                  </c:pt>
                  <c:pt idx="12">
                    <c:v>0.23677434718763</c:v>
                  </c:pt>
                  <c:pt idx="13">
                    <c:v>0.053281375130845</c:v>
                  </c:pt>
                  <c:pt idx="14">
                    <c:v>0.367312136553154</c:v>
                  </c:pt>
                  <c:pt idx="15">
                    <c:v>0.123555551638315</c:v>
                  </c:pt>
                  <c:pt idx="16">
                    <c:v>0.549562312758232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0.242550043667183</c:v>
                  </c:pt>
                  <c:pt idx="1">
                    <c:v>0.368265042740573</c:v>
                  </c:pt>
                  <c:pt idx="2">
                    <c:v>0.070022151301878</c:v>
                  </c:pt>
                  <c:pt idx="3">
                    <c:v>0.0702117847515772</c:v>
                  </c:pt>
                  <c:pt idx="4">
                    <c:v>0.657491115351222</c:v>
                  </c:pt>
                  <c:pt idx="5">
                    <c:v>0.168135619890042</c:v>
                  </c:pt>
                  <c:pt idx="6">
                    <c:v>0.149221304872065</c:v>
                  </c:pt>
                  <c:pt idx="7">
                    <c:v>0.363647436341637</c:v>
                  </c:pt>
                  <c:pt idx="8">
                    <c:v>0.110796483680886</c:v>
                  </c:pt>
                  <c:pt idx="9">
                    <c:v>0.242665465938057</c:v>
                  </c:pt>
                  <c:pt idx="10">
                    <c:v>0.471505111557643</c:v>
                  </c:pt>
                  <c:pt idx="11">
                    <c:v>0.171285537345641</c:v>
                  </c:pt>
                  <c:pt idx="12">
                    <c:v>0.23677434718763</c:v>
                  </c:pt>
                  <c:pt idx="13">
                    <c:v>0.053281375130845</c:v>
                  </c:pt>
                  <c:pt idx="14">
                    <c:v>0.367312136553154</c:v>
                  </c:pt>
                  <c:pt idx="15">
                    <c:v>0.123555551638315</c:v>
                  </c:pt>
                  <c:pt idx="16">
                    <c:v>0.549562312758232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48.8284511180422</c:v>
                </c:pt>
                <c:pt idx="1">
                  <c:v>49.0587877956004</c:v>
                </c:pt>
                <c:pt idx="2">
                  <c:v>48.44928947183145</c:v>
                </c:pt>
                <c:pt idx="3">
                  <c:v>48.89530020072424</c:v>
                </c:pt>
                <c:pt idx="4">
                  <c:v>45.80005870132946</c:v>
                </c:pt>
                <c:pt idx="5">
                  <c:v>43.07164476932671</c:v>
                </c:pt>
                <c:pt idx="6">
                  <c:v>41.01199076928461</c:v>
                </c:pt>
                <c:pt idx="7">
                  <c:v>40.30598426285027</c:v>
                </c:pt>
                <c:pt idx="8">
                  <c:v>37.78751884093621</c:v>
                </c:pt>
                <c:pt idx="9">
                  <c:v>35.25168008844556</c:v>
                </c:pt>
                <c:pt idx="10">
                  <c:v>34.03422465879063</c:v>
                </c:pt>
                <c:pt idx="11">
                  <c:v>33.49632516549213</c:v>
                </c:pt>
                <c:pt idx="12">
                  <c:v>33.45125668975406</c:v>
                </c:pt>
                <c:pt idx="13">
                  <c:v>32.9740281295086</c:v>
                </c:pt>
                <c:pt idx="14">
                  <c:v>32.75455551416296</c:v>
                </c:pt>
                <c:pt idx="15">
                  <c:v>34.43156999268974</c:v>
                </c:pt>
                <c:pt idx="16">
                  <c:v>32.71937339223582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0.0253358693144602</c:v>
                  </c:pt>
                  <c:pt idx="3">
                    <c:v>0.0254044837201866</c:v>
                  </c:pt>
                  <c:pt idx="4">
                    <c:v>0.02552789203805</c:v>
                  </c:pt>
                  <c:pt idx="5">
                    <c:v>0.0</c:v>
                  </c:pt>
                  <c:pt idx="6">
                    <c:v>0.0773546983857774</c:v>
                  </c:pt>
                  <c:pt idx="7">
                    <c:v>0.103524447093404</c:v>
                  </c:pt>
                  <c:pt idx="8">
                    <c:v>0.0519214919268448</c:v>
                  </c:pt>
                  <c:pt idx="9">
                    <c:v>0.0450723064218482</c:v>
                  </c:pt>
                  <c:pt idx="10">
                    <c:v>0.0690192230807112</c:v>
                  </c:pt>
                  <c:pt idx="11">
                    <c:v>0.0942981076230342</c:v>
                  </c:pt>
                  <c:pt idx="12">
                    <c:v>0.0907590429519321</c:v>
                  </c:pt>
                  <c:pt idx="13">
                    <c:v>0.0695100277342438</c:v>
                  </c:pt>
                  <c:pt idx="14">
                    <c:v>0.105996964961624</c:v>
                  </c:pt>
                  <c:pt idx="15">
                    <c:v>0.0701104022540213</c:v>
                  </c:pt>
                  <c:pt idx="16">
                    <c:v>0.238493171163654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0.0253358693144602</c:v>
                  </c:pt>
                  <c:pt idx="3">
                    <c:v>0.0254044837201866</c:v>
                  </c:pt>
                  <c:pt idx="4">
                    <c:v>0.02552789203805</c:v>
                  </c:pt>
                  <c:pt idx="5">
                    <c:v>0.0</c:v>
                  </c:pt>
                  <c:pt idx="6">
                    <c:v>0.0773546983857774</c:v>
                  </c:pt>
                  <c:pt idx="7">
                    <c:v>0.103524447093404</c:v>
                  </c:pt>
                  <c:pt idx="8">
                    <c:v>0.0519214919268448</c:v>
                  </c:pt>
                  <c:pt idx="9">
                    <c:v>0.0450723064218482</c:v>
                  </c:pt>
                  <c:pt idx="10">
                    <c:v>0.0690192230807112</c:v>
                  </c:pt>
                  <c:pt idx="11">
                    <c:v>0.0942981076230342</c:v>
                  </c:pt>
                  <c:pt idx="12">
                    <c:v>0.0907590429519321</c:v>
                  </c:pt>
                  <c:pt idx="13">
                    <c:v>0.0695100277342438</c:v>
                  </c:pt>
                  <c:pt idx="14">
                    <c:v>0.105996964961624</c:v>
                  </c:pt>
                  <c:pt idx="15">
                    <c:v>0.0701104022540213</c:v>
                  </c:pt>
                  <c:pt idx="16">
                    <c:v>0.238493171163654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0.0585106838754271</c:v>
                </c:pt>
                <c:pt idx="3">
                  <c:v>0.410683994405249</c:v>
                </c:pt>
                <c:pt idx="4">
                  <c:v>1.296991109921048</c:v>
                </c:pt>
                <c:pt idx="5">
                  <c:v>2.979241893084945</c:v>
                </c:pt>
                <c:pt idx="6">
                  <c:v>4.823361641099972</c:v>
                </c:pt>
                <c:pt idx="7">
                  <c:v>6.694225148473371</c:v>
                </c:pt>
                <c:pt idx="8">
                  <c:v>7.704060046557638</c:v>
                </c:pt>
                <c:pt idx="9">
                  <c:v>8.338376688041905</c:v>
                </c:pt>
                <c:pt idx="10">
                  <c:v>8.931308943115264</c:v>
                </c:pt>
                <c:pt idx="11">
                  <c:v>9.497762803142627</c:v>
                </c:pt>
                <c:pt idx="12">
                  <c:v>9.89273568176059</c:v>
                </c:pt>
                <c:pt idx="13">
                  <c:v>9.98076219438709</c:v>
                </c:pt>
                <c:pt idx="14">
                  <c:v>9.623287415922183</c:v>
                </c:pt>
                <c:pt idx="15">
                  <c:v>9.929274297191568</c:v>
                </c:pt>
                <c:pt idx="16">
                  <c:v>9.50089266341443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0.0385699598405171</c:v>
                </c:pt>
                <c:pt idx="1">
                  <c:v>0.152060993329485</c:v>
                </c:pt>
                <c:pt idx="2">
                  <c:v>0.318823130241349</c:v>
                </c:pt>
                <c:pt idx="3">
                  <c:v>0.518187871327253</c:v>
                </c:pt>
                <c:pt idx="4">
                  <c:v>0.747491105169661</c:v>
                </c:pt>
                <c:pt idx="5">
                  <c:v>1.009270745696978</c:v>
                </c:pt>
                <c:pt idx="6">
                  <c:v>1.319657621855338</c:v>
                </c:pt>
                <c:pt idx="7">
                  <c:v>1.719225108252091</c:v>
                </c:pt>
                <c:pt idx="8">
                  <c:v>2.261353151435033</c:v>
                </c:pt>
                <c:pt idx="9">
                  <c:v>2.966367505337498</c:v>
                </c:pt>
                <c:pt idx="10">
                  <c:v>3.841004066890991</c:v>
                </c:pt>
                <c:pt idx="11">
                  <c:v>4.903555384059595</c:v>
                </c:pt>
                <c:pt idx="12">
                  <c:v>6.187296713857826</c:v>
                </c:pt>
                <c:pt idx="13">
                  <c:v>7.696264092004097</c:v>
                </c:pt>
                <c:pt idx="14">
                  <c:v>9.394488302764067</c:v>
                </c:pt>
                <c:pt idx="15">
                  <c:v>11.27408886188343</c:v>
                </c:pt>
                <c:pt idx="16">
                  <c:v>13.33805658353737</c:v>
                </c:pt>
                <c:pt idx="17">
                  <c:v>15.53963624591794</c:v>
                </c:pt>
                <c:pt idx="18">
                  <c:v>17.83890949731508</c:v>
                </c:pt>
                <c:pt idx="19">
                  <c:v>20.20772306636262</c:v>
                </c:pt>
                <c:pt idx="20">
                  <c:v>22.68588388093022</c:v>
                </c:pt>
                <c:pt idx="21">
                  <c:v>25.23133582253674</c:v>
                </c:pt>
                <c:pt idx="22">
                  <c:v>27.75007443974513</c:v>
                </c:pt>
                <c:pt idx="23">
                  <c:v>30.33046312500512</c:v>
                </c:pt>
                <c:pt idx="24">
                  <c:v>32.96873437522952</c:v>
                </c:pt>
                <c:pt idx="25">
                  <c:v>35.58756797200316</c:v>
                </c:pt>
                <c:pt idx="26">
                  <c:v>38.25211555306897</c:v>
                </c:pt>
                <c:pt idx="27">
                  <c:v>40.99839984186645</c:v>
                </c:pt>
                <c:pt idx="28">
                  <c:v>43.78168335740465</c:v>
                </c:pt>
                <c:pt idx="29">
                  <c:v>46.56767830923901</c:v>
                </c:pt>
                <c:pt idx="30">
                  <c:v>49.30846776895476</c:v>
                </c:pt>
                <c:pt idx="31">
                  <c:v>52.05755686671914</c:v>
                </c:pt>
                <c:pt idx="32">
                  <c:v>54.80243325401149</c:v>
                </c:pt>
                <c:pt idx="33">
                  <c:v>57.47648422898572</c:v>
                </c:pt>
                <c:pt idx="34">
                  <c:v>60.18126495695162</c:v>
                </c:pt>
                <c:pt idx="35">
                  <c:v>62.91187506214419</c:v>
                </c:pt>
                <c:pt idx="36">
                  <c:v>65.63593041983212</c:v>
                </c:pt>
                <c:pt idx="37">
                  <c:v>68.22961564620366</c:v>
                </c:pt>
                <c:pt idx="38">
                  <c:v>70.41776966307405</c:v>
                </c:pt>
                <c:pt idx="39">
                  <c:v>72.20237876352247</c:v>
                </c:pt>
                <c:pt idx="40">
                  <c:v>73.69872459680398</c:v>
                </c:pt>
                <c:pt idx="41">
                  <c:v>74.95707154421485</c:v>
                </c:pt>
                <c:pt idx="42">
                  <c:v>76.01822378128068</c:v>
                </c:pt>
                <c:pt idx="43">
                  <c:v>76.90800453748764</c:v>
                </c:pt>
                <c:pt idx="44">
                  <c:v>77.64869549784891</c:v>
                </c:pt>
                <c:pt idx="45">
                  <c:v>78.25719245549573</c:v>
                </c:pt>
                <c:pt idx="46">
                  <c:v>78.76029238721224</c:v>
                </c:pt>
                <c:pt idx="47">
                  <c:v>79.17667392374818</c:v>
                </c:pt>
                <c:pt idx="48">
                  <c:v>79.53120113313758</c:v>
                </c:pt>
                <c:pt idx="49">
                  <c:v>79.83428461453068</c:v>
                </c:pt>
                <c:pt idx="50">
                  <c:v>80.08401373255698</c:v>
                </c:pt>
                <c:pt idx="51">
                  <c:v>80.29007650055566</c:v>
                </c:pt>
                <c:pt idx="52">
                  <c:v>80.45735419640692</c:v>
                </c:pt>
                <c:pt idx="53">
                  <c:v>80.59201483025585</c:v>
                </c:pt>
                <c:pt idx="54">
                  <c:v>80.70489206741924</c:v>
                </c:pt>
                <c:pt idx="55">
                  <c:v>80.8006845818595</c:v>
                </c:pt>
                <c:pt idx="56">
                  <c:v>80.8818492717697</c:v>
                </c:pt>
                <c:pt idx="57">
                  <c:v>80.95172353642613</c:v>
                </c:pt>
                <c:pt idx="58">
                  <c:v>81.01227549586374</c:v>
                </c:pt>
                <c:pt idx="59">
                  <c:v>81.06636877974189</c:v>
                </c:pt>
                <c:pt idx="60">
                  <c:v>81.11869431608943</c:v>
                </c:pt>
                <c:pt idx="61">
                  <c:v>81.16949883324038</c:v>
                </c:pt>
                <c:pt idx="62">
                  <c:v>81.21891369726726</c:v>
                </c:pt>
                <c:pt idx="63">
                  <c:v>81.26657121374986</c:v>
                </c:pt>
                <c:pt idx="64">
                  <c:v>81.31072351723489</c:v>
                </c:pt>
                <c:pt idx="65">
                  <c:v>81.35295306336479</c:v>
                </c:pt>
                <c:pt idx="66">
                  <c:v>81.39539226906383</c:v>
                </c:pt>
                <c:pt idx="67">
                  <c:v>81.4390725751269</c:v>
                </c:pt>
                <c:pt idx="68">
                  <c:v>81.4840640436713</c:v>
                </c:pt>
                <c:pt idx="69">
                  <c:v>81.53102199254633</c:v>
                </c:pt>
                <c:pt idx="70">
                  <c:v>81.57874904436341</c:v>
                </c:pt>
                <c:pt idx="71">
                  <c:v>81.6271493246462</c:v>
                </c:pt>
                <c:pt idx="72">
                  <c:v>81.67937826258846</c:v>
                </c:pt>
                <c:pt idx="73">
                  <c:v>81.73538370668933</c:v>
                </c:pt>
                <c:pt idx="74">
                  <c:v>81.79281409836436</c:v>
                </c:pt>
                <c:pt idx="75">
                  <c:v>81.85138918914424</c:v>
                </c:pt>
                <c:pt idx="76">
                  <c:v>81.91168633301835</c:v>
                </c:pt>
                <c:pt idx="77">
                  <c:v>81.97116222244954</c:v>
                </c:pt>
                <c:pt idx="78">
                  <c:v>82.02948445746765</c:v>
                </c:pt>
                <c:pt idx="79">
                  <c:v>82.08740423039826</c:v>
                </c:pt>
                <c:pt idx="80">
                  <c:v>82.14469449783864</c:v>
                </c:pt>
                <c:pt idx="81">
                  <c:v>82.20154806230712</c:v>
                </c:pt>
                <c:pt idx="82">
                  <c:v>82.25672329665686</c:v>
                </c:pt>
                <c:pt idx="83">
                  <c:v>82.30992256858492</c:v>
                </c:pt>
                <c:pt idx="84">
                  <c:v>82.36153095634517</c:v>
                </c:pt>
                <c:pt idx="85">
                  <c:v>82.412387624997</c:v>
                </c:pt>
                <c:pt idx="86">
                  <c:v>82.46205534478565</c:v>
                </c:pt>
                <c:pt idx="87">
                  <c:v>82.50946790724901</c:v>
                </c:pt>
                <c:pt idx="88">
                  <c:v>82.55438035836788</c:v>
                </c:pt>
                <c:pt idx="89">
                  <c:v>82.59649559262215</c:v>
                </c:pt>
                <c:pt idx="90">
                  <c:v>82.6355955219173</c:v>
                </c:pt>
                <c:pt idx="91">
                  <c:v>82.67211684922525</c:v>
                </c:pt>
                <c:pt idx="92">
                  <c:v>82.70598951242863</c:v>
                </c:pt>
                <c:pt idx="93">
                  <c:v>82.73749323321392</c:v>
                </c:pt>
                <c:pt idx="94">
                  <c:v>82.767659452376</c:v>
                </c:pt>
                <c:pt idx="95">
                  <c:v>82.79708290773791</c:v>
                </c:pt>
                <c:pt idx="96">
                  <c:v>82.82601913965041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0.20001743947281</c:v>
                  </c:pt>
                  <c:pt idx="1">
                    <c:v>0.309764053691973</c:v>
                  </c:pt>
                  <c:pt idx="2">
                    <c:v>0.11883198790924</c:v>
                  </c:pt>
                  <c:pt idx="3">
                    <c:v>0.0649072150111103</c:v>
                  </c:pt>
                  <c:pt idx="4">
                    <c:v>0.718247701715469</c:v>
                  </c:pt>
                  <c:pt idx="5">
                    <c:v>0.0970677572408366</c:v>
                  </c:pt>
                  <c:pt idx="6">
                    <c:v>0.0733599263565715</c:v>
                  </c:pt>
                  <c:pt idx="7">
                    <c:v>0.197158910948818</c:v>
                  </c:pt>
                  <c:pt idx="8">
                    <c:v>0.0403460136579117</c:v>
                  </c:pt>
                  <c:pt idx="9">
                    <c:v>0.0755138497879934</c:v>
                  </c:pt>
                  <c:pt idx="10">
                    <c:v>0.144187155614972</c:v>
                  </c:pt>
                  <c:pt idx="11">
                    <c:v>0.0400926860612286</c:v>
                  </c:pt>
                  <c:pt idx="12">
                    <c:v>0.0306754917635278</c:v>
                  </c:pt>
                  <c:pt idx="13">
                    <c:v>9.88046871900159E-17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0.20001743947281</c:v>
                  </c:pt>
                  <c:pt idx="1">
                    <c:v>0.309764053691973</c:v>
                  </c:pt>
                  <c:pt idx="2">
                    <c:v>0.11883198790924</c:v>
                  </c:pt>
                  <c:pt idx="3">
                    <c:v>0.0649072150111103</c:v>
                  </c:pt>
                  <c:pt idx="4">
                    <c:v>0.718247701715469</c:v>
                  </c:pt>
                  <c:pt idx="5">
                    <c:v>0.0970677572408366</c:v>
                  </c:pt>
                  <c:pt idx="6">
                    <c:v>0.0733599263565715</c:v>
                  </c:pt>
                  <c:pt idx="7">
                    <c:v>0.197158910948818</c:v>
                  </c:pt>
                  <c:pt idx="8">
                    <c:v>0.0403460136579117</c:v>
                  </c:pt>
                  <c:pt idx="9">
                    <c:v>0.0755138497879934</c:v>
                  </c:pt>
                  <c:pt idx="10">
                    <c:v>0.144187155614972</c:v>
                  </c:pt>
                  <c:pt idx="11">
                    <c:v>0.0400926860612286</c:v>
                  </c:pt>
                  <c:pt idx="12">
                    <c:v>0.0306754917635278</c:v>
                  </c:pt>
                  <c:pt idx="13">
                    <c:v>9.88046871900159E-17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49.23550901214534</c:v>
                </c:pt>
                <c:pt idx="1">
                  <c:v>48.99638581703298</c:v>
                </c:pt>
                <c:pt idx="2">
                  <c:v>47.88226816413892</c:v>
                </c:pt>
                <c:pt idx="3">
                  <c:v>46.77529401726158</c:v>
                </c:pt>
                <c:pt idx="4">
                  <c:v>41.05659616387243</c:v>
                </c:pt>
                <c:pt idx="5">
                  <c:v>35.57104572755144</c:v>
                </c:pt>
                <c:pt idx="6">
                  <c:v>30.45110119428637</c:v>
                </c:pt>
                <c:pt idx="7">
                  <c:v>26.71263786776402</c:v>
                </c:pt>
                <c:pt idx="8">
                  <c:v>21.8088552615537</c:v>
                </c:pt>
                <c:pt idx="9">
                  <c:v>16.85906405068267</c:v>
                </c:pt>
                <c:pt idx="10">
                  <c:v>12.45620422524193</c:v>
                </c:pt>
                <c:pt idx="11">
                  <c:v>8.113206843039906</c:v>
                </c:pt>
                <c:pt idx="12">
                  <c:v>4.347842279512758</c:v>
                </c:pt>
                <c:pt idx="13">
                  <c:v>0.534809979490149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0.0349050577958667</c:v>
                  </c:pt>
                  <c:pt idx="1">
                    <c:v>0.0792585194938319</c:v>
                  </c:pt>
                  <c:pt idx="2">
                    <c:v>0.02647168458846</c:v>
                  </c:pt>
                  <c:pt idx="3">
                    <c:v>0.0132716875001724</c:v>
                  </c:pt>
                  <c:pt idx="4">
                    <c:v>0.205307540869491</c:v>
                  </c:pt>
                  <c:pt idx="5">
                    <c:v>0.0354842091055529</c:v>
                  </c:pt>
                  <c:pt idx="6">
                    <c:v>0.0617292305286332</c:v>
                  </c:pt>
                  <c:pt idx="7">
                    <c:v>0.201906887301315</c:v>
                  </c:pt>
                  <c:pt idx="8">
                    <c:v>0.0949360113139746</c:v>
                  </c:pt>
                  <c:pt idx="9">
                    <c:v>0.15440443965276</c:v>
                  </c:pt>
                  <c:pt idx="10">
                    <c:v>0.475229736003364</c:v>
                  </c:pt>
                  <c:pt idx="11">
                    <c:v>0.184830066494397</c:v>
                  </c:pt>
                  <c:pt idx="12">
                    <c:v>0.395984135797676</c:v>
                  </c:pt>
                  <c:pt idx="13">
                    <c:v>0.0363130924595096</c:v>
                  </c:pt>
                  <c:pt idx="14">
                    <c:v>0.567587822564198</c:v>
                  </c:pt>
                  <c:pt idx="15">
                    <c:v>0.199655316837481</c:v>
                  </c:pt>
                  <c:pt idx="16">
                    <c:v>1.229901309476583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0.0349050577958667</c:v>
                  </c:pt>
                  <c:pt idx="1">
                    <c:v>0.0792585194938319</c:v>
                  </c:pt>
                  <c:pt idx="2">
                    <c:v>0.02647168458846</c:v>
                  </c:pt>
                  <c:pt idx="3">
                    <c:v>0.0132716875001724</c:v>
                  </c:pt>
                  <c:pt idx="4">
                    <c:v>0.205307540869491</c:v>
                  </c:pt>
                  <c:pt idx="5">
                    <c:v>0.0354842091055529</c:v>
                  </c:pt>
                  <c:pt idx="6">
                    <c:v>0.0617292305286332</c:v>
                  </c:pt>
                  <c:pt idx="7">
                    <c:v>0.201906887301315</c:v>
                  </c:pt>
                  <c:pt idx="8">
                    <c:v>0.0949360113139746</c:v>
                  </c:pt>
                  <c:pt idx="9">
                    <c:v>0.15440443965276</c:v>
                  </c:pt>
                  <c:pt idx="10">
                    <c:v>0.475229736003364</c:v>
                  </c:pt>
                  <c:pt idx="11">
                    <c:v>0.184830066494397</c:v>
                  </c:pt>
                  <c:pt idx="12">
                    <c:v>0.395984135797676</c:v>
                  </c:pt>
                  <c:pt idx="13">
                    <c:v>0.0363130924595096</c:v>
                  </c:pt>
                  <c:pt idx="14">
                    <c:v>0.567587822564198</c:v>
                  </c:pt>
                  <c:pt idx="15">
                    <c:v>0.199655316837481</c:v>
                  </c:pt>
                  <c:pt idx="16">
                    <c:v>1.229901309476583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2.16320189210135</c:v>
                </c:pt>
                <c:pt idx="1">
                  <c:v>3.065915146877444</c:v>
                </c:pt>
                <c:pt idx="2">
                  <c:v>4.24879471400796</c:v>
                </c:pt>
                <c:pt idx="3">
                  <c:v>6.727598044024446</c:v>
                </c:pt>
                <c:pt idx="4">
                  <c:v>11.0412756436145</c:v>
                </c:pt>
                <c:pt idx="5">
                  <c:v>17.34496791486264</c:v>
                </c:pt>
                <c:pt idx="6">
                  <c:v>23.84474811991198</c:v>
                </c:pt>
                <c:pt idx="7">
                  <c:v>31.15442946936913</c:v>
                </c:pt>
                <c:pt idx="8">
                  <c:v>35.67434673859053</c:v>
                </c:pt>
                <c:pt idx="9">
                  <c:v>40.05252216639015</c:v>
                </c:pt>
                <c:pt idx="10">
                  <c:v>44.34525708938472</c:v>
                </c:pt>
                <c:pt idx="11">
                  <c:v>49.27066539606567</c:v>
                </c:pt>
                <c:pt idx="12">
                  <c:v>53.00874042937882</c:v>
                </c:pt>
                <c:pt idx="13">
                  <c:v>55.7068899639421</c:v>
                </c:pt>
                <c:pt idx="14">
                  <c:v>56.69157791129155</c:v>
                </c:pt>
                <c:pt idx="15">
                  <c:v>60.33620776150288</c:v>
                </c:pt>
                <c:pt idx="16">
                  <c:v>61.62301786212574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0.00737209926704556</c:v>
                </c:pt>
                <c:pt idx="1">
                  <c:v>0.0944025296863797</c:v>
                </c:pt>
                <c:pt idx="2">
                  <c:v>0.366563188388706</c:v>
                </c:pt>
                <c:pt idx="3">
                  <c:v>0.815372856294574</c:v>
                </c:pt>
                <c:pt idx="4">
                  <c:v>1.403614822804638</c:v>
                </c:pt>
                <c:pt idx="5">
                  <c:v>2.109516526114804</c:v>
                </c:pt>
                <c:pt idx="6">
                  <c:v>3.051704686884304</c:v>
                </c:pt>
                <c:pt idx="7">
                  <c:v>4.485585022140787</c:v>
                </c:pt>
                <c:pt idx="8">
                  <c:v>6.560636743902471</c:v>
                </c:pt>
                <c:pt idx="9">
                  <c:v>8.897182461812381</c:v>
                </c:pt>
                <c:pt idx="10">
                  <c:v>11.2176345590807</c:v>
                </c:pt>
                <c:pt idx="11">
                  <c:v>13.70208977218337</c:v>
                </c:pt>
                <c:pt idx="12">
                  <c:v>16.41413025495683</c:v>
                </c:pt>
                <c:pt idx="13">
                  <c:v>19.22886873867216</c:v>
                </c:pt>
                <c:pt idx="14">
                  <c:v>21.95226632336556</c:v>
                </c:pt>
                <c:pt idx="15">
                  <c:v>24.66966737448494</c:v>
                </c:pt>
                <c:pt idx="16">
                  <c:v>27.39204061078167</c:v>
                </c:pt>
                <c:pt idx="17">
                  <c:v>30.0988995619633</c:v>
                </c:pt>
                <c:pt idx="18">
                  <c:v>32.94994593924744</c:v>
                </c:pt>
                <c:pt idx="19">
                  <c:v>35.98046588481943</c:v>
                </c:pt>
                <c:pt idx="20">
                  <c:v>39.00295271601372</c:v>
                </c:pt>
                <c:pt idx="21">
                  <c:v>41.88384065387576</c:v>
                </c:pt>
                <c:pt idx="22">
                  <c:v>44.67273794793408</c:v>
                </c:pt>
                <c:pt idx="23">
                  <c:v>47.51687244928115</c:v>
                </c:pt>
                <c:pt idx="24">
                  <c:v>50.74574593566156</c:v>
                </c:pt>
                <c:pt idx="25">
                  <c:v>54.02302849771046</c:v>
                </c:pt>
                <c:pt idx="26">
                  <c:v>57.2173173679645</c:v>
                </c:pt>
                <c:pt idx="27">
                  <c:v>60.57329037713627</c:v>
                </c:pt>
                <c:pt idx="28">
                  <c:v>63.95271118771644</c:v>
                </c:pt>
                <c:pt idx="29">
                  <c:v>67.4360716032765</c:v>
                </c:pt>
                <c:pt idx="30">
                  <c:v>71.0066417566742</c:v>
                </c:pt>
                <c:pt idx="31">
                  <c:v>74.73804252852261</c:v>
                </c:pt>
                <c:pt idx="32">
                  <c:v>78.53818398539837</c:v>
                </c:pt>
                <c:pt idx="33">
                  <c:v>82.25483878277244</c:v>
                </c:pt>
                <c:pt idx="34">
                  <c:v>86.08332360430173</c:v>
                </c:pt>
                <c:pt idx="35">
                  <c:v>89.9768369718338</c:v>
                </c:pt>
                <c:pt idx="36">
                  <c:v>93.91035554863715</c:v>
                </c:pt>
                <c:pt idx="37">
                  <c:v>97.17489635821029</c:v>
                </c:pt>
                <c:pt idx="38">
                  <c:v>98.93155919509764</c:v>
                </c:pt>
                <c:pt idx="39">
                  <c:v>99.61116147050074</c:v>
                </c:pt>
                <c:pt idx="40">
                  <c:v>99.849426267927</c:v>
                </c:pt>
                <c:pt idx="41">
                  <c:v>99.9518452736952</c:v>
                </c:pt>
                <c:pt idx="42">
                  <c:v>100.0178509566712</c:v>
                </c:pt>
                <c:pt idx="43">
                  <c:v>100.0704858306609</c:v>
                </c:pt>
                <c:pt idx="44">
                  <c:v>100.1179959928018</c:v>
                </c:pt>
                <c:pt idx="45">
                  <c:v>100.1596352820208</c:v>
                </c:pt>
                <c:pt idx="46">
                  <c:v>100.2058561043235</c:v>
                </c:pt>
                <c:pt idx="47">
                  <c:v>100.2513979531702</c:v>
                </c:pt>
                <c:pt idx="48">
                  <c:v>100.2957462545618</c:v>
                </c:pt>
                <c:pt idx="49">
                  <c:v>100.343828117408</c:v>
                </c:pt>
                <c:pt idx="50">
                  <c:v>100.3907973470672</c:v>
                </c:pt>
                <c:pt idx="51">
                  <c:v>100.4362597191907</c:v>
                </c:pt>
                <c:pt idx="52">
                  <c:v>100.4821168159476</c:v>
                </c:pt>
                <c:pt idx="53">
                  <c:v>100.5291580866045</c:v>
                </c:pt>
                <c:pt idx="54">
                  <c:v>100.5744053363043</c:v>
                </c:pt>
                <c:pt idx="55">
                  <c:v>100.6192578613708</c:v>
                </c:pt>
                <c:pt idx="56">
                  <c:v>100.6631058147469</c:v>
                </c:pt>
                <c:pt idx="57">
                  <c:v>100.7070973498336</c:v>
                </c:pt>
                <c:pt idx="58">
                  <c:v>100.7545333451239</c:v>
                </c:pt>
                <c:pt idx="59">
                  <c:v>100.8014310340701</c:v>
                </c:pt>
                <c:pt idx="60">
                  <c:v>100.8504428403315</c:v>
                </c:pt>
                <c:pt idx="61">
                  <c:v>100.9030737135784</c:v>
                </c:pt>
                <c:pt idx="62">
                  <c:v>100.9423674989576</c:v>
                </c:pt>
                <c:pt idx="63">
                  <c:v>100.9772784511327</c:v>
                </c:pt>
                <c:pt idx="64">
                  <c:v>101.0251867162458</c:v>
                </c:pt>
                <c:pt idx="65">
                  <c:v>101.077742259547</c:v>
                </c:pt>
                <c:pt idx="66">
                  <c:v>101.1311664677465</c:v>
                </c:pt>
                <c:pt idx="67">
                  <c:v>101.1859134276497</c:v>
                </c:pt>
                <c:pt idx="68">
                  <c:v>101.2451944074312</c:v>
                </c:pt>
                <c:pt idx="69">
                  <c:v>101.3113140820029</c:v>
                </c:pt>
                <c:pt idx="70">
                  <c:v>101.3798142882151</c:v>
                </c:pt>
                <c:pt idx="71">
                  <c:v>101.4460472210968</c:v>
                </c:pt>
                <c:pt idx="72">
                  <c:v>101.5148492738746</c:v>
                </c:pt>
                <c:pt idx="73">
                  <c:v>101.5872787532682</c:v>
                </c:pt>
                <c:pt idx="74">
                  <c:v>101.6573277010212</c:v>
                </c:pt>
                <c:pt idx="75">
                  <c:v>101.7253738204279</c:v>
                </c:pt>
                <c:pt idx="76">
                  <c:v>101.7924000882622</c:v>
                </c:pt>
                <c:pt idx="77">
                  <c:v>101.8540615996842</c:v>
                </c:pt>
                <c:pt idx="78">
                  <c:v>101.9100554545626</c:v>
                </c:pt>
                <c:pt idx="79">
                  <c:v>101.9628375144838</c:v>
                </c:pt>
                <c:pt idx="80">
                  <c:v>102.0093856263116</c:v>
                </c:pt>
                <c:pt idx="81">
                  <c:v>102.0507196416186</c:v>
                </c:pt>
                <c:pt idx="82">
                  <c:v>102.0881617853256</c:v>
                </c:pt>
                <c:pt idx="83">
                  <c:v>102.120541019186</c:v>
                </c:pt>
                <c:pt idx="84">
                  <c:v>102.149595726562</c:v>
                </c:pt>
                <c:pt idx="85">
                  <c:v>102.1783859889538</c:v>
                </c:pt>
                <c:pt idx="86">
                  <c:v>102.2081207729724</c:v>
                </c:pt>
                <c:pt idx="87">
                  <c:v>102.2329817621828</c:v>
                </c:pt>
                <c:pt idx="88">
                  <c:v>102.2521376932683</c:v>
                </c:pt>
                <c:pt idx="89">
                  <c:v>102.2718983710507</c:v>
                </c:pt>
                <c:pt idx="90">
                  <c:v>102.2907519287877</c:v>
                </c:pt>
                <c:pt idx="91">
                  <c:v>102.3070358398457</c:v>
                </c:pt>
                <c:pt idx="92">
                  <c:v>102.3234330092137</c:v>
                </c:pt>
                <c:pt idx="93">
                  <c:v>102.339981365256</c:v>
                </c:pt>
                <c:pt idx="94">
                  <c:v>102.3544894913704</c:v>
                </c:pt>
                <c:pt idx="95">
                  <c:v>102.3684687275165</c:v>
                </c:pt>
                <c:pt idx="96">
                  <c:v>102.3816396289517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82760"/>
        <c:axId val="-211284263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9672.0</c:v>
                </c:pt>
                <c:pt idx="1">
                  <c:v>14113.0</c:v>
                </c:pt>
                <c:pt idx="2">
                  <c:v>29483.0</c:v>
                </c:pt>
                <c:pt idx="3">
                  <c:v>4593.0</c:v>
                </c:pt>
                <c:pt idx="4">
                  <c:v>8801.0</c:v>
                </c:pt>
                <c:pt idx="5">
                  <c:v>13220.0</c:v>
                </c:pt>
                <c:pt idx="6">
                  <c:v>15741.0</c:v>
                </c:pt>
                <c:pt idx="7">
                  <c:v>20796.0</c:v>
                </c:pt>
                <c:pt idx="8">
                  <c:v>26554.0</c:v>
                </c:pt>
                <c:pt idx="9">
                  <c:v>3023.0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0.0199452940011325</c:v>
                  </c:pt>
                  <c:pt idx="1">
                    <c:v>0.0476376372375419</c:v>
                  </c:pt>
                  <c:pt idx="2">
                    <c:v>0.0051481229385461</c:v>
                  </c:pt>
                  <c:pt idx="3">
                    <c:v>0.0380438295115917</c:v>
                  </c:pt>
                  <c:pt idx="4">
                    <c:v>0.0269622962996134</c:v>
                  </c:pt>
                  <c:pt idx="5">
                    <c:v>0.00683519263186187</c:v>
                  </c:pt>
                  <c:pt idx="6">
                    <c:v>0.0167163020035314</c:v>
                  </c:pt>
                  <c:pt idx="7">
                    <c:v>0.00971051080708207</c:v>
                  </c:pt>
                  <c:pt idx="8">
                    <c:v>0.0118049367858636</c:v>
                  </c:pt>
                  <c:pt idx="9">
                    <c:v>0.0758985124800563</c:v>
                  </c:pt>
                  <c:pt idx="10">
                    <c:v>0.0624352175537658</c:v>
                  </c:pt>
                  <c:pt idx="11">
                    <c:v>0.0582388454975597</c:v>
                  </c:pt>
                  <c:pt idx="12">
                    <c:v>0.00925457552793157</c:v>
                  </c:pt>
                  <c:pt idx="13">
                    <c:v>0.0333964083918344</c:v>
                  </c:pt>
                  <c:pt idx="14">
                    <c:v>0.0144844955443256</c:v>
                  </c:pt>
                  <c:pt idx="15">
                    <c:v>0.0144844955443256</c:v>
                  </c:pt>
                  <c:pt idx="16">
                    <c:v>0.0290375278550387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0.0199452940011325</c:v>
                  </c:pt>
                  <c:pt idx="1">
                    <c:v>0.0476376372375419</c:v>
                  </c:pt>
                  <c:pt idx="2">
                    <c:v>0.0051481229385461</c:v>
                  </c:pt>
                  <c:pt idx="3">
                    <c:v>0.0380438295115917</c:v>
                  </c:pt>
                  <c:pt idx="4">
                    <c:v>0.0269622962996134</c:v>
                  </c:pt>
                  <c:pt idx="5">
                    <c:v>0.00683519263186187</c:v>
                  </c:pt>
                  <c:pt idx="6">
                    <c:v>0.0167163020035314</c:v>
                  </c:pt>
                  <c:pt idx="7">
                    <c:v>0.00971051080708207</c:v>
                  </c:pt>
                  <c:pt idx="8">
                    <c:v>0.0118049367858636</c:v>
                  </c:pt>
                  <c:pt idx="9">
                    <c:v>0.0758985124800563</c:v>
                  </c:pt>
                  <c:pt idx="10">
                    <c:v>0.0624352175537658</c:v>
                  </c:pt>
                  <c:pt idx="11">
                    <c:v>0.0582388454975597</c:v>
                  </c:pt>
                  <c:pt idx="12">
                    <c:v>0.00925457552793157</c:v>
                  </c:pt>
                  <c:pt idx="13">
                    <c:v>0.0333964083918344</c:v>
                  </c:pt>
                  <c:pt idx="14">
                    <c:v>0.0144844955443256</c:v>
                  </c:pt>
                  <c:pt idx="15">
                    <c:v>0.0144844955443256</c:v>
                  </c:pt>
                  <c:pt idx="16">
                    <c:v>0.0290375278550387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8.134132437911431</c:v>
                </c:pt>
                <c:pt idx="1">
                  <c:v>8.281085288901335</c:v>
                </c:pt>
                <c:pt idx="2">
                  <c:v>8.631518433287338</c:v>
                </c:pt>
                <c:pt idx="3">
                  <c:v>8.798801307790374</c:v>
                </c:pt>
                <c:pt idx="4">
                  <c:v>9.103917459719841</c:v>
                </c:pt>
                <c:pt idx="5">
                  <c:v>9.293162824274697</c:v>
                </c:pt>
                <c:pt idx="6">
                  <c:v>9.3864706815949</c:v>
                </c:pt>
                <c:pt idx="7">
                  <c:v>9.487339204887103</c:v>
                </c:pt>
                <c:pt idx="8">
                  <c:v>9.608439072535833</c:v>
                </c:pt>
                <c:pt idx="9">
                  <c:v>9.642269928990638</c:v>
                </c:pt>
                <c:pt idx="10">
                  <c:v>9.76248234784372</c:v>
                </c:pt>
                <c:pt idx="11">
                  <c:v>9.759020237510762</c:v>
                </c:pt>
                <c:pt idx="12">
                  <c:v>9.754275866139693</c:v>
                </c:pt>
                <c:pt idx="13">
                  <c:v>10.03808064303219</c:v>
                </c:pt>
                <c:pt idx="14">
                  <c:v>9.865005358661166</c:v>
                </c:pt>
                <c:pt idx="15">
                  <c:v>9.865005358661166</c:v>
                </c:pt>
                <c:pt idx="16">
                  <c:v>10.02119767144828</c:v>
                </c:pt>
              </c:numCache>
            </c:numRef>
          </c:yVal>
          <c:smooth val="0"/>
        </c:ser>
        <c:ser>
          <c:idx val="5"/>
          <c:order val="9"/>
          <c:tx>
            <c:v>R. intestinalis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0.262668668049453</c:v>
                  </c:pt>
                  <c:pt idx="1">
                    <c:v>0.0445163820559317</c:v>
                  </c:pt>
                  <c:pt idx="2">
                    <c:v>0.0502279067257784</c:v>
                  </c:pt>
                  <c:pt idx="3">
                    <c:v>0.0686271984911838</c:v>
                  </c:pt>
                  <c:pt idx="4">
                    <c:v>0.025157055401184</c:v>
                  </c:pt>
                  <c:pt idx="5">
                    <c:v>0.0416247930379271</c:v>
                  </c:pt>
                  <c:pt idx="6">
                    <c:v>0.0579034068005949</c:v>
                  </c:pt>
                  <c:pt idx="7">
                    <c:v>0.00912589704211985</c:v>
                  </c:pt>
                  <c:pt idx="8">
                    <c:v>0.040091389881319</c:v>
                  </c:pt>
                  <c:pt idx="9">
                    <c:v>0.0179382409794949</c:v>
                  </c:pt>
                  <c:pt idx="10">
                    <c:v>0.0270983815987034</c:v>
                  </c:pt>
                  <c:pt idx="11">
                    <c:v>0.00857646548929453</c:v>
                  </c:pt>
                  <c:pt idx="12">
                    <c:v>0.0476810206772697</c:v>
                  </c:pt>
                  <c:pt idx="13">
                    <c:v>0.022624466358725</c:v>
                  </c:pt>
                  <c:pt idx="14">
                    <c:v>0.024997337213074</c:v>
                  </c:pt>
                  <c:pt idx="15">
                    <c:v>0.0201221113987039</c:v>
                  </c:pt>
                  <c:pt idx="16">
                    <c:v>0.0748732984947589</c:v>
                  </c:pt>
                </c:numCache>
              </c:numRef>
            </c:plus>
            <c:min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0.262668668049453</c:v>
                  </c:pt>
                  <c:pt idx="1">
                    <c:v>0.0445163820559317</c:v>
                  </c:pt>
                  <c:pt idx="2">
                    <c:v>0.0502279067257784</c:v>
                  </c:pt>
                  <c:pt idx="3">
                    <c:v>0.0686271984911838</c:v>
                  </c:pt>
                  <c:pt idx="4">
                    <c:v>0.025157055401184</c:v>
                  </c:pt>
                  <c:pt idx="5">
                    <c:v>0.0416247930379271</c:v>
                  </c:pt>
                  <c:pt idx="6">
                    <c:v>0.0579034068005949</c:v>
                  </c:pt>
                  <c:pt idx="7">
                    <c:v>0.00912589704211985</c:v>
                  </c:pt>
                  <c:pt idx="8">
                    <c:v>0.040091389881319</c:v>
                  </c:pt>
                  <c:pt idx="9">
                    <c:v>0.0179382409794949</c:v>
                  </c:pt>
                  <c:pt idx="10">
                    <c:v>0.0270983815987034</c:v>
                  </c:pt>
                  <c:pt idx="11">
                    <c:v>0.00857646548929453</c:v>
                  </c:pt>
                  <c:pt idx="12">
                    <c:v>0.0476810206772697</c:v>
                  </c:pt>
                  <c:pt idx="13">
                    <c:v>0.022624466358725</c:v>
                  </c:pt>
                  <c:pt idx="14">
                    <c:v>0.024997337213074</c:v>
                  </c:pt>
                  <c:pt idx="15">
                    <c:v>0.0201221113987039</c:v>
                  </c:pt>
                  <c:pt idx="16">
                    <c:v>0.0748732984947589</c:v>
                  </c:pt>
                </c:numCache>
              </c:numRef>
            </c:minus>
          </c:errBars>
          <c:xVal>
            <c:numRef>
              <c:f>'Determination cell counts RI'!$D$4:$D$20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RI'!$R$4:$R$20</c:f>
              <c:numCache>
                <c:formatCode>0.00</c:formatCode>
                <c:ptCount val="17"/>
                <c:pt idx="0">
                  <c:v>8.076617613304684</c:v>
                </c:pt>
                <c:pt idx="1">
                  <c:v>8.567405547656365</c:v>
                </c:pt>
                <c:pt idx="2">
                  <c:v>8.658689782822031</c:v>
                </c:pt>
                <c:pt idx="3">
                  <c:v>8.892121671361953</c:v>
                </c:pt>
                <c:pt idx="4">
                  <c:v>9.28763481013208</c:v>
                </c:pt>
                <c:pt idx="5">
                  <c:v>9.393127741356306</c:v>
                </c:pt>
                <c:pt idx="6">
                  <c:v>9.367033853064723</c:v>
                </c:pt>
                <c:pt idx="7">
                  <c:v>9.55943563902149</c:v>
                </c:pt>
                <c:pt idx="8">
                  <c:v>9.668813952450897</c:v>
                </c:pt>
                <c:pt idx="9">
                  <c:v>9.741434032028266</c:v>
                </c:pt>
                <c:pt idx="10">
                  <c:v>9.79335165143142</c:v>
                </c:pt>
                <c:pt idx="11">
                  <c:v>9.903855735130545</c:v>
                </c:pt>
                <c:pt idx="12">
                  <c:v>9.951945975001114</c:v>
                </c:pt>
                <c:pt idx="13">
                  <c:v>10.03094886899866</c:v>
                </c:pt>
                <c:pt idx="14">
                  <c:v>9.724031758022138</c:v>
                </c:pt>
                <c:pt idx="15">
                  <c:v>9.81448797707105</c:v>
                </c:pt>
                <c:pt idx="16">
                  <c:v>9.32916259720741</c:v>
                </c:pt>
              </c:numCache>
            </c:numRef>
          </c:yVal>
          <c:smooth val="0"/>
        </c:ser>
        <c:ser>
          <c:idx val="7"/>
          <c:order val="10"/>
          <c:tx>
            <c:v>F. prausnitzii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 F. p'!$S$4:$S$20</c:f>
                <c:numCache>
                  <c:formatCode>General</c:formatCode>
                  <c:ptCount val="17"/>
                  <c:pt idx="0">
                    <c:v>0.297092141939163</c:v>
                  </c:pt>
                  <c:pt idx="1">
                    <c:v>0.0357840609798115</c:v>
                  </c:pt>
                  <c:pt idx="2">
                    <c:v>0.0854324476540764</c:v>
                  </c:pt>
                  <c:pt idx="3">
                    <c:v>0.048615816226569</c:v>
                  </c:pt>
                  <c:pt idx="4">
                    <c:v>0.0615169967498113</c:v>
                  </c:pt>
                  <c:pt idx="5">
                    <c:v>0.0145902504570311</c:v>
                  </c:pt>
                  <c:pt idx="6">
                    <c:v>0.0547730253430505</c:v>
                  </c:pt>
                  <c:pt idx="7">
                    <c:v>0.0153512002279403</c:v>
                  </c:pt>
                  <c:pt idx="8">
                    <c:v>0.0254007235283971</c:v>
                  </c:pt>
                  <c:pt idx="9">
                    <c:v>0.0435943812936976</c:v>
                  </c:pt>
                  <c:pt idx="10">
                    <c:v>0.0908794227653227</c:v>
                  </c:pt>
                  <c:pt idx="11">
                    <c:v>0.0787184825052357</c:v>
                  </c:pt>
                  <c:pt idx="12">
                    <c:v>0.0435047857595452</c:v>
                  </c:pt>
                  <c:pt idx="13">
                    <c:v>0.0271805394773423</c:v>
                  </c:pt>
                  <c:pt idx="14">
                    <c:v>0.0579585936725366</c:v>
                  </c:pt>
                  <c:pt idx="15">
                    <c:v>0.0915071712315118</c:v>
                  </c:pt>
                  <c:pt idx="16">
                    <c:v>0.109396899344824</c:v>
                  </c:pt>
                </c:numCache>
              </c:numRef>
            </c:plus>
            <c:minus>
              <c:numRef>
                <c:f>'Determination cell count F. p'!$S$4:$S$20</c:f>
                <c:numCache>
                  <c:formatCode>General</c:formatCode>
                  <c:ptCount val="17"/>
                  <c:pt idx="0">
                    <c:v>0.297092141939163</c:v>
                  </c:pt>
                  <c:pt idx="1">
                    <c:v>0.0357840609798115</c:v>
                  </c:pt>
                  <c:pt idx="2">
                    <c:v>0.0854324476540764</c:v>
                  </c:pt>
                  <c:pt idx="3">
                    <c:v>0.048615816226569</c:v>
                  </c:pt>
                  <c:pt idx="4">
                    <c:v>0.0615169967498113</c:v>
                  </c:pt>
                  <c:pt idx="5">
                    <c:v>0.0145902504570311</c:v>
                  </c:pt>
                  <c:pt idx="6">
                    <c:v>0.0547730253430505</c:v>
                  </c:pt>
                  <c:pt idx="7">
                    <c:v>0.0153512002279403</c:v>
                  </c:pt>
                  <c:pt idx="8">
                    <c:v>0.0254007235283971</c:v>
                  </c:pt>
                  <c:pt idx="9">
                    <c:v>0.0435943812936976</c:v>
                  </c:pt>
                  <c:pt idx="10">
                    <c:v>0.0908794227653227</c:v>
                  </c:pt>
                  <c:pt idx="11">
                    <c:v>0.0787184825052357</c:v>
                  </c:pt>
                  <c:pt idx="12">
                    <c:v>0.0435047857595452</c:v>
                  </c:pt>
                  <c:pt idx="13">
                    <c:v>0.0271805394773423</c:v>
                  </c:pt>
                  <c:pt idx="14">
                    <c:v>0.0579585936725366</c:v>
                  </c:pt>
                  <c:pt idx="15">
                    <c:v>0.0915071712315118</c:v>
                  </c:pt>
                  <c:pt idx="16">
                    <c:v>0.109396899344824</c:v>
                  </c:pt>
                </c:numCache>
              </c:numRef>
            </c:minus>
          </c:errBars>
          <c:xVal>
            <c:numRef>
              <c:f>'Determination cell count F. p'!$D$4:$D$20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 F. p'!$R$4:$R$20</c:f>
              <c:numCache>
                <c:formatCode>0.00</c:formatCode>
                <c:ptCount val="17"/>
                <c:pt idx="0">
                  <c:v>6.849567843559724</c:v>
                </c:pt>
                <c:pt idx="1">
                  <c:v>7.345271439055272</c:v>
                </c:pt>
                <c:pt idx="2">
                  <c:v>7.727309800532938</c:v>
                </c:pt>
                <c:pt idx="3">
                  <c:v>8.012028018207365</c:v>
                </c:pt>
                <c:pt idx="4">
                  <c:v>8.496272154151853</c:v>
                </c:pt>
                <c:pt idx="5">
                  <c:v>8.589123712404485</c:v>
                </c:pt>
                <c:pt idx="6">
                  <c:v>8.533881315002578</c:v>
                </c:pt>
                <c:pt idx="7">
                  <c:v>8.697842728041854</c:v>
                </c:pt>
                <c:pt idx="8">
                  <c:v>8.702023111800702</c:v>
                </c:pt>
                <c:pt idx="9">
                  <c:v>8.75973877837561</c:v>
                </c:pt>
                <c:pt idx="10">
                  <c:v>8.718668518209222</c:v>
                </c:pt>
                <c:pt idx="11">
                  <c:v>8.80277787074535</c:v>
                </c:pt>
                <c:pt idx="12">
                  <c:v>8.842970084550584</c:v>
                </c:pt>
                <c:pt idx="13">
                  <c:v>8.832932249290928</c:v>
                </c:pt>
                <c:pt idx="14">
                  <c:v>8.658027725580659</c:v>
                </c:pt>
                <c:pt idx="15">
                  <c:v>8.437026818901772</c:v>
                </c:pt>
                <c:pt idx="16">
                  <c:v>8.15259700223255</c:v>
                </c:pt>
              </c:numCache>
            </c:numRef>
          </c:yVal>
          <c:smooth val="0"/>
        </c:ser>
        <c:ser>
          <c:idx val="11"/>
          <c:order val="11"/>
          <c:tx>
            <c:v>Total bacterial count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'Determination cell count F. p'!$D$4:$D$20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8.101630738368415</c:v>
                </c:pt>
                <c:pt idx="1">
                  <c:v>8.592695265531004</c:v>
                </c:pt>
                <c:pt idx="2">
                  <c:v>8.706788451895038</c:v>
                </c:pt>
                <c:pt idx="3">
                  <c:v>8.945890305521464</c:v>
                </c:pt>
                <c:pt idx="4">
                  <c:v>9.352718684274902</c:v>
                </c:pt>
                <c:pt idx="5">
                  <c:v>9.456474171592187</c:v>
                </c:pt>
                <c:pt idx="6">
                  <c:v>9.42653708026358</c:v>
                </c:pt>
                <c:pt idx="7">
                  <c:v>9.615399664358637</c:v>
                </c:pt>
                <c:pt idx="8">
                  <c:v>9.713332800193847</c:v>
                </c:pt>
                <c:pt idx="9">
                  <c:v>9.784523034576343</c:v>
                </c:pt>
                <c:pt idx="10">
                  <c:v>9.828461425230506</c:v>
                </c:pt>
                <c:pt idx="11">
                  <c:v>9.936972128833586</c:v>
                </c:pt>
                <c:pt idx="12">
                  <c:v>9.984487367512018</c:v>
                </c:pt>
                <c:pt idx="13">
                  <c:v>10.05763921326931</c:v>
                </c:pt>
                <c:pt idx="14">
                  <c:v>9.759821812939092</c:v>
                </c:pt>
                <c:pt idx="15">
                  <c:v>9.832327082378991</c:v>
                </c:pt>
                <c:pt idx="16">
                  <c:v>9.35716168998568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588648"/>
        <c:axId val="-2111135064"/>
      </c:scatterChart>
      <c:valAx>
        <c:axId val="-209428276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2842632"/>
        <c:crosses val="autoZero"/>
        <c:crossBetween val="midCat"/>
        <c:majorUnit val="6.0"/>
      </c:valAx>
      <c:valAx>
        <c:axId val="-2112842632"/>
        <c:scaling>
          <c:orientation val="minMax"/>
          <c:max val="12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4282760"/>
        <c:crosses val="autoZero"/>
        <c:crossBetween val="midCat"/>
      </c:valAx>
      <c:valAx>
        <c:axId val="-2111135064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1588648"/>
        <c:crosses val="max"/>
        <c:crossBetween val="midCat"/>
        <c:majorUnit val="1.0"/>
        <c:minorUnit val="0.2"/>
      </c:valAx>
      <c:valAx>
        <c:axId val="-2111588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1113506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0.0447019829118366</c:v>
                  </c:pt>
                  <c:pt idx="1">
                    <c:v>0.03876258965698</c:v>
                  </c:pt>
                  <c:pt idx="2">
                    <c:v>0.0129463817111968</c:v>
                  </c:pt>
                  <c:pt idx="3">
                    <c:v>0.0259628860044447</c:v>
                  </c:pt>
                  <c:pt idx="4">
                    <c:v>0.0130445034470631</c:v>
                  </c:pt>
                  <c:pt idx="5">
                    <c:v>0.0393553870830245</c:v>
                  </c:pt>
                  <c:pt idx="6">
                    <c:v>0.034859974073839</c:v>
                  </c:pt>
                  <c:pt idx="7">
                    <c:v>0.0476833986040096</c:v>
                  </c:pt>
                  <c:pt idx="8">
                    <c:v>0.0229768448760882</c:v>
                  </c:pt>
                  <c:pt idx="9">
                    <c:v>0.0531889899887802</c:v>
                  </c:pt>
                  <c:pt idx="10">
                    <c:v>0.0</c:v>
                  </c:pt>
                  <c:pt idx="11">
                    <c:v>0.0133642286870762</c:v>
                  </c:pt>
                  <c:pt idx="12">
                    <c:v>0.0354210068543939</c:v>
                  </c:pt>
                  <c:pt idx="13">
                    <c:v>0.0134248993749537</c:v>
                  </c:pt>
                  <c:pt idx="14">
                    <c:v>0.035825730636685</c:v>
                  </c:pt>
                  <c:pt idx="15">
                    <c:v>0.0270817068005305</c:v>
                  </c:pt>
                  <c:pt idx="16">
                    <c:v>0.0812451204015915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0.0447019829118366</c:v>
                  </c:pt>
                  <c:pt idx="1">
                    <c:v>0.03876258965698</c:v>
                  </c:pt>
                  <c:pt idx="2">
                    <c:v>0.0129463817111968</c:v>
                  </c:pt>
                  <c:pt idx="3">
                    <c:v>0.0259628860044447</c:v>
                  </c:pt>
                  <c:pt idx="4">
                    <c:v>0.0130445034470631</c:v>
                  </c:pt>
                  <c:pt idx="5">
                    <c:v>0.0393553870830245</c:v>
                  </c:pt>
                  <c:pt idx="6">
                    <c:v>0.034859974073839</c:v>
                  </c:pt>
                  <c:pt idx="7">
                    <c:v>0.0476833986040096</c:v>
                  </c:pt>
                  <c:pt idx="8">
                    <c:v>0.0229768448760882</c:v>
                  </c:pt>
                  <c:pt idx="9">
                    <c:v>0.0531889899887802</c:v>
                  </c:pt>
                  <c:pt idx="10">
                    <c:v>0.0</c:v>
                  </c:pt>
                  <c:pt idx="11">
                    <c:v>0.0133642286870762</c:v>
                  </c:pt>
                  <c:pt idx="12">
                    <c:v>0.0354210068543939</c:v>
                  </c:pt>
                  <c:pt idx="13">
                    <c:v>0.0134248993749537</c:v>
                  </c:pt>
                  <c:pt idx="14">
                    <c:v>0.035825730636685</c:v>
                  </c:pt>
                  <c:pt idx="15">
                    <c:v>0.0270817068005305</c:v>
                  </c:pt>
                  <c:pt idx="16">
                    <c:v>0.0812451204015915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0.625827760765712</c:v>
                </c:pt>
                <c:pt idx="1">
                  <c:v>0.604248972469499</c:v>
                </c:pt>
                <c:pt idx="2">
                  <c:v>0.635340742109243</c:v>
                </c:pt>
                <c:pt idx="3">
                  <c:v>0.704514923509467</c:v>
                </c:pt>
                <c:pt idx="4">
                  <c:v>0.57990606339873</c:v>
                </c:pt>
                <c:pt idx="5">
                  <c:v>0.5907679264876</c:v>
                </c:pt>
                <c:pt idx="6">
                  <c:v>0.623779739678112</c:v>
                </c:pt>
                <c:pt idx="7">
                  <c:v>0.748274549389989</c:v>
                </c:pt>
                <c:pt idx="8">
                  <c:v>0.735259036034822</c:v>
                </c:pt>
                <c:pt idx="9">
                  <c:v>0.821457128152571</c:v>
                </c:pt>
                <c:pt idx="10">
                  <c:v>0.877360075179228</c:v>
                </c:pt>
                <c:pt idx="11">
                  <c:v>1.057070221109336</c:v>
                </c:pt>
                <c:pt idx="12">
                  <c:v>1.213531089570672</c:v>
                </c:pt>
                <c:pt idx="13">
                  <c:v>1.294395167751521</c:v>
                </c:pt>
                <c:pt idx="14">
                  <c:v>2.009178546415001</c:v>
                </c:pt>
                <c:pt idx="15">
                  <c:v>2.329708975998717</c:v>
                </c:pt>
                <c:pt idx="16">
                  <c:v>2.57987906738113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0.242550043667183</c:v>
                  </c:pt>
                  <c:pt idx="1">
                    <c:v>0.368265042740573</c:v>
                  </c:pt>
                  <c:pt idx="2">
                    <c:v>0.070022151301878</c:v>
                  </c:pt>
                  <c:pt idx="3">
                    <c:v>0.0702117847515772</c:v>
                  </c:pt>
                  <c:pt idx="4">
                    <c:v>0.657491115351222</c:v>
                  </c:pt>
                  <c:pt idx="5">
                    <c:v>0.168135619890042</c:v>
                  </c:pt>
                  <c:pt idx="6">
                    <c:v>0.149221304872065</c:v>
                  </c:pt>
                  <c:pt idx="7">
                    <c:v>0.363647436341637</c:v>
                  </c:pt>
                  <c:pt idx="8">
                    <c:v>0.110796483680886</c:v>
                  </c:pt>
                  <c:pt idx="9">
                    <c:v>0.242665465938057</c:v>
                  </c:pt>
                  <c:pt idx="10">
                    <c:v>0.471505111557643</c:v>
                  </c:pt>
                  <c:pt idx="11">
                    <c:v>0.171285537345641</c:v>
                  </c:pt>
                  <c:pt idx="12">
                    <c:v>0.23677434718763</c:v>
                  </c:pt>
                  <c:pt idx="13">
                    <c:v>0.053281375130845</c:v>
                  </c:pt>
                  <c:pt idx="14">
                    <c:v>0.367312136553154</c:v>
                  </c:pt>
                  <c:pt idx="15">
                    <c:v>0.123555551638315</c:v>
                  </c:pt>
                  <c:pt idx="16">
                    <c:v>0.549562312758232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0.242550043667183</c:v>
                  </c:pt>
                  <c:pt idx="1">
                    <c:v>0.368265042740573</c:v>
                  </c:pt>
                  <c:pt idx="2">
                    <c:v>0.070022151301878</c:v>
                  </c:pt>
                  <c:pt idx="3">
                    <c:v>0.0702117847515772</c:v>
                  </c:pt>
                  <c:pt idx="4">
                    <c:v>0.657491115351222</c:v>
                  </c:pt>
                  <c:pt idx="5">
                    <c:v>0.168135619890042</c:v>
                  </c:pt>
                  <c:pt idx="6">
                    <c:v>0.149221304872065</c:v>
                  </c:pt>
                  <c:pt idx="7">
                    <c:v>0.363647436341637</c:v>
                  </c:pt>
                  <c:pt idx="8">
                    <c:v>0.110796483680886</c:v>
                  </c:pt>
                  <c:pt idx="9">
                    <c:v>0.242665465938057</c:v>
                  </c:pt>
                  <c:pt idx="10">
                    <c:v>0.471505111557643</c:v>
                  </c:pt>
                  <c:pt idx="11">
                    <c:v>0.171285537345641</c:v>
                  </c:pt>
                  <c:pt idx="12">
                    <c:v>0.23677434718763</c:v>
                  </c:pt>
                  <c:pt idx="13">
                    <c:v>0.053281375130845</c:v>
                  </c:pt>
                  <c:pt idx="14">
                    <c:v>0.367312136553154</c:v>
                  </c:pt>
                  <c:pt idx="15">
                    <c:v>0.123555551638315</c:v>
                  </c:pt>
                  <c:pt idx="16">
                    <c:v>0.549562312758232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48.8284511180422</c:v>
                </c:pt>
                <c:pt idx="1">
                  <c:v>49.0587877956004</c:v>
                </c:pt>
                <c:pt idx="2">
                  <c:v>48.44928947183145</c:v>
                </c:pt>
                <c:pt idx="3">
                  <c:v>48.89530020072424</c:v>
                </c:pt>
                <c:pt idx="4">
                  <c:v>45.80005870132946</c:v>
                </c:pt>
                <c:pt idx="5">
                  <c:v>43.07164476932671</c:v>
                </c:pt>
                <c:pt idx="6">
                  <c:v>41.01199076928461</c:v>
                </c:pt>
                <c:pt idx="7">
                  <c:v>40.30598426285027</c:v>
                </c:pt>
                <c:pt idx="8">
                  <c:v>37.78751884093621</c:v>
                </c:pt>
                <c:pt idx="9">
                  <c:v>35.25168008844556</c:v>
                </c:pt>
                <c:pt idx="10">
                  <c:v>34.03422465879063</c:v>
                </c:pt>
                <c:pt idx="11">
                  <c:v>33.49632516549213</c:v>
                </c:pt>
                <c:pt idx="12">
                  <c:v>33.45125668975406</c:v>
                </c:pt>
                <c:pt idx="13">
                  <c:v>32.9740281295086</c:v>
                </c:pt>
                <c:pt idx="14">
                  <c:v>32.75455551416296</c:v>
                </c:pt>
                <c:pt idx="15">
                  <c:v>34.43156999268974</c:v>
                </c:pt>
                <c:pt idx="16">
                  <c:v>32.71937339223582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0.0253358693144602</c:v>
                  </c:pt>
                  <c:pt idx="3">
                    <c:v>0.0254044837201866</c:v>
                  </c:pt>
                  <c:pt idx="4">
                    <c:v>0.02552789203805</c:v>
                  </c:pt>
                  <c:pt idx="5">
                    <c:v>0.0</c:v>
                  </c:pt>
                  <c:pt idx="6">
                    <c:v>0.0773546983857774</c:v>
                  </c:pt>
                  <c:pt idx="7">
                    <c:v>0.103524447093404</c:v>
                  </c:pt>
                  <c:pt idx="8">
                    <c:v>0.0519214919268448</c:v>
                  </c:pt>
                  <c:pt idx="9">
                    <c:v>0.0450723064218482</c:v>
                  </c:pt>
                  <c:pt idx="10">
                    <c:v>0.0690192230807112</c:v>
                  </c:pt>
                  <c:pt idx="11">
                    <c:v>0.0942981076230342</c:v>
                  </c:pt>
                  <c:pt idx="12">
                    <c:v>0.0907590429519321</c:v>
                  </c:pt>
                  <c:pt idx="13">
                    <c:v>0.0695100277342438</c:v>
                  </c:pt>
                  <c:pt idx="14">
                    <c:v>0.105996964961624</c:v>
                  </c:pt>
                  <c:pt idx="15">
                    <c:v>0.0701104022540213</c:v>
                  </c:pt>
                  <c:pt idx="16">
                    <c:v>0.238493171163654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0.0253358693144602</c:v>
                  </c:pt>
                  <c:pt idx="3">
                    <c:v>0.0254044837201866</c:v>
                  </c:pt>
                  <c:pt idx="4">
                    <c:v>0.02552789203805</c:v>
                  </c:pt>
                  <c:pt idx="5">
                    <c:v>0.0</c:v>
                  </c:pt>
                  <c:pt idx="6">
                    <c:v>0.0773546983857774</c:v>
                  </c:pt>
                  <c:pt idx="7">
                    <c:v>0.103524447093404</c:v>
                  </c:pt>
                  <c:pt idx="8">
                    <c:v>0.0519214919268448</c:v>
                  </c:pt>
                  <c:pt idx="9">
                    <c:v>0.0450723064218482</c:v>
                  </c:pt>
                  <c:pt idx="10">
                    <c:v>0.0690192230807112</c:v>
                  </c:pt>
                  <c:pt idx="11">
                    <c:v>0.0942981076230342</c:v>
                  </c:pt>
                  <c:pt idx="12">
                    <c:v>0.0907590429519321</c:v>
                  </c:pt>
                  <c:pt idx="13">
                    <c:v>0.0695100277342438</c:v>
                  </c:pt>
                  <c:pt idx="14">
                    <c:v>0.105996964961624</c:v>
                  </c:pt>
                  <c:pt idx="15">
                    <c:v>0.0701104022540213</c:v>
                  </c:pt>
                  <c:pt idx="16">
                    <c:v>0.238493171163654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0.0585106838754271</c:v>
                </c:pt>
                <c:pt idx="3">
                  <c:v>0.410683994405249</c:v>
                </c:pt>
                <c:pt idx="4">
                  <c:v>1.296991109921048</c:v>
                </c:pt>
                <c:pt idx="5">
                  <c:v>2.979241893084945</c:v>
                </c:pt>
                <c:pt idx="6">
                  <c:v>4.823361641099972</c:v>
                </c:pt>
                <c:pt idx="7">
                  <c:v>6.694225148473371</c:v>
                </c:pt>
                <c:pt idx="8">
                  <c:v>7.704060046557638</c:v>
                </c:pt>
                <c:pt idx="9">
                  <c:v>8.338376688041905</c:v>
                </c:pt>
                <c:pt idx="10">
                  <c:v>8.931308943115264</c:v>
                </c:pt>
                <c:pt idx="11">
                  <c:v>9.497762803142627</c:v>
                </c:pt>
                <c:pt idx="12">
                  <c:v>9.89273568176059</c:v>
                </c:pt>
                <c:pt idx="13">
                  <c:v>9.98076219438709</c:v>
                </c:pt>
                <c:pt idx="14">
                  <c:v>9.623287415922183</c:v>
                </c:pt>
                <c:pt idx="15">
                  <c:v>9.929274297191568</c:v>
                </c:pt>
                <c:pt idx="16">
                  <c:v>9.50089266341443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0.0385699598405171</c:v>
                </c:pt>
                <c:pt idx="1">
                  <c:v>0.152060993329485</c:v>
                </c:pt>
                <c:pt idx="2">
                  <c:v>0.318823130241349</c:v>
                </c:pt>
                <c:pt idx="3">
                  <c:v>0.518187871327253</c:v>
                </c:pt>
                <c:pt idx="4">
                  <c:v>0.747491105169661</c:v>
                </c:pt>
                <c:pt idx="5">
                  <c:v>1.009270745696978</c:v>
                </c:pt>
                <c:pt idx="6">
                  <c:v>1.319657621855338</c:v>
                </c:pt>
                <c:pt idx="7">
                  <c:v>1.719225108252091</c:v>
                </c:pt>
                <c:pt idx="8">
                  <c:v>2.261353151435033</c:v>
                </c:pt>
                <c:pt idx="9">
                  <c:v>2.966367505337498</c:v>
                </c:pt>
                <c:pt idx="10">
                  <c:v>3.841004066890991</c:v>
                </c:pt>
                <c:pt idx="11">
                  <c:v>4.903555384059595</c:v>
                </c:pt>
                <c:pt idx="12">
                  <c:v>6.187296713857826</c:v>
                </c:pt>
                <c:pt idx="13">
                  <c:v>7.696264092004097</c:v>
                </c:pt>
                <c:pt idx="14">
                  <c:v>9.394488302764067</c:v>
                </c:pt>
                <c:pt idx="15">
                  <c:v>11.27408886188343</c:v>
                </c:pt>
                <c:pt idx="16">
                  <c:v>13.33805658353737</c:v>
                </c:pt>
                <c:pt idx="17">
                  <c:v>15.53963624591794</c:v>
                </c:pt>
                <c:pt idx="18">
                  <c:v>17.83890949731508</c:v>
                </c:pt>
                <c:pt idx="19">
                  <c:v>20.20772306636262</c:v>
                </c:pt>
                <c:pt idx="20">
                  <c:v>22.68588388093022</c:v>
                </c:pt>
                <c:pt idx="21">
                  <c:v>25.23133582253674</c:v>
                </c:pt>
                <c:pt idx="22">
                  <c:v>27.75007443974513</c:v>
                </c:pt>
                <c:pt idx="23">
                  <c:v>30.33046312500512</c:v>
                </c:pt>
                <c:pt idx="24">
                  <c:v>32.96873437522952</c:v>
                </c:pt>
                <c:pt idx="25">
                  <c:v>35.58756797200316</c:v>
                </c:pt>
                <c:pt idx="26">
                  <c:v>38.25211555306897</c:v>
                </c:pt>
                <c:pt idx="27">
                  <c:v>40.99839984186645</c:v>
                </c:pt>
                <c:pt idx="28">
                  <c:v>43.78168335740465</c:v>
                </c:pt>
                <c:pt idx="29">
                  <c:v>46.56767830923901</c:v>
                </c:pt>
                <c:pt idx="30">
                  <c:v>49.30846776895476</c:v>
                </c:pt>
                <c:pt idx="31">
                  <c:v>52.05755686671914</c:v>
                </c:pt>
                <c:pt idx="32">
                  <c:v>54.80243325401149</c:v>
                </c:pt>
                <c:pt idx="33">
                  <c:v>57.47648422898572</c:v>
                </c:pt>
                <c:pt idx="34">
                  <c:v>60.18126495695162</c:v>
                </c:pt>
                <c:pt idx="35">
                  <c:v>62.91187506214419</c:v>
                </c:pt>
                <c:pt idx="36">
                  <c:v>65.63593041983212</c:v>
                </c:pt>
                <c:pt idx="37">
                  <c:v>68.22961564620366</c:v>
                </c:pt>
                <c:pt idx="38">
                  <c:v>70.41776966307405</c:v>
                </c:pt>
                <c:pt idx="39">
                  <c:v>72.20237876352247</c:v>
                </c:pt>
                <c:pt idx="40">
                  <c:v>73.69872459680398</c:v>
                </c:pt>
                <c:pt idx="41">
                  <c:v>74.95707154421485</c:v>
                </c:pt>
                <c:pt idx="42">
                  <c:v>76.01822378128068</c:v>
                </c:pt>
                <c:pt idx="43">
                  <c:v>76.90800453748764</c:v>
                </c:pt>
                <c:pt idx="44">
                  <c:v>77.64869549784891</c:v>
                </c:pt>
                <c:pt idx="45">
                  <c:v>78.25719245549573</c:v>
                </c:pt>
                <c:pt idx="46">
                  <c:v>78.76029238721224</c:v>
                </c:pt>
                <c:pt idx="47">
                  <c:v>79.17667392374818</c:v>
                </c:pt>
                <c:pt idx="48">
                  <c:v>79.53120113313758</c:v>
                </c:pt>
                <c:pt idx="49">
                  <c:v>79.83428461453068</c:v>
                </c:pt>
                <c:pt idx="50">
                  <c:v>80.08401373255698</c:v>
                </c:pt>
                <c:pt idx="51">
                  <c:v>80.29007650055566</c:v>
                </c:pt>
                <c:pt idx="52">
                  <c:v>80.45735419640692</c:v>
                </c:pt>
                <c:pt idx="53">
                  <c:v>80.59201483025585</c:v>
                </c:pt>
                <c:pt idx="54">
                  <c:v>80.70489206741924</c:v>
                </c:pt>
                <c:pt idx="55">
                  <c:v>80.8006845818595</c:v>
                </c:pt>
                <c:pt idx="56">
                  <c:v>80.8818492717697</c:v>
                </c:pt>
                <c:pt idx="57">
                  <c:v>80.95172353642613</c:v>
                </c:pt>
                <c:pt idx="58">
                  <c:v>81.01227549586374</c:v>
                </c:pt>
                <c:pt idx="59">
                  <c:v>81.06636877974189</c:v>
                </c:pt>
                <c:pt idx="60">
                  <c:v>81.11869431608943</c:v>
                </c:pt>
                <c:pt idx="61">
                  <c:v>81.16949883324038</c:v>
                </c:pt>
                <c:pt idx="62">
                  <c:v>81.21891369726726</c:v>
                </c:pt>
                <c:pt idx="63">
                  <c:v>81.26657121374986</c:v>
                </c:pt>
                <c:pt idx="64">
                  <c:v>81.31072351723489</c:v>
                </c:pt>
                <c:pt idx="65">
                  <c:v>81.35295306336479</c:v>
                </c:pt>
                <c:pt idx="66">
                  <c:v>81.39539226906383</c:v>
                </c:pt>
                <c:pt idx="67">
                  <c:v>81.4390725751269</c:v>
                </c:pt>
                <c:pt idx="68">
                  <c:v>81.4840640436713</c:v>
                </c:pt>
                <c:pt idx="69">
                  <c:v>81.53102199254633</c:v>
                </c:pt>
                <c:pt idx="70">
                  <c:v>81.57874904436341</c:v>
                </c:pt>
                <c:pt idx="71">
                  <c:v>81.6271493246462</c:v>
                </c:pt>
                <c:pt idx="72">
                  <c:v>81.67937826258846</c:v>
                </c:pt>
                <c:pt idx="73">
                  <c:v>81.73538370668933</c:v>
                </c:pt>
                <c:pt idx="74">
                  <c:v>81.79281409836436</c:v>
                </c:pt>
                <c:pt idx="75">
                  <c:v>81.85138918914424</c:v>
                </c:pt>
                <c:pt idx="76">
                  <c:v>81.91168633301835</c:v>
                </c:pt>
                <c:pt idx="77">
                  <c:v>81.97116222244954</c:v>
                </c:pt>
                <c:pt idx="78">
                  <c:v>82.02948445746765</c:v>
                </c:pt>
                <c:pt idx="79">
                  <c:v>82.08740423039826</c:v>
                </c:pt>
                <c:pt idx="80">
                  <c:v>82.14469449783864</c:v>
                </c:pt>
                <c:pt idx="81">
                  <c:v>82.20154806230712</c:v>
                </c:pt>
                <c:pt idx="82">
                  <c:v>82.25672329665686</c:v>
                </c:pt>
                <c:pt idx="83">
                  <c:v>82.30992256858492</c:v>
                </c:pt>
                <c:pt idx="84">
                  <c:v>82.36153095634517</c:v>
                </c:pt>
                <c:pt idx="85">
                  <c:v>82.412387624997</c:v>
                </c:pt>
                <c:pt idx="86">
                  <c:v>82.46205534478565</c:v>
                </c:pt>
                <c:pt idx="87">
                  <c:v>82.50946790724901</c:v>
                </c:pt>
                <c:pt idx="88">
                  <c:v>82.55438035836788</c:v>
                </c:pt>
                <c:pt idx="89">
                  <c:v>82.59649559262215</c:v>
                </c:pt>
                <c:pt idx="90">
                  <c:v>82.6355955219173</c:v>
                </c:pt>
                <c:pt idx="91">
                  <c:v>82.67211684922525</c:v>
                </c:pt>
                <c:pt idx="92">
                  <c:v>82.70598951242863</c:v>
                </c:pt>
                <c:pt idx="93">
                  <c:v>82.73749323321392</c:v>
                </c:pt>
                <c:pt idx="94">
                  <c:v>82.767659452376</c:v>
                </c:pt>
                <c:pt idx="95">
                  <c:v>82.79708290773791</c:v>
                </c:pt>
                <c:pt idx="96">
                  <c:v>82.82601913965041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0.20001743947281</c:v>
                  </c:pt>
                  <c:pt idx="1">
                    <c:v>0.309764053691973</c:v>
                  </c:pt>
                  <c:pt idx="2">
                    <c:v>0.11883198790924</c:v>
                  </c:pt>
                  <c:pt idx="3">
                    <c:v>0.0649072150111103</c:v>
                  </c:pt>
                  <c:pt idx="4">
                    <c:v>0.718247701715469</c:v>
                  </c:pt>
                  <c:pt idx="5">
                    <c:v>0.0970677572408366</c:v>
                  </c:pt>
                  <c:pt idx="6">
                    <c:v>0.0733599263565715</c:v>
                  </c:pt>
                  <c:pt idx="7">
                    <c:v>0.197158910948818</c:v>
                  </c:pt>
                  <c:pt idx="8">
                    <c:v>0.0403460136579117</c:v>
                  </c:pt>
                  <c:pt idx="9">
                    <c:v>0.0755138497879934</c:v>
                  </c:pt>
                  <c:pt idx="10">
                    <c:v>0.144187155614972</c:v>
                  </c:pt>
                  <c:pt idx="11">
                    <c:v>0.0400926860612286</c:v>
                  </c:pt>
                  <c:pt idx="12">
                    <c:v>0.0306754917635278</c:v>
                  </c:pt>
                  <c:pt idx="13">
                    <c:v>9.88046871900159E-17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0.20001743947281</c:v>
                  </c:pt>
                  <c:pt idx="1">
                    <c:v>0.309764053691973</c:v>
                  </c:pt>
                  <c:pt idx="2">
                    <c:v>0.11883198790924</c:v>
                  </c:pt>
                  <c:pt idx="3">
                    <c:v>0.0649072150111103</c:v>
                  </c:pt>
                  <c:pt idx="4">
                    <c:v>0.718247701715469</c:v>
                  </c:pt>
                  <c:pt idx="5">
                    <c:v>0.0970677572408366</c:v>
                  </c:pt>
                  <c:pt idx="6">
                    <c:v>0.0733599263565715</c:v>
                  </c:pt>
                  <c:pt idx="7">
                    <c:v>0.197158910948818</c:v>
                  </c:pt>
                  <c:pt idx="8">
                    <c:v>0.0403460136579117</c:v>
                  </c:pt>
                  <c:pt idx="9">
                    <c:v>0.0755138497879934</c:v>
                  </c:pt>
                  <c:pt idx="10">
                    <c:v>0.144187155614972</c:v>
                  </c:pt>
                  <c:pt idx="11">
                    <c:v>0.0400926860612286</c:v>
                  </c:pt>
                  <c:pt idx="12">
                    <c:v>0.0306754917635278</c:v>
                  </c:pt>
                  <c:pt idx="13">
                    <c:v>9.88046871900159E-17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49.23550901214534</c:v>
                </c:pt>
                <c:pt idx="1">
                  <c:v>48.99638581703298</c:v>
                </c:pt>
                <c:pt idx="2">
                  <c:v>47.88226816413892</c:v>
                </c:pt>
                <c:pt idx="3">
                  <c:v>46.77529401726158</c:v>
                </c:pt>
                <c:pt idx="4">
                  <c:v>41.05659616387243</c:v>
                </c:pt>
                <c:pt idx="5">
                  <c:v>35.57104572755144</c:v>
                </c:pt>
                <c:pt idx="6">
                  <c:v>30.45110119428637</c:v>
                </c:pt>
                <c:pt idx="7">
                  <c:v>26.71263786776402</c:v>
                </c:pt>
                <c:pt idx="8">
                  <c:v>21.8088552615537</c:v>
                </c:pt>
                <c:pt idx="9">
                  <c:v>16.85906405068267</c:v>
                </c:pt>
                <c:pt idx="10">
                  <c:v>12.45620422524193</c:v>
                </c:pt>
                <c:pt idx="11">
                  <c:v>8.113206843039906</c:v>
                </c:pt>
                <c:pt idx="12">
                  <c:v>4.347842279512758</c:v>
                </c:pt>
                <c:pt idx="13">
                  <c:v>0.534809979490149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0.0349050577958667</c:v>
                  </c:pt>
                  <c:pt idx="1">
                    <c:v>0.0792585194938319</c:v>
                  </c:pt>
                  <c:pt idx="2">
                    <c:v>0.02647168458846</c:v>
                  </c:pt>
                  <c:pt idx="3">
                    <c:v>0.0132716875001724</c:v>
                  </c:pt>
                  <c:pt idx="4">
                    <c:v>0.205307540869491</c:v>
                  </c:pt>
                  <c:pt idx="5">
                    <c:v>0.0354842091055529</c:v>
                  </c:pt>
                  <c:pt idx="6">
                    <c:v>0.0617292305286332</c:v>
                  </c:pt>
                  <c:pt idx="7">
                    <c:v>0.201906887301315</c:v>
                  </c:pt>
                  <c:pt idx="8">
                    <c:v>0.0949360113139746</c:v>
                  </c:pt>
                  <c:pt idx="9">
                    <c:v>0.15440443965276</c:v>
                  </c:pt>
                  <c:pt idx="10">
                    <c:v>0.475229736003364</c:v>
                  </c:pt>
                  <c:pt idx="11">
                    <c:v>0.184830066494397</c:v>
                  </c:pt>
                  <c:pt idx="12">
                    <c:v>0.395984135797676</c:v>
                  </c:pt>
                  <c:pt idx="13">
                    <c:v>0.0363130924595096</c:v>
                  </c:pt>
                  <c:pt idx="14">
                    <c:v>0.567587822564198</c:v>
                  </c:pt>
                  <c:pt idx="15">
                    <c:v>0.199655316837481</c:v>
                  </c:pt>
                  <c:pt idx="16">
                    <c:v>1.229901309476583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0.0349050577958667</c:v>
                  </c:pt>
                  <c:pt idx="1">
                    <c:v>0.0792585194938319</c:v>
                  </c:pt>
                  <c:pt idx="2">
                    <c:v>0.02647168458846</c:v>
                  </c:pt>
                  <c:pt idx="3">
                    <c:v>0.0132716875001724</c:v>
                  </c:pt>
                  <c:pt idx="4">
                    <c:v>0.205307540869491</c:v>
                  </c:pt>
                  <c:pt idx="5">
                    <c:v>0.0354842091055529</c:v>
                  </c:pt>
                  <c:pt idx="6">
                    <c:v>0.0617292305286332</c:v>
                  </c:pt>
                  <c:pt idx="7">
                    <c:v>0.201906887301315</c:v>
                  </c:pt>
                  <c:pt idx="8">
                    <c:v>0.0949360113139746</c:v>
                  </c:pt>
                  <c:pt idx="9">
                    <c:v>0.15440443965276</c:v>
                  </c:pt>
                  <c:pt idx="10">
                    <c:v>0.475229736003364</c:v>
                  </c:pt>
                  <c:pt idx="11">
                    <c:v>0.184830066494397</c:v>
                  </c:pt>
                  <c:pt idx="12">
                    <c:v>0.395984135797676</c:v>
                  </c:pt>
                  <c:pt idx="13">
                    <c:v>0.0363130924595096</c:v>
                  </c:pt>
                  <c:pt idx="14">
                    <c:v>0.567587822564198</c:v>
                  </c:pt>
                  <c:pt idx="15">
                    <c:v>0.199655316837481</c:v>
                  </c:pt>
                  <c:pt idx="16">
                    <c:v>1.229901309476583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2.16320189210135</c:v>
                </c:pt>
                <c:pt idx="1">
                  <c:v>3.065915146877444</c:v>
                </c:pt>
                <c:pt idx="2">
                  <c:v>4.24879471400796</c:v>
                </c:pt>
                <c:pt idx="3">
                  <c:v>6.727598044024446</c:v>
                </c:pt>
                <c:pt idx="4">
                  <c:v>11.0412756436145</c:v>
                </c:pt>
                <c:pt idx="5">
                  <c:v>17.34496791486264</c:v>
                </c:pt>
                <c:pt idx="6">
                  <c:v>23.84474811991198</c:v>
                </c:pt>
                <c:pt idx="7">
                  <c:v>31.15442946936913</c:v>
                </c:pt>
                <c:pt idx="8">
                  <c:v>35.67434673859053</c:v>
                </c:pt>
                <c:pt idx="9">
                  <c:v>40.05252216639015</c:v>
                </c:pt>
                <c:pt idx="10">
                  <c:v>44.34525708938472</c:v>
                </c:pt>
                <c:pt idx="11">
                  <c:v>49.27066539606567</c:v>
                </c:pt>
                <c:pt idx="12">
                  <c:v>53.00874042937882</c:v>
                </c:pt>
                <c:pt idx="13">
                  <c:v>55.7068899639421</c:v>
                </c:pt>
                <c:pt idx="14">
                  <c:v>56.69157791129155</c:v>
                </c:pt>
                <c:pt idx="15">
                  <c:v>60.33620776150288</c:v>
                </c:pt>
                <c:pt idx="16">
                  <c:v>61.62301786212574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0.00737209926704556</c:v>
                </c:pt>
                <c:pt idx="1">
                  <c:v>0.0944025296863797</c:v>
                </c:pt>
                <c:pt idx="2">
                  <c:v>0.366563188388706</c:v>
                </c:pt>
                <c:pt idx="3">
                  <c:v>0.815372856294574</c:v>
                </c:pt>
                <c:pt idx="4">
                  <c:v>1.403614822804638</c:v>
                </c:pt>
                <c:pt idx="5">
                  <c:v>2.109516526114804</c:v>
                </c:pt>
                <c:pt idx="6">
                  <c:v>3.051704686884304</c:v>
                </c:pt>
                <c:pt idx="7">
                  <c:v>4.485585022140787</c:v>
                </c:pt>
                <c:pt idx="8">
                  <c:v>6.560636743902471</c:v>
                </c:pt>
                <c:pt idx="9">
                  <c:v>8.897182461812381</c:v>
                </c:pt>
                <c:pt idx="10">
                  <c:v>11.2176345590807</c:v>
                </c:pt>
                <c:pt idx="11">
                  <c:v>13.70208977218337</c:v>
                </c:pt>
                <c:pt idx="12">
                  <c:v>16.41413025495683</c:v>
                </c:pt>
                <c:pt idx="13">
                  <c:v>19.22886873867216</c:v>
                </c:pt>
                <c:pt idx="14">
                  <c:v>21.95226632336556</c:v>
                </c:pt>
                <c:pt idx="15">
                  <c:v>24.66966737448494</c:v>
                </c:pt>
                <c:pt idx="16">
                  <c:v>27.39204061078167</c:v>
                </c:pt>
                <c:pt idx="17">
                  <c:v>30.0988995619633</c:v>
                </c:pt>
                <c:pt idx="18">
                  <c:v>32.94994593924744</c:v>
                </c:pt>
                <c:pt idx="19">
                  <c:v>35.98046588481943</c:v>
                </c:pt>
                <c:pt idx="20">
                  <c:v>39.00295271601372</c:v>
                </c:pt>
                <c:pt idx="21">
                  <c:v>41.88384065387576</c:v>
                </c:pt>
                <c:pt idx="22">
                  <c:v>44.67273794793408</c:v>
                </c:pt>
                <c:pt idx="23">
                  <c:v>47.51687244928115</c:v>
                </c:pt>
                <c:pt idx="24">
                  <c:v>50.74574593566156</c:v>
                </c:pt>
                <c:pt idx="25">
                  <c:v>54.02302849771046</c:v>
                </c:pt>
                <c:pt idx="26">
                  <c:v>57.2173173679645</c:v>
                </c:pt>
                <c:pt idx="27">
                  <c:v>60.57329037713627</c:v>
                </c:pt>
                <c:pt idx="28">
                  <c:v>63.95271118771644</c:v>
                </c:pt>
                <c:pt idx="29">
                  <c:v>67.4360716032765</c:v>
                </c:pt>
                <c:pt idx="30">
                  <c:v>71.0066417566742</c:v>
                </c:pt>
                <c:pt idx="31">
                  <c:v>74.73804252852261</c:v>
                </c:pt>
                <c:pt idx="32">
                  <c:v>78.53818398539837</c:v>
                </c:pt>
                <c:pt idx="33">
                  <c:v>82.25483878277244</c:v>
                </c:pt>
                <c:pt idx="34">
                  <c:v>86.08332360430173</c:v>
                </c:pt>
                <c:pt idx="35">
                  <c:v>89.9768369718338</c:v>
                </c:pt>
                <c:pt idx="36">
                  <c:v>93.91035554863715</c:v>
                </c:pt>
                <c:pt idx="37">
                  <c:v>97.17489635821029</c:v>
                </c:pt>
                <c:pt idx="38">
                  <c:v>98.93155919509764</c:v>
                </c:pt>
                <c:pt idx="39">
                  <c:v>99.61116147050074</c:v>
                </c:pt>
                <c:pt idx="40">
                  <c:v>99.849426267927</c:v>
                </c:pt>
                <c:pt idx="41">
                  <c:v>99.9518452736952</c:v>
                </c:pt>
                <c:pt idx="42">
                  <c:v>100.0178509566712</c:v>
                </c:pt>
                <c:pt idx="43">
                  <c:v>100.0704858306609</c:v>
                </c:pt>
                <c:pt idx="44">
                  <c:v>100.1179959928018</c:v>
                </c:pt>
                <c:pt idx="45">
                  <c:v>100.1596352820208</c:v>
                </c:pt>
                <c:pt idx="46">
                  <c:v>100.2058561043235</c:v>
                </c:pt>
                <c:pt idx="47">
                  <c:v>100.2513979531702</c:v>
                </c:pt>
                <c:pt idx="48">
                  <c:v>100.2957462545618</c:v>
                </c:pt>
                <c:pt idx="49">
                  <c:v>100.343828117408</c:v>
                </c:pt>
                <c:pt idx="50">
                  <c:v>100.3907973470672</c:v>
                </c:pt>
                <c:pt idx="51">
                  <c:v>100.4362597191907</c:v>
                </c:pt>
                <c:pt idx="52">
                  <c:v>100.4821168159476</c:v>
                </c:pt>
                <c:pt idx="53">
                  <c:v>100.5291580866045</c:v>
                </c:pt>
                <c:pt idx="54">
                  <c:v>100.5744053363043</c:v>
                </c:pt>
                <c:pt idx="55">
                  <c:v>100.6192578613708</c:v>
                </c:pt>
                <c:pt idx="56">
                  <c:v>100.6631058147469</c:v>
                </c:pt>
                <c:pt idx="57">
                  <c:v>100.7070973498336</c:v>
                </c:pt>
                <c:pt idx="58">
                  <c:v>100.7545333451239</c:v>
                </c:pt>
                <c:pt idx="59">
                  <c:v>100.8014310340701</c:v>
                </c:pt>
                <c:pt idx="60">
                  <c:v>100.8504428403315</c:v>
                </c:pt>
                <c:pt idx="61">
                  <c:v>100.9030737135784</c:v>
                </c:pt>
                <c:pt idx="62">
                  <c:v>100.9423674989576</c:v>
                </c:pt>
                <c:pt idx="63">
                  <c:v>100.9772784511327</c:v>
                </c:pt>
                <c:pt idx="64">
                  <c:v>101.0251867162458</c:v>
                </c:pt>
                <c:pt idx="65">
                  <c:v>101.077742259547</c:v>
                </c:pt>
                <c:pt idx="66">
                  <c:v>101.1311664677465</c:v>
                </c:pt>
                <c:pt idx="67">
                  <c:v>101.1859134276497</c:v>
                </c:pt>
                <c:pt idx="68">
                  <c:v>101.2451944074312</c:v>
                </c:pt>
                <c:pt idx="69">
                  <c:v>101.3113140820029</c:v>
                </c:pt>
                <c:pt idx="70">
                  <c:v>101.3798142882151</c:v>
                </c:pt>
                <c:pt idx="71">
                  <c:v>101.4460472210968</c:v>
                </c:pt>
                <c:pt idx="72">
                  <c:v>101.5148492738746</c:v>
                </c:pt>
                <c:pt idx="73">
                  <c:v>101.5872787532682</c:v>
                </c:pt>
                <c:pt idx="74">
                  <c:v>101.6573277010212</c:v>
                </c:pt>
                <c:pt idx="75">
                  <c:v>101.7253738204279</c:v>
                </c:pt>
                <c:pt idx="76">
                  <c:v>101.7924000882622</c:v>
                </c:pt>
                <c:pt idx="77">
                  <c:v>101.8540615996842</c:v>
                </c:pt>
                <c:pt idx="78">
                  <c:v>101.9100554545626</c:v>
                </c:pt>
                <c:pt idx="79">
                  <c:v>101.9628375144838</c:v>
                </c:pt>
                <c:pt idx="80">
                  <c:v>102.0093856263116</c:v>
                </c:pt>
                <c:pt idx="81">
                  <c:v>102.0507196416186</c:v>
                </c:pt>
                <c:pt idx="82">
                  <c:v>102.0881617853256</c:v>
                </c:pt>
                <c:pt idx="83">
                  <c:v>102.120541019186</c:v>
                </c:pt>
                <c:pt idx="84">
                  <c:v>102.149595726562</c:v>
                </c:pt>
                <c:pt idx="85">
                  <c:v>102.1783859889538</c:v>
                </c:pt>
                <c:pt idx="86">
                  <c:v>102.2081207729724</c:v>
                </c:pt>
                <c:pt idx="87">
                  <c:v>102.2329817621828</c:v>
                </c:pt>
                <c:pt idx="88">
                  <c:v>102.2521376932683</c:v>
                </c:pt>
                <c:pt idx="89">
                  <c:v>102.2718983710507</c:v>
                </c:pt>
                <c:pt idx="90">
                  <c:v>102.2907519287877</c:v>
                </c:pt>
                <c:pt idx="91">
                  <c:v>102.3070358398457</c:v>
                </c:pt>
                <c:pt idx="92">
                  <c:v>102.3234330092137</c:v>
                </c:pt>
                <c:pt idx="93">
                  <c:v>102.339981365256</c:v>
                </c:pt>
                <c:pt idx="94">
                  <c:v>102.3544894913704</c:v>
                </c:pt>
                <c:pt idx="95">
                  <c:v>102.3684687275165</c:v>
                </c:pt>
                <c:pt idx="96">
                  <c:v>102.3816396289517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71800"/>
        <c:axId val="-2094933704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9672.0</c:v>
                </c:pt>
                <c:pt idx="1">
                  <c:v>14113.0</c:v>
                </c:pt>
                <c:pt idx="2">
                  <c:v>29483.0</c:v>
                </c:pt>
                <c:pt idx="3">
                  <c:v>4593.0</c:v>
                </c:pt>
                <c:pt idx="4">
                  <c:v>8801.0</c:v>
                </c:pt>
                <c:pt idx="5">
                  <c:v>13220.0</c:v>
                </c:pt>
                <c:pt idx="6">
                  <c:v>15741.0</c:v>
                </c:pt>
                <c:pt idx="7">
                  <c:v>20796.0</c:v>
                </c:pt>
                <c:pt idx="8">
                  <c:v>26554.0</c:v>
                </c:pt>
                <c:pt idx="9">
                  <c:v>3023.0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5.44133936696422E-17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0.0244510963830527</c:v>
                  </c:pt>
                  <c:pt idx="4">
                    <c:v>0.027724937276755</c:v>
                  </c:pt>
                  <c:pt idx="5">
                    <c:v>0.0831748118302651</c:v>
                  </c:pt>
                  <c:pt idx="6">
                    <c:v>0.250037333124475</c:v>
                  </c:pt>
                  <c:pt idx="7">
                    <c:v>0.11089974910702</c:v>
                  </c:pt>
                  <c:pt idx="8">
                    <c:v>0.500074666248951</c:v>
                  </c:pt>
                  <c:pt idx="9">
                    <c:v>0.115428118532704</c:v>
                  </c:pt>
                  <c:pt idx="10">
                    <c:v>0.129383040624857</c:v>
                  </c:pt>
                  <c:pt idx="11">
                    <c:v>0.10291061182081</c:v>
                  </c:pt>
                  <c:pt idx="12">
                    <c:v>0.32226719948101</c:v>
                  </c:pt>
                  <c:pt idx="13">
                    <c:v>0.615246559022749</c:v>
                  </c:pt>
                  <c:pt idx="14">
                    <c:v>0.0666424553069088</c:v>
                  </c:pt>
                  <c:pt idx="15">
                    <c:v>0.0184832915178367</c:v>
                  </c:pt>
                  <c:pt idx="16">
                    <c:v>0.139545790778511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5.44133936696422E-17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0.0244510963830527</c:v>
                  </c:pt>
                  <c:pt idx="4">
                    <c:v>0.027724937276755</c:v>
                  </c:pt>
                  <c:pt idx="5">
                    <c:v>0.0831748118302651</c:v>
                  </c:pt>
                  <c:pt idx="6">
                    <c:v>0.250037333124475</c:v>
                  </c:pt>
                  <c:pt idx="7">
                    <c:v>0.11089974910702</c:v>
                  </c:pt>
                  <c:pt idx="8">
                    <c:v>0.500074666248951</c:v>
                  </c:pt>
                  <c:pt idx="9">
                    <c:v>0.115428118532704</c:v>
                  </c:pt>
                  <c:pt idx="10">
                    <c:v>0.129383040624857</c:v>
                  </c:pt>
                  <c:pt idx="11">
                    <c:v>0.10291061182081</c:v>
                  </c:pt>
                  <c:pt idx="12">
                    <c:v>0.32226719948101</c:v>
                  </c:pt>
                  <c:pt idx="13">
                    <c:v>0.615246559022749</c:v>
                  </c:pt>
                  <c:pt idx="14">
                    <c:v>0.0666424553069088</c:v>
                  </c:pt>
                  <c:pt idx="15">
                    <c:v>0.0184832915178367</c:v>
                  </c:pt>
                  <c:pt idx="16">
                    <c:v>0.139545790778511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0.2955344</c:v>
                </c:pt>
                <c:pt idx="1">
                  <c:v>0.4860177</c:v>
                </c:pt>
                <c:pt idx="2">
                  <c:v>0.730371</c:v>
                </c:pt>
                <c:pt idx="3">
                  <c:v>1.343972666666666</c:v>
                </c:pt>
                <c:pt idx="4">
                  <c:v>2.363085</c:v>
                </c:pt>
                <c:pt idx="5">
                  <c:v>3.419547000000001</c:v>
                </c:pt>
                <c:pt idx="6">
                  <c:v>4.251911000000001</c:v>
                </c:pt>
                <c:pt idx="7">
                  <c:v>5.014296</c:v>
                </c:pt>
                <c:pt idx="8">
                  <c:v>5.878674</c:v>
                </c:pt>
                <c:pt idx="9">
                  <c:v>5.782632000000001</c:v>
                </c:pt>
                <c:pt idx="10">
                  <c:v>6.476268666666666</c:v>
                </c:pt>
                <c:pt idx="11">
                  <c:v>6.860436666666667</c:v>
                </c:pt>
                <c:pt idx="12">
                  <c:v>7.276618666666666</c:v>
                </c:pt>
                <c:pt idx="13">
                  <c:v>7.394003333333333</c:v>
                </c:pt>
                <c:pt idx="14">
                  <c:v>5.611890666666666</c:v>
                </c:pt>
                <c:pt idx="15">
                  <c:v>4.640799333333332</c:v>
                </c:pt>
                <c:pt idx="16">
                  <c:v>1.428728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14824"/>
        <c:axId val="-2095125912"/>
      </c:scatterChart>
      <c:valAx>
        <c:axId val="-211207180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4933704"/>
        <c:crosses val="autoZero"/>
        <c:crossBetween val="midCat"/>
        <c:majorUnit val="6.0"/>
      </c:valAx>
      <c:valAx>
        <c:axId val="-209493370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2071800"/>
        <c:crosses val="autoZero"/>
        <c:crossBetween val="midCat"/>
      </c:valAx>
      <c:valAx>
        <c:axId val="-2095125912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4614824"/>
        <c:crosses val="max"/>
        <c:crossBetween val="midCat"/>
        <c:majorUnit val="1.0"/>
        <c:minorUnit val="0.2"/>
      </c:valAx>
      <c:valAx>
        <c:axId val="-209461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9512591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5_02_04_Batch8_FP_Fructose%20/2015-02-04_Faecalibacteriumprausnitzii_Batch8_mMCB_25mMfructose_25mMacetaat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>
        <row r="4">
          <cell r="K4">
            <v>1461.0317880794703</v>
          </cell>
        </row>
        <row r="5">
          <cell r="I5">
            <v>1462</v>
          </cell>
          <cell r="K5">
            <v>1409.0662251655631</v>
          </cell>
        </row>
        <row r="6">
          <cell r="I6">
            <v>1410</v>
          </cell>
          <cell r="K6">
            <v>1360.0986754966889</v>
          </cell>
        </row>
        <row r="7">
          <cell r="I7">
            <v>1362</v>
          </cell>
          <cell r="K7">
            <v>1310.1684744872657</v>
          </cell>
        </row>
        <row r="8">
          <cell r="I8">
            <v>1312</v>
          </cell>
          <cell r="K8">
            <v>1257.2424614172771</v>
          </cell>
        </row>
        <row r="9">
          <cell r="I9">
            <v>1260</v>
          </cell>
          <cell r="K9">
            <v>1206.3540760741969</v>
          </cell>
        </row>
        <row r="10">
          <cell r="I10">
            <v>1211</v>
          </cell>
          <cell r="K10">
            <v>1157.5420614353566</v>
          </cell>
        </row>
        <row r="11">
          <cell r="I11">
            <v>1167</v>
          </cell>
          <cell r="K11">
            <v>1101.9959128146368</v>
          </cell>
        </row>
        <row r="12">
          <cell r="I12">
            <v>1117</v>
          </cell>
          <cell r="K12">
            <v>1051.680969615401</v>
          </cell>
        </row>
        <row r="13">
          <cell r="I13">
            <v>1073</v>
          </cell>
          <cell r="K13">
            <v>1007.5750575625649</v>
          </cell>
        </row>
        <row r="14">
          <cell r="I14">
            <v>1032</v>
          </cell>
          <cell r="K14">
            <v>963.64009865722051</v>
          </cell>
        </row>
        <row r="15">
          <cell r="I15">
            <v>990</v>
          </cell>
          <cell r="K15">
            <v>913.02465913179071</v>
          </cell>
        </row>
        <row r="16">
          <cell r="I16">
            <v>939</v>
          </cell>
          <cell r="K16">
            <v>860.51844870248647</v>
          </cell>
        </row>
        <row r="17">
          <cell r="I17">
            <v>885</v>
          </cell>
          <cell r="K17">
            <v>812.87392442404371</v>
          </cell>
        </row>
        <row r="18">
          <cell r="I18">
            <v>836</v>
          </cell>
          <cell r="K18">
            <v>768.14641183611786</v>
          </cell>
        </row>
        <row r="19">
          <cell r="I19">
            <v>790</v>
          </cell>
          <cell r="K19">
            <v>714.66786417664127</v>
          </cell>
        </row>
        <row r="20">
          <cell r="I20">
            <v>742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F10" sqref="F10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26" t="s">
        <v>0</v>
      </c>
      <c r="B1" s="127"/>
      <c r="C1" s="34">
        <v>42053</v>
      </c>
    </row>
    <row r="2" spans="1:3" ht="16">
      <c r="A2" s="126" t="s">
        <v>1</v>
      </c>
      <c r="B2" s="128"/>
      <c r="C2" s="32" t="s">
        <v>161</v>
      </c>
    </row>
    <row r="3" spans="1:3">
      <c r="A3" s="11"/>
      <c r="B3" s="11"/>
      <c r="C3" s="10"/>
    </row>
    <row r="4" spans="1:3">
      <c r="A4" s="129" t="s">
        <v>49</v>
      </c>
      <c r="B4" s="129"/>
      <c r="C4" s="7" t="s">
        <v>107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2" t="s">
        <v>85</v>
      </c>
      <c r="B7" s="37" t="s">
        <v>86</v>
      </c>
      <c r="C7" s="37" t="s">
        <v>101</v>
      </c>
    </row>
    <row r="8" spans="1:3">
      <c r="A8" s="32" t="s">
        <v>87</v>
      </c>
      <c r="B8" s="37" t="s">
        <v>88</v>
      </c>
      <c r="C8" s="37" t="s">
        <v>101</v>
      </c>
    </row>
    <row r="9" spans="1:3">
      <c r="A9" s="32" t="s">
        <v>89</v>
      </c>
      <c r="B9" s="37" t="s">
        <v>90</v>
      </c>
      <c r="C9" s="37" t="s">
        <v>101</v>
      </c>
    </row>
    <row r="10" spans="1:3">
      <c r="A10" s="32" t="s">
        <v>91</v>
      </c>
      <c r="B10" s="37" t="s">
        <v>92</v>
      </c>
      <c r="C10" s="37" t="s">
        <v>101</v>
      </c>
    </row>
    <row r="11" spans="1:3">
      <c r="A11" s="29" t="s">
        <v>152</v>
      </c>
      <c r="B11" s="29" t="s">
        <v>153</v>
      </c>
      <c r="C11" s="29" t="s">
        <v>101</v>
      </c>
    </row>
    <row r="12" spans="1:3">
      <c r="A12" s="32" t="s">
        <v>73</v>
      </c>
      <c r="B12" s="37" t="s">
        <v>93</v>
      </c>
      <c r="C12" s="37" t="s">
        <v>101</v>
      </c>
    </row>
    <row r="13" spans="1:3" ht="16">
      <c r="A13" s="71" t="s">
        <v>77</v>
      </c>
      <c r="B13" s="37" t="s">
        <v>94</v>
      </c>
      <c r="C13" s="37" t="s">
        <v>101</v>
      </c>
    </row>
    <row r="14" spans="1:3" ht="16">
      <c r="A14" s="71" t="s">
        <v>76</v>
      </c>
      <c r="B14" s="37" t="s">
        <v>94</v>
      </c>
      <c r="C14" s="37" t="s">
        <v>101</v>
      </c>
    </row>
    <row r="15" spans="1:3" ht="16">
      <c r="A15" s="32" t="s">
        <v>109</v>
      </c>
      <c r="B15" s="37" t="s">
        <v>95</v>
      </c>
      <c r="C15" s="37" t="s">
        <v>101</v>
      </c>
    </row>
    <row r="16" spans="1:3" ht="16">
      <c r="A16" s="32" t="s">
        <v>108</v>
      </c>
      <c r="B16" s="37" t="s">
        <v>94</v>
      </c>
      <c r="C16" s="37" t="s">
        <v>101</v>
      </c>
    </row>
    <row r="17" spans="1:3" ht="16">
      <c r="A17" s="32" t="s">
        <v>110</v>
      </c>
      <c r="B17" s="37" t="s">
        <v>94</v>
      </c>
      <c r="C17" s="37" t="s">
        <v>101</v>
      </c>
    </row>
    <row r="18" spans="1:3" ht="16">
      <c r="A18" s="32" t="s">
        <v>111</v>
      </c>
      <c r="B18" s="37" t="s">
        <v>154</v>
      </c>
      <c r="C18" s="37" t="s">
        <v>101</v>
      </c>
    </row>
    <row r="19" spans="1:3" ht="16">
      <c r="A19" s="32" t="s">
        <v>75</v>
      </c>
      <c r="B19" s="37" t="s">
        <v>155</v>
      </c>
      <c r="C19" s="37" t="s">
        <v>101</v>
      </c>
    </row>
    <row r="20" spans="1:3" ht="16">
      <c r="A20" s="32" t="s">
        <v>112</v>
      </c>
      <c r="B20" s="37" t="s">
        <v>96</v>
      </c>
      <c r="C20" s="37" t="s">
        <v>101</v>
      </c>
    </row>
    <row r="21" spans="1:3" ht="16">
      <c r="A21" s="32" t="s">
        <v>113</v>
      </c>
      <c r="B21" s="37" t="s">
        <v>97</v>
      </c>
      <c r="C21" s="37" t="s">
        <v>101</v>
      </c>
    </row>
    <row r="22" spans="1:3" ht="16">
      <c r="A22" s="32" t="s">
        <v>114</v>
      </c>
      <c r="B22" s="37" t="s">
        <v>98</v>
      </c>
      <c r="C22" s="37" t="s">
        <v>101</v>
      </c>
    </row>
    <row r="23" spans="1:3" ht="16">
      <c r="A23" s="32" t="s">
        <v>115</v>
      </c>
      <c r="B23" s="37" t="s">
        <v>98</v>
      </c>
      <c r="C23" s="37" t="s">
        <v>101</v>
      </c>
    </row>
    <row r="24" spans="1:3">
      <c r="A24" s="32" t="s">
        <v>99</v>
      </c>
      <c r="B24" s="37" t="s">
        <v>98</v>
      </c>
      <c r="C24" s="37" t="s">
        <v>101</v>
      </c>
    </row>
    <row r="25" spans="1:3">
      <c r="A25" s="32" t="s">
        <v>100</v>
      </c>
      <c r="B25" s="37" t="s">
        <v>98</v>
      </c>
      <c r="C25" s="37" t="s">
        <v>101</v>
      </c>
    </row>
    <row r="26" spans="1:3">
      <c r="A26" s="32" t="s">
        <v>74</v>
      </c>
      <c r="B26" s="37" t="s">
        <v>102</v>
      </c>
      <c r="C26" s="37" t="s">
        <v>103</v>
      </c>
    </row>
    <row r="27" spans="1:3">
      <c r="A27" s="32" t="s">
        <v>104</v>
      </c>
      <c r="B27" s="37" t="s">
        <v>101</v>
      </c>
      <c r="C27" s="37" t="s">
        <v>106</v>
      </c>
    </row>
    <row r="28" spans="1:3">
      <c r="A28" s="32" t="s">
        <v>105</v>
      </c>
      <c r="B28" s="37" t="s">
        <v>101</v>
      </c>
      <c r="C28" s="37" t="s">
        <v>106</v>
      </c>
    </row>
    <row r="29" spans="1:3" ht="16">
      <c r="A29" s="29" t="s">
        <v>147</v>
      </c>
      <c r="B29" s="29" t="s">
        <v>148</v>
      </c>
      <c r="C29" s="29" t="s">
        <v>149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12" sqref="F1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0" t="s">
        <v>4</v>
      </c>
      <c r="B1" s="130" t="s">
        <v>117</v>
      </c>
      <c r="C1" s="130" t="s">
        <v>117</v>
      </c>
      <c r="D1" s="130" t="s">
        <v>5</v>
      </c>
      <c r="E1" s="130" t="s">
        <v>19</v>
      </c>
      <c r="F1" s="130" t="s">
        <v>24</v>
      </c>
      <c r="G1" s="129" t="s">
        <v>25</v>
      </c>
      <c r="H1" s="126" t="s">
        <v>26</v>
      </c>
      <c r="I1" s="4" t="s">
        <v>27</v>
      </c>
      <c r="J1" s="53" t="s">
        <v>27</v>
      </c>
    </row>
    <row r="2" spans="1:10">
      <c r="A2" s="131"/>
      <c r="B2" s="131"/>
      <c r="C2" s="131"/>
      <c r="D2" s="131"/>
      <c r="E2" s="131"/>
      <c r="F2" s="131"/>
      <c r="G2" s="129"/>
      <c r="H2" s="126"/>
      <c r="I2" s="5" t="s">
        <v>28</v>
      </c>
      <c r="J2" s="54" t="s">
        <v>23</v>
      </c>
    </row>
    <row r="3" spans="1:10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0">
        <v>1</v>
      </c>
      <c r="F3" s="50">
        <v>8.8999999999999996E-2</v>
      </c>
      <c r="G3" s="50">
        <v>8.8999999999999996E-2</v>
      </c>
      <c r="H3" s="50">
        <v>8.8999999999999996E-2</v>
      </c>
      <c r="I3" s="51">
        <f>E3*(AVERAGE(F3:H3)*1.6007-0.0118)</f>
        <v>0.13066230000000001</v>
      </c>
      <c r="J3" s="51">
        <f>E3*(STDEV(F3:H3)*1.6007)</f>
        <v>2.7206696834821082E-17</v>
      </c>
    </row>
    <row r="4" spans="1:10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40">
        <v>1</v>
      </c>
      <c r="F4" s="50">
        <v>0.192</v>
      </c>
      <c r="G4" s="50">
        <v>0.192</v>
      </c>
      <c r="H4" s="50">
        <v>0.192</v>
      </c>
      <c r="I4" s="51">
        <f>E4*(AVERAGE(F4:H4)*1.6007-0.0118)</f>
        <v>0.29553440000000009</v>
      </c>
      <c r="J4" s="51">
        <f t="shared" ref="J4:J9" si="1">E4*(STDEV(F4:H4)*1.6007)</f>
        <v>5.4413393669642165E-17</v>
      </c>
    </row>
    <row r="5" spans="1:10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40">
        <v>1</v>
      </c>
      <c r="F5" s="50">
        <v>0.311</v>
      </c>
      <c r="G5" s="50">
        <v>0.311</v>
      </c>
      <c r="H5" s="50">
        <v>0.311</v>
      </c>
      <c r="I5" s="51">
        <f t="shared" ref="I5:I9" si="2">E5*(AVERAGE(F5:H5)*1.6007-0.0118)</f>
        <v>0.4860177</v>
      </c>
      <c r="J5" s="51">
        <f t="shared" si="1"/>
        <v>0</v>
      </c>
    </row>
    <row r="6" spans="1:10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40">
        <v>10</v>
      </c>
      <c r="F6" s="50">
        <v>5.2999999999999999E-2</v>
      </c>
      <c r="G6" s="50">
        <v>5.2999999999999999E-2</v>
      </c>
      <c r="H6" s="50">
        <v>5.2999999999999999E-2</v>
      </c>
      <c r="I6" s="51">
        <f t="shared" si="2"/>
        <v>0.73037099999999988</v>
      </c>
      <c r="J6" s="51">
        <f t="shared" si="1"/>
        <v>0</v>
      </c>
    </row>
    <row r="7" spans="1:10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40">
        <v>10</v>
      </c>
      <c r="F7" s="50">
        <v>0.09</v>
      </c>
      <c r="G7" s="50">
        <v>9.0999999999999998E-2</v>
      </c>
      <c r="H7" s="50">
        <v>9.2999999999999999E-2</v>
      </c>
      <c r="I7" s="51">
        <f t="shared" si="2"/>
        <v>1.3439726666666665</v>
      </c>
      <c r="J7" s="51">
        <f t="shared" si="1"/>
        <v>2.4451096383052734E-2</v>
      </c>
    </row>
    <row r="8" spans="1:10">
      <c r="A8" s="65">
        <v>4</v>
      </c>
      <c r="B8" s="32">
        <v>80</v>
      </c>
      <c r="C8" s="32">
        <f t="shared" ref="C8:C18" si="3">C7+B8</f>
        <v>360</v>
      </c>
      <c r="D8" s="13">
        <f t="shared" si="0"/>
        <v>6</v>
      </c>
      <c r="E8" s="40">
        <v>10</v>
      </c>
      <c r="F8" s="50">
        <v>0.156</v>
      </c>
      <c r="G8" s="50">
        <v>0.153</v>
      </c>
      <c r="H8" s="50">
        <v>0.156</v>
      </c>
      <c r="I8" s="51">
        <f t="shared" si="2"/>
        <v>2.3630849999999999</v>
      </c>
      <c r="J8" s="51">
        <f t="shared" si="1"/>
        <v>2.7724937276755048E-2</v>
      </c>
    </row>
    <row r="9" spans="1:10">
      <c r="A9" s="65">
        <v>5</v>
      </c>
      <c r="B9" s="32">
        <v>80</v>
      </c>
      <c r="C9" s="32">
        <f t="shared" si="3"/>
        <v>440</v>
      </c>
      <c r="D9" s="13">
        <f t="shared" si="0"/>
        <v>7.333333333333333</v>
      </c>
      <c r="E9" s="40">
        <v>10</v>
      </c>
      <c r="F9" s="50">
        <v>0.224</v>
      </c>
      <c r="G9" s="50">
        <v>0.215</v>
      </c>
      <c r="H9" s="50">
        <v>0.224</v>
      </c>
      <c r="I9" s="51">
        <f t="shared" si="2"/>
        <v>3.4195470000000006</v>
      </c>
      <c r="J9" s="51">
        <f t="shared" si="1"/>
        <v>8.3174811830265122E-2</v>
      </c>
    </row>
    <row r="10" spans="1:10">
      <c r="A10" s="65">
        <v>6</v>
      </c>
      <c r="B10" s="32">
        <v>80</v>
      </c>
      <c r="C10" s="32">
        <f t="shared" si="3"/>
        <v>520</v>
      </c>
      <c r="D10" s="13">
        <f t="shared" si="0"/>
        <v>8.6666666666666661</v>
      </c>
      <c r="E10" s="40">
        <v>10</v>
      </c>
      <c r="F10" s="50">
        <v>0.255</v>
      </c>
      <c r="G10" s="50">
        <v>0.28299999999999997</v>
      </c>
      <c r="H10" s="50">
        <v>0.28100000000000003</v>
      </c>
      <c r="I10" s="51">
        <f t="shared" ref="I10:I20" si="4">E10*(AVERAGE(F10:H10)*1.6007-0.0118)</f>
        <v>4.2519110000000007</v>
      </c>
      <c r="J10" s="51">
        <f t="shared" ref="J10:J20" si="5">E10*(STDEV(F10:H10)*1.6007)</f>
        <v>0.25003733312447551</v>
      </c>
    </row>
    <row r="11" spans="1:10">
      <c r="A11" s="65">
        <v>7</v>
      </c>
      <c r="B11" s="32">
        <v>80</v>
      </c>
      <c r="C11" s="32">
        <f t="shared" si="3"/>
        <v>600</v>
      </c>
      <c r="D11" s="13">
        <f t="shared" si="0"/>
        <v>10</v>
      </c>
      <c r="E11" s="40">
        <v>20</v>
      </c>
      <c r="F11" s="50">
        <v>0.16200000000000001</v>
      </c>
      <c r="G11" s="50">
        <v>0.16200000000000001</v>
      </c>
      <c r="H11" s="50">
        <v>0.16800000000000001</v>
      </c>
      <c r="I11" s="51">
        <f t="shared" si="4"/>
        <v>5.0142959999999999</v>
      </c>
      <c r="J11" s="51">
        <f t="shared" si="5"/>
        <v>0.11089974910702018</v>
      </c>
    </row>
    <row r="12" spans="1:10">
      <c r="A12" s="65">
        <v>8</v>
      </c>
      <c r="B12" s="32">
        <v>80</v>
      </c>
      <c r="C12" s="32">
        <f t="shared" si="3"/>
        <v>680</v>
      </c>
      <c r="D12" s="13">
        <f t="shared" si="0"/>
        <v>11.333333333333334</v>
      </c>
      <c r="E12" s="40">
        <v>20</v>
      </c>
      <c r="F12" s="50">
        <v>0.20899999999999999</v>
      </c>
      <c r="G12" s="50">
        <v>0.18099999999999999</v>
      </c>
      <c r="H12" s="50">
        <v>0.183</v>
      </c>
      <c r="I12" s="51">
        <f t="shared" si="4"/>
        <v>5.8786739999999993</v>
      </c>
      <c r="J12" s="51">
        <f t="shared" si="5"/>
        <v>0.50007466624895114</v>
      </c>
    </row>
    <row r="13" spans="1:10">
      <c r="A13" s="65">
        <v>9</v>
      </c>
      <c r="B13" s="32">
        <v>80</v>
      </c>
      <c r="C13" s="32">
        <f t="shared" si="3"/>
        <v>760</v>
      </c>
      <c r="D13" s="13">
        <f t="shared" si="0"/>
        <v>12.666666666666666</v>
      </c>
      <c r="E13" s="40">
        <v>20</v>
      </c>
      <c r="F13" s="50">
        <v>0.189</v>
      </c>
      <c r="G13" s="50">
        <v>0.184</v>
      </c>
      <c r="H13" s="50">
        <v>0.191</v>
      </c>
      <c r="I13" s="51">
        <f t="shared" si="4"/>
        <v>5.7826320000000013</v>
      </c>
      <c r="J13" s="51">
        <f t="shared" si="5"/>
        <v>0.11542811853270427</v>
      </c>
    </row>
    <row r="14" spans="1:10">
      <c r="A14" s="65">
        <v>10</v>
      </c>
      <c r="B14" s="32">
        <v>80</v>
      </c>
      <c r="C14" s="32">
        <f t="shared" si="3"/>
        <v>840</v>
      </c>
      <c r="D14" s="13">
        <f t="shared" si="0"/>
        <v>14</v>
      </c>
      <c r="E14" s="40">
        <v>20</v>
      </c>
      <c r="F14" s="50">
        <v>0.20499999999999999</v>
      </c>
      <c r="G14" s="50">
        <v>0.21199999999999999</v>
      </c>
      <c r="H14" s="50">
        <v>0.21199999999999999</v>
      </c>
      <c r="I14" s="51">
        <f t="shared" si="4"/>
        <v>6.4762686666666669</v>
      </c>
      <c r="J14" s="51">
        <f t="shared" si="5"/>
        <v>0.12938304062485687</v>
      </c>
    </row>
    <row r="15" spans="1:10">
      <c r="A15" s="65">
        <v>11</v>
      </c>
      <c r="B15" s="32">
        <v>80</v>
      </c>
      <c r="C15" s="32">
        <f t="shared" si="3"/>
        <v>920</v>
      </c>
      <c r="D15" s="13">
        <f t="shared" si="0"/>
        <v>15.333333333333334</v>
      </c>
      <c r="E15" s="40">
        <v>20</v>
      </c>
      <c r="F15" s="50">
        <v>0.218</v>
      </c>
      <c r="G15" s="50">
        <v>0.223</v>
      </c>
      <c r="H15" s="50">
        <v>0.224</v>
      </c>
      <c r="I15" s="51">
        <f t="shared" si="4"/>
        <v>6.8604366666666667</v>
      </c>
      <c r="J15" s="51">
        <f t="shared" si="5"/>
        <v>0.10291061182080959</v>
      </c>
    </row>
    <row r="16" spans="1:10">
      <c r="A16" s="65">
        <v>12</v>
      </c>
      <c r="B16" s="32">
        <v>80</v>
      </c>
      <c r="C16" s="32">
        <f t="shared" si="3"/>
        <v>1000</v>
      </c>
      <c r="D16" s="13">
        <f t="shared" si="0"/>
        <v>16.666666666666668</v>
      </c>
      <c r="E16" s="40">
        <v>20</v>
      </c>
      <c r="F16" s="50">
        <v>0.224</v>
      </c>
      <c r="G16" s="50">
        <v>0.24399999999999999</v>
      </c>
      <c r="H16" s="50">
        <v>0.23599999999999999</v>
      </c>
      <c r="I16" s="51">
        <f t="shared" si="4"/>
        <v>7.2766186666666668</v>
      </c>
      <c r="J16" s="51">
        <f t="shared" si="5"/>
        <v>0.32226719948101024</v>
      </c>
    </row>
    <row r="17" spans="1:10">
      <c r="A17" s="65">
        <v>13</v>
      </c>
      <c r="B17" s="32">
        <v>80</v>
      </c>
      <c r="C17" s="32">
        <f t="shared" si="3"/>
        <v>1080</v>
      </c>
      <c r="D17" s="13">
        <f t="shared" si="0"/>
        <v>18</v>
      </c>
      <c r="E17" s="40">
        <v>20</v>
      </c>
      <c r="F17" s="50">
        <v>0.23499999999999999</v>
      </c>
      <c r="G17" s="50">
        <v>0.25900000000000001</v>
      </c>
      <c r="H17" s="50">
        <v>0.221</v>
      </c>
      <c r="I17" s="51">
        <f t="shared" si="4"/>
        <v>7.394003333333333</v>
      </c>
      <c r="J17" s="51">
        <f t="shared" si="5"/>
        <v>0.61524655902274938</v>
      </c>
    </row>
    <row r="18" spans="1:10">
      <c r="A18" s="65">
        <v>14</v>
      </c>
      <c r="B18" s="32">
        <v>360</v>
      </c>
      <c r="C18" s="32">
        <f t="shared" si="3"/>
        <v>1440</v>
      </c>
      <c r="D18" s="13">
        <f t="shared" si="0"/>
        <v>24</v>
      </c>
      <c r="E18" s="40">
        <v>20</v>
      </c>
      <c r="F18" s="50">
        <v>0.185</v>
      </c>
      <c r="G18" s="50">
        <v>0.182</v>
      </c>
      <c r="H18" s="50">
        <v>0.18099999999999999</v>
      </c>
      <c r="I18" s="51">
        <f>E18*(AVERAGE(F18:H18)*1.6007-0.0118)</f>
        <v>5.6118906666666666</v>
      </c>
      <c r="J18" s="51">
        <f t="shared" si="5"/>
        <v>6.6642455306908835E-2</v>
      </c>
    </row>
    <row r="19" spans="1:10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>
        <v>20</v>
      </c>
      <c r="F19" s="50">
        <v>0.152</v>
      </c>
      <c r="G19" s="50">
        <v>0.153</v>
      </c>
      <c r="H19" s="50">
        <v>0.152</v>
      </c>
      <c r="I19" s="51">
        <f>E19*(AVERAGE(F19:H19)*1.6007-0.0118)</f>
        <v>4.6407993333333328</v>
      </c>
      <c r="J19" s="51">
        <f t="shared" si="5"/>
        <v>1.8483291517836696E-2</v>
      </c>
    </row>
    <row r="20" spans="1:10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20</v>
      </c>
      <c r="F20" s="50">
        <v>5.7000000000000002E-2</v>
      </c>
      <c r="G20" s="50">
        <v>0.05</v>
      </c>
      <c r="H20" s="50">
        <v>4.9000000000000002E-2</v>
      </c>
      <c r="I20" s="51">
        <f t="shared" si="4"/>
        <v>1.4287280000000002</v>
      </c>
      <c r="J20" s="51">
        <f t="shared" si="5"/>
        <v>0.13954579077851112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0" t="s">
        <v>4</v>
      </c>
      <c r="B1" s="130" t="s">
        <v>117</v>
      </c>
      <c r="C1" s="130" t="s">
        <v>117</v>
      </c>
      <c r="D1" s="130" t="s">
        <v>5</v>
      </c>
      <c r="E1" s="4" t="s">
        <v>29</v>
      </c>
      <c r="F1" s="4" t="s">
        <v>2</v>
      </c>
      <c r="G1" s="4" t="s">
        <v>32</v>
      </c>
    </row>
    <row r="2" spans="1:7">
      <c r="A2" s="131"/>
      <c r="B2" s="131"/>
      <c r="C2" s="131"/>
      <c r="D2" s="131"/>
      <c r="E2" s="5" t="s">
        <v>30</v>
      </c>
      <c r="F2" s="5" t="s">
        <v>31</v>
      </c>
      <c r="G2" s="5" t="s">
        <v>33</v>
      </c>
    </row>
    <row r="3" spans="1:7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5">
        <v>4</v>
      </c>
      <c r="B8" s="32">
        <v>80</v>
      </c>
      <c r="C8" s="32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5">
        <v>5</v>
      </c>
      <c r="B9" s="32">
        <v>80</v>
      </c>
      <c r="C9" s="32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5">
        <v>6</v>
      </c>
      <c r="B10" s="32">
        <v>80</v>
      </c>
      <c r="C10" s="32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5">
        <v>7</v>
      </c>
      <c r="B11" s="32">
        <v>80</v>
      </c>
      <c r="C11" s="32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5">
        <v>8</v>
      </c>
      <c r="B12" s="32">
        <v>80</v>
      </c>
      <c r="C12" s="32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5">
        <v>9</v>
      </c>
      <c r="B13" s="32">
        <v>80</v>
      </c>
      <c r="C13" s="32">
        <f t="shared" si="1"/>
        <v>760</v>
      </c>
      <c r="D13" s="13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65">
        <v>10</v>
      </c>
      <c r="B14" s="32">
        <v>80</v>
      </c>
      <c r="C14" s="32">
        <f t="shared" si="1"/>
        <v>840</v>
      </c>
      <c r="D14" s="13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65">
        <v>11</v>
      </c>
      <c r="B15" s="32">
        <v>80</v>
      </c>
      <c r="C15" s="32">
        <f t="shared" si="1"/>
        <v>920</v>
      </c>
      <c r="D15" s="13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65">
        <v>12</v>
      </c>
      <c r="B16" s="32">
        <v>80</v>
      </c>
      <c r="C16" s="32">
        <f t="shared" si="1"/>
        <v>1000</v>
      </c>
      <c r="D16" s="13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65">
        <v>13</v>
      </c>
      <c r="B17" s="32">
        <v>80</v>
      </c>
      <c r="C17" s="32">
        <f t="shared" si="1"/>
        <v>1080</v>
      </c>
      <c r="D17" s="13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65">
        <v>14</v>
      </c>
      <c r="B18" s="32">
        <v>360</v>
      </c>
      <c r="C18" s="32">
        <f t="shared" si="1"/>
        <v>1440</v>
      </c>
      <c r="D18" s="13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/>
      <c r="F19" s="40"/>
      <c r="G19" s="40" t="e">
        <f>(F19-$C$22)/E19*1000*Calculation!I21/Calculation!K19</f>
        <v>#DIV/0!</v>
      </c>
    </row>
    <row r="20" spans="1:7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/>
      <c r="F20" s="40"/>
      <c r="G20" s="40" t="e">
        <f>(F20-$C$22)/E20*1000*Calculation!I22/Calculation!K20</f>
        <v>#DIV/0!</v>
      </c>
    </row>
    <row r="22" spans="1:7">
      <c r="A22" s="152" t="s">
        <v>3</v>
      </c>
      <c r="B22" s="153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70.3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29" t="s">
        <v>5</v>
      </c>
      <c r="B3" s="129" t="s">
        <v>36</v>
      </c>
      <c r="C3" s="129"/>
      <c r="D3" s="129" t="s">
        <v>52</v>
      </c>
      <c r="E3" s="129"/>
      <c r="F3" s="129"/>
      <c r="G3" s="23" t="s">
        <v>53</v>
      </c>
    </row>
    <row r="4" spans="1:10">
      <c r="A4" s="129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77">
        <v>243.14</v>
      </c>
      <c r="C5" s="12">
        <f>B5/1000</f>
        <v>0.24314</v>
      </c>
      <c r="D5" s="12">
        <f>C5/1000*$B$1</f>
        <v>1.7092742000000001E-2</v>
      </c>
      <c r="E5" s="12">
        <f>D5/22.4</f>
        <v>7.6306883928571438E-4</v>
      </c>
      <c r="F5" s="12">
        <f>E5/Calculation!K$4*1000</f>
        <v>4.9147328446970439E-4</v>
      </c>
      <c r="G5" s="12">
        <f>(0+F5)/2*30</f>
        <v>7.3720992670455662E-3</v>
      </c>
      <c r="I5" s="80">
        <v>-0.16666666666666666</v>
      </c>
      <c r="J5" t="s">
        <v>167</v>
      </c>
    </row>
    <row r="6" spans="1:10">
      <c r="A6" s="12">
        <v>0.5</v>
      </c>
      <c r="B6" s="77">
        <v>2627.22</v>
      </c>
      <c r="C6" s="12">
        <f t="shared" ref="C6:C69" si="0">B6/1000</f>
        <v>2.6272199999999999</v>
      </c>
      <c r="D6" s="12">
        <f>C6/1000*$B$1</f>
        <v>0.184693566</v>
      </c>
      <c r="E6" s="12">
        <f>D6/22.4</f>
        <v>8.245248482142857E-3</v>
      </c>
      <c r="F6" s="12">
        <f>E6/Calculation!K$4*1000</f>
        <v>5.3105554101525732E-3</v>
      </c>
      <c r="G6" s="12">
        <f>G5+(F6+F5)/2*30</f>
        <v>9.4402529686379716E-2</v>
      </c>
      <c r="I6" s="80">
        <v>0.16666666666666666</v>
      </c>
      <c r="J6" t="s">
        <v>168</v>
      </c>
    </row>
    <row r="7" spans="1:10">
      <c r="A7" s="12">
        <v>1</v>
      </c>
      <c r="B7" s="77">
        <v>6348.94</v>
      </c>
      <c r="C7" s="12">
        <f t="shared" si="0"/>
        <v>6.3489399999999998</v>
      </c>
      <c r="D7" s="12">
        <f t="shared" ref="D7:D69" si="1">C7/1000*$B$1</f>
        <v>0.44633048199999997</v>
      </c>
      <c r="E7" s="12">
        <f t="shared" ref="E7:E69" si="2">D7/22.4</f>
        <v>1.9925467946428573E-2</v>
      </c>
      <c r="F7" s="12">
        <f>E7/Calculation!K$4*1000</f>
        <v>1.2833488503335877E-2</v>
      </c>
      <c r="G7" s="12">
        <f t="shared" ref="G7:G70" si="3">G6+(F7+F6)/2*30</f>
        <v>0.3665631883887065</v>
      </c>
      <c r="I7" s="80">
        <v>2</v>
      </c>
      <c r="J7" t="s">
        <v>169</v>
      </c>
    </row>
    <row r="8" spans="1:10">
      <c r="A8" s="12">
        <v>1.5</v>
      </c>
      <c r="B8" s="77">
        <v>8453.2999999999993</v>
      </c>
      <c r="C8" s="12">
        <f t="shared" si="0"/>
        <v>8.4532999999999987</v>
      </c>
      <c r="D8" s="12">
        <f t="shared" si="1"/>
        <v>0.59426698999999983</v>
      </c>
      <c r="E8" s="12">
        <f t="shared" si="2"/>
        <v>2.6529776339285709E-2</v>
      </c>
      <c r="F8" s="12">
        <f>E8/Calculation!K$4*1000</f>
        <v>1.7087156023721933E-2</v>
      </c>
      <c r="G8" s="12">
        <f t="shared" si="3"/>
        <v>0.81537285629457368</v>
      </c>
      <c r="I8" s="80">
        <v>3.3333333333333335</v>
      </c>
      <c r="J8" t="s">
        <v>170</v>
      </c>
    </row>
    <row r="9" spans="1:10">
      <c r="A9" s="12">
        <v>2</v>
      </c>
      <c r="B9" s="77">
        <v>10625.79</v>
      </c>
      <c r="C9" s="12">
        <f t="shared" si="0"/>
        <v>10.62579</v>
      </c>
      <c r="D9" s="12">
        <f t="shared" si="1"/>
        <v>0.74699303699999997</v>
      </c>
      <c r="E9" s="12">
        <f t="shared" si="2"/>
        <v>3.33479034375E-2</v>
      </c>
      <c r="F9" s="12">
        <f>E9/Calculation!K$5*1000</f>
        <v>2.2128975076949022E-2</v>
      </c>
      <c r="G9" s="12">
        <f t="shared" si="3"/>
        <v>1.4036148228046381</v>
      </c>
      <c r="I9" s="80">
        <v>4.666666666666667</v>
      </c>
      <c r="J9" t="s">
        <v>171</v>
      </c>
    </row>
    <row r="10" spans="1:10">
      <c r="A10" s="12">
        <v>2.5</v>
      </c>
      <c r="B10" s="77">
        <v>11971.32</v>
      </c>
      <c r="C10" s="12">
        <f t="shared" si="0"/>
        <v>11.97132</v>
      </c>
      <c r="D10" s="12">
        <f t="shared" si="1"/>
        <v>0.841583796</v>
      </c>
      <c r="E10" s="12">
        <f t="shared" si="2"/>
        <v>3.7570705178571431E-2</v>
      </c>
      <c r="F10" s="12">
        <f>E10/Calculation!K$5*1000</f>
        <v>2.4931138477062072E-2</v>
      </c>
      <c r="G10" s="12">
        <f t="shared" si="3"/>
        <v>2.1095165261148043</v>
      </c>
      <c r="I10" s="80">
        <v>6</v>
      </c>
      <c r="J10" t="s">
        <v>172</v>
      </c>
    </row>
    <row r="11" spans="1:10">
      <c r="A11" s="12">
        <v>3</v>
      </c>
      <c r="B11" s="77">
        <v>18189.72</v>
      </c>
      <c r="C11" s="12">
        <f t="shared" si="0"/>
        <v>18.189720000000001</v>
      </c>
      <c r="D11" s="12">
        <f t="shared" si="1"/>
        <v>1.278737316</v>
      </c>
      <c r="E11" s="12">
        <f t="shared" si="2"/>
        <v>5.7086487321428576E-2</v>
      </c>
      <c r="F11" s="12">
        <f>E11/Calculation!K$5*1000</f>
        <v>3.7881405574237886E-2</v>
      </c>
      <c r="G11" s="12">
        <f t="shared" si="3"/>
        <v>3.0517046868843036</v>
      </c>
      <c r="I11" s="80">
        <v>7.333333333333333</v>
      </c>
      <c r="J11" t="s">
        <v>173</v>
      </c>
    </row>
    <row r="12" spans="1:10">
      <c r="A12" s="12">
        <v>3.5</v>
      </c>
      <c r="B12" s="77">
        <v>26891.9</v>
      </c>
      <c r="C12" s="12">
        <f t="shared" si="0"/>
        <v>26.8919</v>
      </c>
      <c r="D12" s="12">
        <f t="shared" si="1"/>
        <v>1.8905005699999999</v>
      </c>
      <c r="E12" s="12">
        <f t="shared" si="2"/>
        <v>8.4397346875000001E-2</v>
      </c>
      <c r="F12" s="12">
        <f>E12/Calculation!K$6*1000</f>
        <v>5.7710616776194351E-2</v>
      </c>
      <c r="G12" s="12">
        <f t="shared" si="3"/>
        <v>4.4855850221407874</v>
      </c>
      <c r="I12" s="80">
        <v>8.6666666666666661</v>
      </c>
      <c r="J12" t="s">
        <v>174</v>
      </c>
    </row>
    <row r="13" spans="1:10">
      <c r="A13" s="12">
        <v>4</v>
      </c>
      <c r="B13" s="77">
        <v>37570.050000000003</v>
      </c>
      <c r="C13" s="12">
        <f t="shared" si="0"/>
        <v>37.570050000000002</v>
      </c>
      <c r="D13" s="12">
        <f t="shared" si="1"/>
        <v>2.6411745149999999</v>
      </c>
      <c r="E13" s="12">
        <f t="shared" si="2"/>
        <v>0.11790957656250001</v>
      </c>
      <c r="F13" s="12">
        <f>E13/Calculation!K$6*1000</f>
        <v>8.0626164674584569E-2</v>
      </c>
      <c r="G13" s="12">
        <f t="shared" si="3"/>
        <v>6.5606367439024709</v>
      </c>
      <c r="I13" s="80">
        <v>10</v>
      </c>
      <c r="J13" t="s">
        <v>175</v>
      </c>
    </row>
    <row r="14" spans="1:10">
      <c r="A14" s="12">
        <v>4.5</v>
      </c>
      <c r="B14" s="77">
        <v>35015.269999999997</v>
      </c>
      <c r="C14" s="12">
        <f t="shared" si="0"/>
        <v>35.015269999999994</v>
      </c>
      <c r="D14" s="12">
        <f t="shared" si="1"/>
        <v>2.4615734809999994</v>
      </c>
      <c r="E14" s="12">
        <f t="shared" si="2"/>
        <v>0.10989167325892855</v>
      </c>
      <c r="F14" s="12">
        <f>E14/Calculation!K$6*1000</f>
        <v>7.5143549852742811E-2</v>
      </c>
      <c r="G14" s="12">
        <f t="shared" si="3"/>
        <v>8.8971824618123811</v>
      </c>
      <c r="I14" s="80">
        <v>11.333333333333334</v>
      </c>
      <c r="J14" t="s">
        <v>176</v>
      </c>
    </row>
    <row r="15" spans="1:10">
      <c r="A15" s="12">
        <v>5</v>
      </c>
      <c r="B15" s="77">
        <v>36068.879999999997</v>
      </c>
      <c r="C15" s="12">
        <f t="shared" si="0"/>
        <v>36.06888</v>
      </c>
      <c r="D15" s="12">
        <f t="shared" si="1"/>
        <v>2.5356422639999998</v>
      </c>
      <c r="E15" s="12">
        <f t="shared" si="2"/>
        <v>0.11319831535714285</v>
      </c>
      <c r="F15" s="12">
        <f>E15/Calculation!K$7*1000</f>
        <v>7.9553256631811314E-2</v>
      </c>
      <c r="G15" s="12">
        <f t="shared" si="3"/>
        <v>11.217634559080693</v>
      </c>
      <c r="I15" s="80">
        <v>12.666666666666666</v>
      </c>
      <c r="J15" t="s">
        <v>177</v>
      </c>
    </row>
    <row r="16" spans="1:10">
      <c r="A16" s="12">
        <v>5.5</v>
      </c>
      <c r="B16" s="77">
        <v>39026.74</v>
      </c>
      <c r="C16" s="12">
        <f t="shared" si="0"/>
        <v>39.026739999999997</v>
      </c>
      <c r="D16" s="12">
        <f t="shared" si="1"/>
        <v>2.7435798219999996</v>
      </c>
      <c r="E16" s="12">
        <f t="shared" si="2"/>
        <v>0.12248124205357142</v>
      </c>
      <c r="F16" s="12">
        <f>E16/Calculation!K$7*1000</f>
        <v>8.6077090908366891E-2</v>
      </c>
      <c r="G16" s="12">
        <f t="shared" si="3"/>
        <v>13.702089772183367</v>
      </c>
      <c r="I16" s="80">
        <v>14</v>
      </c>
      <c r="J16" t="s">
        <v>178</v>
      </c>
    </row>
    <row r="17" spans="1:10">
      <c r="A17" s="12">
        <v>6</v>
      </c>
      <c r="B17" s="77">
        <v>41850.49</v>
      </c>
      <c r="C17" s="12">
        <f t="shared" si="0"/>
        <v>41.850490000000001</v>
      </c>
      <c r="D17" s="12">
        <f t="shared" si="1"/>
        <v>2.9420894470000003</v>
      </c>
      <c r="E17" s="12">
        <f t="shared" si="2"/>
        <v>0.1313432788839286</v>
      </c>
      <c r="F17" s="12">
        <f>E17/Calculation!K$8*1000</f>
        <v>9.4725607943197301E-2</v>
      </c>
      <c r="G17" s="12">
        <f t="shared" si="3"/>
        <v>16.414130254956831</v>
      </c>
      <c r="I17" s="80">
        <v>15.333333333333334</v>
      </c>
      <c r="J17" t="s">
        <v>179</v>
      </c>
    </row>
    <row r="18" spans="1:10">
      <c r="A18" s="12">
        <v>6.5</v>
      </c>
      <c r="B18" s="77">
        <v>41054.36</v>
      </c>
      <c r="C18" s="12">
        <f t="shared" si="0"/>
        <v>41.054360000000003</v>
      </c>
      <c r="D18" s="12">
        <f t="shared" si="1"/>
        <v>2.8861215080000004</v>
      </c>
      <c r="E18" s="12">
        <f t="shared" si="2"/>
        <v>0.12884471017857146</v>
      </c>
      <c r="F18" s="12">
        <f>E18/Calculation!K$8*1000</f>
        <v>9.2923624304491567E-2</v>
      </c>
      <c r="G18" s="12">
        <f t="shared" si="3"/>
        <v>19.228868738672162</v>
      </c>
      <c r="I18" s="80">
        <v>16.666666666666668</v>
      </c>
      <c r="J18" t="s">
        <v>180</v>
      </c>
    </row>
    <row r="19" spans="1:10">
      <c r="A19" s="12">
        <v>7</v>
      </c>
      <c r="B19" s="77">
        <v>39160.15</v>
      </c>
      <c r="C19" s="12">
        <f t="shared" si="0"/>
        <v>39.160150000000002</v>
      </c>
      <c r="D19" s="12">
        <f t="shared" si="1"/>
        <v>2.7529585450000003</v>
      </c>
      <c r="E19" s="12">
        <f t="shared" si="2"/>
        <v>0.12289993504464287</v>
      </c>
      <c r="F19" s="12">
        <f>E19/Calculation!K$8*1000</f>
        <v>8.8636214675068256E-2</v>
      </c>
      <c r="G19" s="12">
        <f t="shared" si="3"/>
        <v>21.95226632336556</v>
      </c>
      <c r="I19" s="80">
        <v>18</v>
      </c>
      <c r="J19" t="s">
        <v>181</v>
      </c>
    </row>
    <row r="20" spans="1:10">
      <c r="A20" s="12">
        <v>7.5</v>
      </c>
      <c r="B20" s="77">
        <v>39523.79</v>
      </c>
      <c r="C20" s="12">
        <f t="shared" si="0"/>
        <v>39.523789999999998</v>
      </c>
      <c r="D20" s="12">
        <f t="shared" si="1"/>
        <v>2.7785224369999995</v>
      </c>
      <c r="E20" s="12">
        <f t="shared" si="2"/>
        <v>0.12404118022321427</v>
      </c>
      <c r="F20" s="12">
        <f>E20/Calculation!K$9*1000</f>
        <v>9.25238553995575E-2</v>
      </c>
      <c r="G20" s="12">
        <f t="shared" si="3"/>
        <v>24.669667374484945</v>
      </c>
      <c r="I20" s="80">
        <v>24</v>
      </c>
      <c r="J20" t="s">
        <v>182</v>
      </c>
    </row>
    <row r="21" spans="1:10">
      <c r="A21" s="12">
        <v>8</v>
      </c>
      <c r="B21" s="77">
        <v>38004.69</v>
      </c>
      <c r="C21" s="12">
        <f t="shared" si="0"/>
        <v>38.004690000000004</v>
      </c>
      <c r="D21" s="12">
        <f t="shared" si="1"/>
        <v>2.6717297069999999</v>
      </c>
      <c r="E21" s="12">
        <f t="shared" si="2"/>
        <v>0.11927364763392857</v>
      </c>
      <c r="F21" s="12">
        <f>E21/Calculation!K$9*1000</f>
        <v>8.89676936868911E-2</v>
      </c>
      <c r="G21" s="12">
        <f t="shared" si="3"/>
        <v>27.392040610781674</v>
      </c>
      <c r="I21" s="80">
        <v>30</v>
      </c>
      <c r="J21" t="s">
        <v>183</v>
      </c>
    </row>
    <row r="22" spans="1:10">
      <c r="A22" s="12">
        <v>8.5</v>
      </c>
      <c r="B22" s="77">
        <v>39081.97</v>
      </c>
      <c r="C22" s="12">
        <f t="shared" si="0"/>
        <v>39.081969999999998</v>
      </c>
      <c r="D22" s="12">
        <f t="shared" si="1"/>
        <v>2.7474624909999998</v>
      </c>
      <c r="E22" s="12">
        <f t="shared" si="2"/>
        <v>0.12265457549107144</v>
      </c>
      <c r="F22" s="12">
        <f>E22/Calculation!K$9*1000</f>
        <v>9.1489569725217254E-2</v>
      </c>
      <c r="G22" s="12">
        <f t="shared" si="3"/>
        <v>30.0988995619633</v>
      </c>
      <c r="I22" s="80">
        <v>48</v>
      </c>
      <c r="J22" t="s">
        <v>184</v>
      </c>
    </row>
    <row r="23" spans="1:10">
      <c r="A23" s="12">
        <v>9</v>
      </c>
      <c r="B23" s="77">
        <v>40949.64</v>
      </c>
      <c r="C23" s="12">
        <f t="shared" si="0"/>
        <v>40.949640000000002</v>
      </c>
      <c r="D23" s="12">
        <f t="shared" si="1"/>
        <v>2.878759692</v>
      </c>
      <c r="E23" s="12">
        <f t="shared" si="2"/>
        <v>0.12851605767857144</v>
      </c>
      <c r="F23" s="12">
        <f>E23/Calculation!K$10*1000</f>
        <v>9.8580188760392345E-2</v>
      </c>
      <c r="G23" s="12">
        <f t="shared" si="3"/>
        <v>32.949945939247442</v>
      </c>
    </row>
    <row r="24" spans="1:10">
      <c r="A24" s="12">
        <v>9.5</v>
      </c>
      <c r="B24" s="77">
        <v>42974.39</v>
      </c>
      <c r="C24" s="12">
        <f t="shared" si="0"/>
        <v>42.97439</v>
      </c>
      <c r="D24" s="12">
        <f t="shared" si="1"/>
        <v>3.021099617</v>
      </c>
      <c r="E24" s="12">
        <f t="shared" si="2"/>
        <v>0.13487051861607144</v>
      </c>
      <c r="F24" s="12">
        <f>E24/Calculation!K$10*1000</f>
        <v>0.10345447427774011</v>
      </c>
      <c r="G24" s="12">
        <f t="shared" si="3"/>
        <v>35.980465884819431</v>
      </c>
    </row>
    <row r="25" spans="1:10">
      <c r="A25" s="12">
        <v>10</v>
      </c>
      <c r="B25" s="77">
        <v>39364.559999999998</v>
      </c>
      <c r="C25" s="12">
        <f t="shared" si="0"/>
        <v>39.364559999999997</v>
      </c>
      <c r="D25" s="12">
        <f t="shared" si="1"/>
        <v>2.7673285679999999</v>
      </c>
      <c r="E25" s="12">
        <f t="shared" si="2"/>
        <v>0.12354145392857144</v>
      </c>
      <c r="F25" s="12">
        <f>E25/Calculation!K$11*1000</f>
        <v>9.8044647801879201E-2</v>
      </c>
      <c r="G25" s="12">
        <f t="shared" si="3"/>
        <v>39.002952716013723</v>
      </c>
    </row>
    <row r="26" spans="1:10">
      <c r="A26" s="12">
        <v>10.5</v>
      </c>
      <c r="B26" s="77">
        <v>37746.49</v>
      </c>
      <c r="C26" s="12">
        <f t="shared" si="0"/>
        <v>37.746490000000001</v>
      </c>
      <c r="D26" s="12">
        <f t="shared" si="1"/>
        <v>2.653578247</v>
      </c>
      <c r="E26" s="12">
        <f t="shared" si="2"/>
        <v>0.1184633145982143</v>
      </c>
      <c r="F26" s="12">
        <f>E26/Calculation!K$11*1000</f>
        <v>9.4014548055589994E-2</v>
      </c>
      <c r="G26" s="12">
        <f t="shared" si="3"/>
        <v>41.883840653875758</v>
      </c>
    </row>
    <row r="27" spans="1:10">
      <c r="A27" s="12">
        <v>11</v>
      </c>
      <c r="B27" s="77">
        <v>36902.300000000003</v>
      </c>
      <c r="C27" s="12">
        <f t="shared" si="0"/>
        <v>36.902300000000004</v>
      </c>
      <c r="D27" s="12">
        <f t="shared" si="1"/>
        <v>2.5942316900000004</v>
      </c>
      <c r="E27" s="12">
        <f t="shared" si="2"/>
        <v>0.11581391473214288</v>
      </c>
      <c r="F27" s="12">
        <f>E27/Calculation!K$11*1000</f>
        <v>9.1911938214965114E-2</v>
      </c>
      <c r="G27" s="12">
        <f t="shared" si="3"/>
        <v>44.672737947934081</v>
      </c>
    </row>
    <row r="28" spans="1:10">
      <c r="A28" s="12">
        <v>11.5</v>
      </c>
      <c r="B28" s="77">
        <v>37931.53</v>
      </c>
      <c r="C28" s="12">
        <f t="shared" si="0"/>
        <v>37.931530000000002</v>
      </c>
      <c r="D28" s="12">
        <f t="shared" si="1"/>
        <v>2.6665865590000002</v>
      </c>
      <c r="E28" s="12">
        <f t="shared" si="2"/>
        <v>0.11904404281250001</v>
      </c>
      <c r="F28" s="12">
        <f>E28/Calculation!K$12*1000</f>
        <v>9.7697028541506428E-2</v>
      </c>
      <c r="G28" s="12">
        <f t="shared" si="3"/>
        <v>47.516872449281152</v>
      </c>
    </row>
    <row r="29" spans="1:10">
      <c r="A29" s="12">
        <v>12</v>
      </c>
      <c r="B29" s="77">
        <v>45643.93</v>
      </c>
      <c r="C29" s="12">
        <f t="shared" si="0"/>
        <v>45.643929999999997</v>
      </c>
      <c r="D29" s="12">
        <f t="shared" si="1"/>
        <v>3.2087682789999996</v>
      </c>
      <c r="E29" s="12">
        <f t="shared" si="2"/>
        <v>0.14324858388392855</v>
      </c>
      <c r="F29" s="12">
        <f>E29/Calculation!K$12*1000</f>
        <v>0.1175612038838539</v>
      </c>
      <c r="G29" s="12">
        <f t="shared" si="3"/>
        <v>50.74574593566156</v>
      </c>
    </row>
    <row r="30" spans="1:10">
      <c r="A30" s="12">
        <v>12.5</v>
      </c>
      <c r="B30" s="77">
        <v>39184.54</v>
      </c>
      <c r="C30" s="12">
        <f t="shared" si="0"/>
        <v>39.184539999999998</v>
      </c>
      <c r="D30" s="12">
        <f t="shared" si="1"/>
        <v>2.7546731619999996</v>
      </c>
      <c r="E30" s="12">
        <f t="shared" si="2"/>
        <v>0.12297648044642856</v>
      </c>
      <c r="F30" s="12">
        <f>E30/Calculation!K$12*1000</f>
        <v>0.1009243002527396</v>
      </c>
      <c r="G30" s="12">
        <f t="shared" si="3"/>
        <v>54.023028497710463</v>
      </c>
    </row>
    <row r="31" spans="1:10">
      <c r="A31" s="12">
        <v>13</v>
      </c>
      <c r="B31" s="77">
        <v>41775.18</v>
      </c>
      <c r="C31" s="12">
        <f t="shared" si="0"/>
        <v>41.775179999999999</v>
      </c>
      <c r="D31" s="12">
        <f t="shared" si="1"/>
        <v>2.9367951539999999</v>
      </c>
      <c r="E31" s="12">
        <f t="shared" si="2"/>
        <v>0.13110692651785716</v>
      </c>
      <c r="F31" s="12">
        <f>E31/Calculation!K$13*1000</f>
        <v>0.11202829109752971</v>
      </c>
      <c r="G31" s="12">
        <f t="shared" si="3"/>
        <v>57.217317367964505</v>
      </c>
    </row>
    <row r="32" spans="1:10">
      <c r="A32" s="12">
        <v>13.5</v>
      </c>
      <c r="B32" s="77">
        <v>41653.97</v>
      </c>
      <c r="C32" s="12">
        <f t="shared" si="0"/>
        <v>41.653970000000001</v>
      </c>
      <c r="D32" s="12">
        <f t="shared" si="1"/>
        <v>2.9282740909999996</v>
      </c>
      <c r="E32" s="12">
        <f t="shared" si="2"/>
        <v>0.13072652191964285</v>
      </c>
      <c r="F32" s="12">
        <f>E32/Calculation!K$13*1000</f>
        <v>0.11170324284725448</v>
      </c>
      <c r="G32" s="12">
        <f t="shared" si="3"/>
        <v>60.573290377136267</v>
      </c>
    </row>
    <row r="33" spans="1:7">
      <c r="A33" s="12">
        <v>14</v>
      </c>
      <c r="B33" s="77">
        <v>40791.85</v>
      </c>
      <c r="C33" s="12">
        <f t="shared" si="0"/>
        <v>40.791849999999997</v>
      </c>
      <c r="D33" s="12">
        <f t="shared" si="1"/>
        <v>2.8676670549999996</v>
      </c>
      <c r="E33" s="12">
        <f t="shared" si="2"/>
        <v>0.12802085066964286</v>
      </c>
      <c r="F33" s="12">
        <f>E33/Calculation!K$14*1000</f>
        <v>0.11359147785809046</v>
      </c>
      <c r="G33" s="12">
        <f t="shared" si="3"/>
        <v>63.952711187716439</v>
      </c>
    </row>
    <row r="34" spans="1:7">
      <c r="A34" s="12">
        <v>14.5</v>
      </c>
      <c r="B34" s="77">
        <v>42602.15</v>
      </c>
      <c r="C34" s="12">
        <f t="shared" si="0"/>
        <v>42.602150000000002</v>
      </c>
      <c r="D34" s="12">
        <f t="shared" si="1"/>
        <v>2.9949311449999998</v>
      </c>
      <c r="E34" s="12">
        <f t="shared" si="2"/>
        <v>0.13370228325892858</v>
      </c>
      <c r="F34" s="12">
        <f>E34/Calculation!K$14*1000</f>
        <v>0.11863254984591404</v>
      </c>
      <c r="G34" s="12">
        <f t="shared" si="3"/>
        <v>67.436071603276503</v>
      </c>
    </row>
    <row r="35" spans="1:7">
      <c r="A35" s="12">
        <v>15</v>
      </c>
      <c r="B35" s="77">
        <v>42879.71</v>
      </c>
      <c r="C35" s="12">
        <f t="shared" si="0"/>
        <v>42.879709999999996</v>
      </c>
      <c r="D35" s="12">
        <f t="shared" si="1"/>
        <v>3.0144436129999996</v>
      </c>
      <c r="E35" s="12">
        <f t="shared" si="2"/>
        <v>0.13457337558035715</v>
      </c>
      <c r="F35" s="12">
        <f>E35/Calculation!K$14*1000</f>
        <v>0.11940546038059906</v>
      </c>
      <c r="G35" s="12">
        <f t="shared" si="3"/>
        <v>71.006641756674199</v>
      </c>
    </row>
    <row r="36" spans="1:7">
      <c r="A36" s="12">
        <v>15.5</v>
      </c>
      <c r="B36" s="77">
        <v>44673.51</v>
      </c>
      <c r="C36" s="12">
        <f t="shared" si="0"/>
        <v>44.67351</v>
      </c>
      <c r="D36" s="12">
        <f t="shared" si="1"/>
        <v>3.1405477529999999</v>
      </c>
      <c r="E36" s="12">
        <f t="shared" si="2"/>
        <v>0.14020302468750001</v>
      </c>
      <c r="F36" s="12">
        <f>E36/Calculation!K$15*1000</f>
        <v>0.12935459107596151</v>
      </c>
      <c r="G36" s="12">
        <f t="shared" si="3"/>
        <v>74.738042528522612</v>
      </c>
    </row>
    <row r="37" spans="1:7">
      <c r="A37" s="12">
        <v>16</v>
      </c>
      <c r="B37" s="77">
        <v>42820.18</v>
      </c>
      <c r="C37" s="12">
        <f t="shared" si="0"/>
        <v>42.820180000000001</v>
      </c>
      <c r="D37" s="12">
        <f t="shared" si="1"/>
        <v>3.0102586539999998</v>
      </c>
      <c r="E37" s="12">
        <f t="shared" si="2"/>
        <v>0.13438654705357142</v>
      </c>
      <c r="F37" s="12">
        <f>E37/Calculation!K$15*1000</f>
        <v>0.12398817271575625</v>
      </c>
      <c r="G37" s="12">
        <f t="shared" si="3"/>
        <v>78.538183985398376</v>
      </c>
    </row>
    <row r="38" spans="1:7">
      <c r="A38" s="12">
        <v>16.5</v>
      </c>
      <c r="B38" s="77">
        <v>42751.33</v>
      </c>
      <c r="C38" s="12">
        <f t="shared" si="0"/>
        <v>42.751330000000003</v>
      </c>
      <c r="D38" s="12">
        <f t="shared" si="1"/>
        <v>3.0054184990000001</v>
      </c>
      <c r="E38" s="12">
        <f t="shared" si="2"/>
        <v>0.13417046870535715</v>
      </c>
      <c r="F38" s="12">
        <f>E38/Calculation!K$15*1000</f>
        <v>0.12378881377584804</v>
      </c>
      <c r="G38" s="12">
        <f t="shared" si="3"/>
        <v>82.254838782772438</v>
      </c>
    </row>
    <row r="39" spans="1:7">
      <c r="A39" s="12">
        <v>17</v>
      </c>
      <c r="B39" s="77">
        <v>43510.16</v>
      </c>
      <c r="C39" s="12">
        <f t="shared" si="0"/>
        <v>43.510160000000006</v>
      </c>
      <c r="D39" s="12">
        <f t="shared" si="1"/>
        <v>3.0587642480000001</v>
      </c>
      <c r="E39" s="12">
        <f t="shared" si="2"/>
        <v>0.13655197535714286</v>
      </c>
      <c r="F39" s="12">
        <f>E39/Calculation!K$16*1000</f>
        <v>0.13144350765943838</v>
      </c>
      <c r="G39" s="12">
        <f t="shared" si="3"/>
        <v>86.083323604301739</v>
      </c>
    </row>
    <row r="40" spans="1:7">
      <c r="A40" s="12">
        <v>17.5</v>
      </c>
      <c r="B40" s="77">
        <v>42411.360000000001</v>
      </c>
      <c r="C40" s="12">
        <f t="shared" si="0"/>
        <v>42.411360000000002</v>
      </c>
      <c r="D40" s="12">
        <f t="shared" si="1"/>
        <v>2.981518608</v>
      </c>
      <c r="E40" s="12">
        <f t="shared" si="2"/>
        <v>0.13310350928571429</v>
      </c>
      <c r="F40" s="12">
        <f>E40/Calculation!K$16*1000</f>
        <v>0.12812405017603243</v>
      </c>
      <c r="G40" s="12">
        <f t="shared" si="3"/>
        <v>89.976836971833805</v>
      </c>
    </row>
    <row r="41" spans="1:7">
      <c r="A41" s="12">
        <v>18</v>
      </c>
      <c r="B41" s="77">
        <v>42516.08</v>
      </c>
      <c r="C41" s="12">
        <f t="shared" si="0"/>
        <v>42.516080000000002</v>
      </c>
      <c r="D41" s="12">
        <f t="shared" si="1"/>
        <v>2.9888804240000004</v>
      </c>
      <c r="E41" s="12">
        <f t="shared" si="2"/>
        <v>0.13343216178571432</v>
      </c>
      <c r="F41" s="12">
        <f>E41/Calculation!K$17*1000</f>
        <v>0.13411052161085724</v>
      </c>
      <c r="G41" s="12">
        <f t="shared" si="3"/>
        <v>93.910355548637156</v>
      </c>
    </row>
    <row r="42" spans="1:7">
      <c r="A42" s="12">
        <v>18.5</v>
      </c>
      <c r="B42" s="77">
        <v>26479.49</v>
      </c>
      <c r="C42" s="12">
        <f t="shared" si="0"/>
        <v>26.479490000000002</v>
      </c>
      <c r="D42" s="12">
        <f t="shared" si="1"/>
        <v>1.8615081470000001</v>
      </c>
      <c r="E42" s="12">
        <f t="shared" si="2"/>
        <v>8.3103042276785721E-2</v>
      </c>
      <c r="F42" s="12">
        <f>E42/Calculation!K$17*1000</f>
        <v>8.3525532360685134E-2</v>
      </c>
      <c r="G42" s="12">
        <f t="shared" si="3"/>
        <v>97.17489635821029</v>
      </c>
    </row>
    <row r="43" spans="1:7">
      <c r="A43" s="12">
        <v>19</v>
      </c>
      <c r="B43" s="77">
        <v>10647.31</v>
      </c>
      <c r="C43" s="12">
        <f t="shared" si="0"/>
        <v>10.647309999999999</v>
      </c>
      <c r="D43" s="12">
        <f t="shared" si="1"/>
        <v>0.74850589299999981</v>
      </c>
      <c r="E43" s="12">
        <f t="shared" si="2"/>
        <v>3.3415441651785706E-2</v>
      </c>
      <c r="F43" s="12">
        <f>E43/Calculation!K$17*1000</f>
        <v>3.3585323431804988E-2</v>
      </c>
      <c r="G43" s="12">
        <f t="shared" si="3"/>
        <v>98.931559195097648</v>
      </c>
    </row>
    <row r="44" spans="1:7">
      <c r="A44" s="12">
        <v>19.5</v>
      </c>
      <c r="B44" s="77">
        <v>3715.98</v>
      </c>
      <c r="C44" s="12">
        <f t="shared" si="0"/>
        <v>3.7159800000000001</v>
      </c>
      <c r="D44" s="12">
        <f t="shared" si="1"/>
        <v>0.26123339400000001</v>
      </c>
      <c r="E44" s="12">
        <f t="shared" si="2"/>
        <v>1.1662205089285716E-2</v>
      </c>
      <c r="F44" s="12">
        <f>E44/Calculation!K$17*1000</f>
        <v>1.172149492840152E-2</v>
      </c>
      <c r="G44" s="12">
        <f t="shared" si="3"/>
        <v>99.611161470500747</v>
      </c>
    </row>
    <row r="45" spans="1:7">
      <c r="A45" s="12">
        <v>20</v>
      </c>
      <c r="B45" s="77">
        <v>1319.71</v>
      </c>
      <c r="C45" s="12">
        <f t="shared" si="0"/>
        <v>1.3197099999999999</v>
      </c>
      <c r="D45" s="12">
        <f t="shared" si="1"/>
        <v>9.2775612999999993E-2</v>
      </c>
      <c r="E45" s="12">
        <f t="shared" si="2"/>
        <v>4.1417684375000003E-3</v>
      </c>
      <c r="F45" s="12">
        <f>E45/Calculation!K$17*1000</f>
        <v>4.1628249000158143E-3</v>
      </c>
      <c r="G45" s="12">
        <f t="shared" si="3"/>
        <v>99.849426267927001</v>
      </c>
    </row>
    <row r="46" spans="1:7">
      <c r="A46" s="12">
        <v>20.5</v>
      </c>
      <c r="B46" s="77">
        <v>844.9</v>
      </c>
      <c r="C46" s="12">
        <f t="shared" si="0"/>
        <v>0.84489999999999998</v>
      </c>
      <c r="D46" s="12">
        <f t="shared" si="1"/>
        <v>5.939647E-2</v>
      </c>
      <c r="E46" s="12">
        <f t="shared" si="2"/>
        <v>2.651628125E-3</v>
      </c>
      <c r="F46" s="12">
        <f>E46/Calculation!K$17*1000</f>
        <v>2.6651088178640471E-3</v>
      </c>
      <c r="G46" s="12">
        <f t="shared" si="3"/>
        <v>99.951845273695199</v>
      </c>
    </row>
    <row r="47" spans="1:7">
      <c r="A47" s="12">
        <v>21</v>
      </c>
      <c r="B47" s="77">
        <v>550.12</v>
      </c>
      <c r="C47" s="12">
        <f t="shared" si="0"/>
        <v>0.55012000000000005</v>
      </c>
      <c r="D47" s="12">
        <f t="shared" si="1"/>
        <v>3.8673436000000005E-2</v>
      </c>
      <c r="E47" s="12">
        <f t="shared" si="2"/>
        <v>1.7264926785714289E-3</v>
      </c>
      <c r="F47" s="12">
        <f>E47/Calculation!K$17*1000</f>
        <v>1.7352700472048404E-3</v>
      </c>
      <c r="G47" s="12">
        <f t="shared" si="3"/>
        <v>100.01785095667123</v>
      </c>
    </row>
    <row r="48" spans="1:7">
      <c r="A48" s="12">
        <v>21.5</v>
      </c>
      <c r="B48" s="77">
        <v>562.30999999999995</v>
      </c>
      <c r="C48" s="12">
        <f t="shared" si="0"/>
        <v>0.56230999999999998</v>
      </c>
      <c r="D48" s="12">
        <f t="shared" si="1"/>
        <v>3.9530392999999997E-2</v>
      </c>
      <c r="E48" s="12">
        <f t="shared" si="2"/>
        <v>1.7647496875E-3</v>
      </c>
      <c r="F48" s="12">
        <f>E48/Calculation!K$17*1000</f>
        <v>1.7737215521045476E-3</v>
      </c>
      <c r="G48" s="12">
        <f t="shared" si="3"/>
        <v>100.07048583066087</v>
      </c>
    </row>
    <row r="49" spans="1:7">
      <c r="A49" s="12">
        <v>22</v>
      </c>
      <c r="B49" s="77">
        <v>441.81</v>
      </c>
      <c r="C49" s="12">
        <f t="shared" si="0"/>
        <v>0.44180999999999998</v>
      </c>
      <c r="D49" s="12">
        <f t="shared" si="1"/>
        <v>3.1059243E-2</v>
      </c>
      <c r="E49" s="12">
        <f t="shared" si="2"/>
        <v>1.3865733482142859E-3</v>
      </c>
      <c r="F49" s="12">
        <f>E49/Calculation!K$17*1000</f>
        <v>1.3936225906267189E-3</v>
      </c>
      <c r="G49" s="12">
        <f t="shared" si="3"/>
        <v>100.11799599280184</v>
      </c>
    </row>
    <row r="50" spans="1:7">
      <c r="A50" s="12">
        <v>22.5</v>
      </c>
      <c r="B50" s="77">
        <v>438.23</v>
      </c>
      <c r="C50" s="12">
        <f t="shared" si="0"/>
        <v>0.43823000000000001</v>
      </c>
      <c r="D50" s="12">
        <f t="shared" si="1"/>
        <v>3.0807569E-2</v>
      </c>
      <c r="E50" s="12">
        <f t="shared" si="2"/>
        <v>1.3753379017857144E-3</v>
      </c>
      <c r="F50" s="12">
        <f>E50/Calculation!K$17*1000</f>
        <v>1.3823300239703649E-3</v>
      </c>
      <c r="G50" s="12">
        <f t="shared" si="3"/>
        <v>100.15963528202079</v>
      </c>
    </row>
    <row r="51" spans="1:7">
      <c r="A51" s="12">
        <v>23</v>
      </c>
      <c r="B51" s="77">
        <v>538.64</v>
      </c>
      <c r="C51" s="12">
        <f t="shared" si="0"/>
        <v>0.53864000000000001</v>
      </c>
      <c r="D51" s="12">
        <f t="shared" si="1"/>
        <v>3.7866392000000006E-2</v>
      </c>
      <c r="E51" s="12">
        <f t="shared" si="2"/>
        <v>1.6904639285714289E-3</v>
      </c>
      <c r="F51" s="12">
        <f>E51/Calculation!K$17*1000</f>
        <v>1.6990581295470357E-3</v>
      </c>
      <c r="G51" s="12">
        <f t="shared" si="3"/>
        <v>100.20585610432354</v>
      </c>
    </row>
    <row r="52" spans="1:7">
      <c r="A52" s="12">
        <v>23.5</v>
      </c>
      <c r="B52" s="77">
        <v>423.88</v>
      </c>
      <c r="C52" s="12">
        <f t="shared" si="0"/>
        <v>0.42387999999999998</v>
      </c>
      <c r="D52" s="12">
        <f t="shared" si="1"/>
        <v>2.9798763999999995E-2</v>
      </c>
      <c r="E52" s="12">
        <f t="shared" si="2"/>
        <v>1.3303019642857141E-3</v>
      </c>
      <c r="F52" s="12">
        <f>E52/Calculation!K$17*1000</f>
        <v>1.3370651268981089E-3</v>
      </c>
      <c r="G52" s="12">
        <f t="shared" si="3"/>
        <v>100.25139795317023</v>
      </c>
    </row>
    <row r="53" spans="1:7">
      <c r="A53" s="12">
        <v>24</v>
      </c>
      <c r="B53" s="77">
        <v>485.57</v>
      </c>
      <c r="C53" s="12">
        <f t="shared" si="0"/>
        <v>0.48557</v>
      </c>
      <c r="D53" s="12">
        <f t="shared" si="1"/>
        <v>3.4135570999999996E-2</v>
      </c>
      <c r="E53" s="12">
        <f t="shared" si="2"/>
        <v>1.5239094196428571E-3</v>
      </c>
      <c r="F53" s="12">
        <f>E53/Calculation!K$18*1000</f>
        <v>1.6194882992039677E-3</v>
      </c>
      <c r="G53" s="12">
        <f t="shared" si="3"/>
        <v>100.29574625456176</v>
      </c>
    </row>
    <row r="54" spans="1:7">
      <c r="A54" s="12">
        <v>24.5</v>
      </c>
      <c r="B54" s="77">
        <v>475.52</v>
      </c>
      <c r="C54" s="12">
        <f t="shared" si="0"/>
        <v>0.47552</v>
      </c>
      <c r="D54" s="12">
        <f t="shared" si="1"/>
        <v>3.3429055999999999E-2</v>
      </c>
      <c r="E54" s="12">
        <f t="shared" si="2"/>
        <v>1.4923685714285716E-3</v>
      </c>
      <c r="F54" s="12">
        <f>E54/Calculation!K$18*1000</f>
        <v>1.5859692238760032E-3</v>
      </c>
      <c r="G54" s="12">
        <f t="shared" si="3"/>
        <v>100.34382811740797</v>
      </c>
    </row>
    <row r="55" spans="1:7">
      <c r="A55" s="12">
        <v>25</v>
      </c>
      <c r="B55" s="77">
        <v>463.33</v>
      </c>
      <c r="C55" s="12">
        <f t="shared" si="0"/>
        <v>0.46332999999999996</v>
      </c>
      <c r="D55" s="12">
        <f t="shared" si="1"/>
        <v>3.2572098999999993E-2</v>
      </c>
      <c r="E55" s="12">
        <f t="shared" si="2"/>
        <v>1.4541115624999998E-3</v>
      </c>
      <c r="F55" s="12">
        <f>E55/Calculation!K$18*1000</f>
        <v>1.5453127534035759E-3</v>
      </c>
      <c r="G55" s="12">
        <f t="shared" si="3"/>
        <v>100.39079734706716</v>
      </c>
    </row>
    <row r="56" spans="1:7">
      <c r="A56" s="12">
        <v>25.5</v>
      </c>
      <c r="B56" s="77">
        <v>445.4</v>
      </c>
      <c r="C56" s="12">
        <f t="shared" si="0"/>
        <v>0.44539999999999996</v>
      </c>
      <c r="D56" s="12">
        <f t="shared" si="1"/>
        <v>3.1311619999999998E-2</v>
      </c>
      <c r="E56" s="12">
        <f t="shared" si="2"/>
        <v>1.3978401785714285E-3</v>
      </c>
      <c r="F56" s="12">
        <f>E56/Calculation!K$18*1000</f>
        <v>1.4855120548333859E-3</v>
      </c>
      <c r="G56" s="12">
        <f t="shared" si="3"/>
        <v>100.43625971919072</v>
      </c>
    </row>
    <row r="57" spans="1:7">
      <c r="A57" s="12">
        <v>26</v>
      </c>
      <c r="B57" s="77">
        <v>471.22</v>
      </c>
      <c r="C57" s="12">
        <f t="shared" si="0"/>
        <v>0.47122000000000003</v>
      </c>
      <c r="D57" s="12">
        <f t="shared" si="1"/>
        <v>3.3126766000000002E-2</v>
      </c>
      <c r="E57" s="12">
        <f t="shared" si="2"/>
        <v>1.4788734821428572E-3</v>
      </c>
      <c r="F57" s="12">
        <f>E57/Calculation!K$18*1000</f>
        <v>1.5716277289595604E-3</v>
      </c>
      <c r="G57" s="12">
        <f t="shared" si="3"/>
        <v>100.48211681594761</v>
      </c>
    </row>
    <row r="58" spans="1:7">
      <c r="A58" s="12">
        <v>26.5</v>
      </c>
      <c r="B58" s="77">
        <v>469.07</v>
      </c>
      <c r="C58" s="12">
        <f t="shared" si="0"/>
        <v>0.46906999999999999</v>
      </c>
      <c r="D58" s="12">
        <f t="shared" si="1"/>
        <v>3.2975620999999997E-2</v>
      </c>
      <c r="E58" s="12">
        <f t="shared" si="2"/>
        <v>1.4721259374999998E-3</v>
      </c>
      <c r="F58" s="12">
        <f>E58/Calculation!K$18*1000</f>
        <v>1.5644569815013388E-3</v>
      </c>
      <c r="G58" s="12">
        <f t="shared" si="3"/>
        <v>100.52915808660453</v>
      </c>
    </row>
    <row r="59" spans="1:7">
      <c r="A59" s="12">
        <v>27</v>
      </c>
      <c r="B59" s="77">
        <v>435.36</v>
      </c>
      <c r="C59" s="12">
        <f t="shared" si="0"/>
        <v>0.43536000000000002</v>
      </c>
      <c r="D59" s="12">
        <f t="shared" si="1"/>
        <v>3.0605808000000002E-2</v>
      </c>
      <c r="E59" s="12">
        <f t="shared" si="2"/>
        <v>1.3663307142857144E-3</v>
      </c>
      <c r="F59" s="12">
        <f>E59/Calculation!K$18*1000</f>
        <v>1.4520263318191806E-3</v>
      </c>
      <c r="G59" s="12">
        <f t="shared" si="3"/>
        <v>100.57440533630434</v>
      </c>
    </row>
    <row r="60" spans="1:7">
      <c r="A60" s="12">
        <v>27.5</v>
      </c>
      <c r="B60" s="77">
        <v>461.18</v>
      </c>
      <c r="C60" s="12">
        <f t="shared" si="0"/>
        <v>0.46118000000000003</v>
      </c>
      <c r="D60" s="12">
        <f t="shared" si="1"/>
        <v>3.2420954000000002E-2</v>
      </c>
      <c r="E60" s="12">
        <f t="shared" si="2"/>
        <v>1.4473640178571431E-3</v>
      </c>
      <c r="F60" s="12">
        <f>E60/Calculation!K$18*1000</f>
        <v>1.538142005945355E-3</v>
      </c>
      <c r="G60" s="12">
        <f t="shared" si="3"/>
        <v>100.61925786137081</v>
      </c>
    </row>
    <row r="61" spans="1:7">
      <c r="A61" s="12">
        <v>28</v>
      </c>
      <c r="B61" s="77">
        <v>415.28</v>
      </c>
      <c r="C61" s="12">
        <f t="shared" si="0"/>
        <v>0.41527999999999998</v>
      </c>
      <c r="D61" s="12">
        <f t="shared" si="1"/>
        <v>2.9194183999999998E-2</v>
      </c>
      <c r="E61" s="12">
        <f t="shared" si="2"/>
        <v>1.3033117857142857E-3</v>
      </c>
      <c r="F61" s="12">
        <f>E61/Calculation!K$18*1000</f>
        <v>1.385054885790769E-3</v>
      </c>
      <c r="G61" s="12">
        <f t="shared" si="3"/>
        <v>100.66310581474686</v>
      </c>
    </row>
    <row r="62" spans="1:7">
      <c r="A62" s="12">
        <v>28.5</v>
      </c>
      <c r="B62" s="77">
        <v>464.05</v>
      </c>
      <c r="C62" s="12">
        <f t="shared" si="0"/>
        <v>0.46405000000000002</v>
      </c>
      <c r="D62" s="12">
        <f t="shared" si="1"/>
        <v>3.2622715000000004E-2</v>
      </c>
      <c r="E62" s="12">
        <f t="shared" si="2"/>
        <v>1.4563712053571431E-3</v>
      </c>
      <c r="F62" s="12">
        <f>E62/Calculation!K$18*1000</f>
        <v>1.5477141199942363E-3</v>
      </c>
      <c r="G62" s="12">
        <f t="shared" si="3"/>
        <v>100.70709734983363</v>
      </c>
    </row>
    <row r="63" spans="1:7">
      <c r="A63" s="12">
        <v>29</v>
      </c>
      <c r="B63" s="77">
        <v>484.13</v>
      </c>
      <c r="C63" s="12">
        <f t="shared" si="0"/>
        <v>0.48413</v>
      </c>
      <c r="D63" s="12">
        <f t="shared" si="1"/>
        <v>3.4034338999999997E-2</v>
      </c>
      <c r="E63" s="12">
        <f t="shared" si="2"/>
        <v>1.5193901339285714E-3</v>
      </c>
      <c r="F63" s="12">
        <f>E63/Calculation!K$18*1000</f>
        <v>1.6146855660226474E-3</v>
      </c>
      <c r="G63" s="12">
        <f t="shared" si="3"/>
        <v>100.75453334512389</v>
      </c>
    </row>
    <row r="64" spans="1:7">
      <c r="A64" s="12">
        <v>29.5</v>
      </c>
      <c r="B64" s="77">
        <v>453.29</v>
      </c>
      <c r="C64" s="12">
        <f t="shared" si="0"/>
        <v>0.45329000000000003</v>
      </c>
      <c r="D64" s="12">
        <f t="shared" si="1"/>
        <v>3.1866287E-2</v>
      </c>
      <c r="E64" s="12">
        <f t="shared" si="2"/>
        <v>1.4226020982142859E-3</v>
      </c>
      <c r="F64" s="12">
        <f>E64/Calculation!K$18*1000</f>
        <v>1.5118270303893706E-3</v>
      </c>
      <c r="G64" s="12">
        <f t="shared" si="3"/>
        <v>100.80143103407006</v>
      </c>
    </row>
    <row r="65" spans="1:7">
      <c r="A65" s="12">
        <v>30</v>
      </c>
      <c r="B65" s="77">
        <v>499.91</v>
      </c>
      <c r="C65" s="12">
        <f t="shared" si="0"/>
        <v>0.49991000000000002</v>
      </c>
      <c r="D65" s="12">
        <f t="shared" si="1"/>
        <v>3.5143673E-2</v>
      </c>
      <c r="E65" s="12">
        <f t="shared" si="2"/>
        <v>1.5689139732142858E-3</v>
      </c>
      <c r="F65" s="12">
        <f>E65/Calculation!K$19*1000</f>
        <v>1.7556267203726785E-3</v>
      </c>
      <c r="G65" s="12">
        <f t="shared" si="3"/>
        <v>100.8504428403315</v>
      </c>
    </row>
    <row r="66" spans="1:7">
      <c r="A66" s="12">
        <v>30.5</v>
      </c>
      <c r="B66" s="77">
        <v>499.19</v>
      </c>
      <c r="C66" s="12">
        <f t="shared" si="0"/>
        <v>0.49919000000000002</v>
      </c>
      <c r="D66" s="12">
        <f t="shared" si="1"/>
        <v>3.5093057000000004E-2</v>
      </c>
      <c r="E66" s="12">
        <f t="shared" si="2"/>
        <v>1.5666543303571431E-3</v>
      </c>
      <c r="F66" s="12">
        <f>E66/Calculation!K$19*1000</f>
        <v>1.753098162754971E-3</v>
      </c>
      <c r="G66" s="12">
        <f t="shared" si="3"/>
        <v>100.90307371357841</v>
      </c>
    </row>
    <row r="67" spans="1:7">
      <c r="A67" s="12">
        <v>31</v>
      </c>
      <c r="B67" s="77">
        <v>246.73</v>
      </c>
      <c r="C67" s="12">
        <f t="shared" si="0"/>
        <v>0.24672999999999998</v>
      </c>
      <c r="D67" s="12">
        <f t="shared" si="1"/>
        <v>1.7345118999999996E-2</v>
      </c>
      <c r="E67" s="12">
        <f t="shared" si="2"/>
        <v>7.7433566964285703E-4</v>
      </c>
      <c r="F67" s="12">
        <f>E67/Calculation!K$19*1000</f>
        <v>8.6648752919035602E-4</v>
      </c>
      <c r="G67" s="12">
        <f t="shared" si="3"/>
        <v>100.94236749895759</v>
      </c>
    </row>
    <row r="68" spans="1:7">
      <c r="A68" s="12">
        <v>31.5</v>
      </c>
      <c r="B68" s="77">
        <v>415.99</v>
      </c>
      <c r="C68" s="12">
        <f t="shared" si="0"/>
        <v>0.41599000000000003</v>
      </c>
      <c r="D68" s="12">
        <f t="shared" si="1"/>
        <v>2.9244097E-2</v>
      </c>
      <c r="E68" s="12">
        <f t="shared" si="2"/>
        <v>1.3055400446428573E-3</v>
      </c>
      <c r="F68" s="12">
        <f>E68/Calculation!K$19*1000</f>
        <v>1.4609092824865086E-3</v>
      </c>
      <c r="G68" s="12">
        <f t="shared" si="3"/>
        <v>100.97727845113275</v>
      </c>
    </row>
    <row r="69" spans="1:7">
      <c r="A69" s="12">
        <v>32</v>
      </c>
      <c r="B69" s="77">
        <v>493.46</v>
      </c>
      <c r="C69" s="12">
        <f t="shared" si="0"/>
        <v>0.49345999999999995</v>
      </c>
      <c r="D69" s="12">
        <f t="shared" si="1"/>
        <v>3.4690237999999991E-2</v>
      </c>
      <c r="E69" s="12">
        <f t="shared" si="2"/>
        <v>1.5486713392857141E-3</v>
      </c>
      <c r="F69" s="12">
        <f>E69/Calculation!K$19*1000</f>
        <v>1.732975058380712E-3</v>
      </c>
      <c r="G69" s="12">
        <f t="shared" si="3"/>
        <v>101.02518671624576</v>
      </c>
    </row>
    <row r="70" spans="1:7">
      <c r="A70" s="12">
        <v>32.5</v>
      </c>
      <c r="B70" s="77">
        <v>504.21</v>
      </c>
      <c r="C70" s="12">
        <f t="shared" ref="C70:C101" si="4">B70/1000</f>
        <v>0.50420999999999994</v>
      </c>
      <c r="D70" s="12">
        <f t="shared" ref="D70:D101" si="5">C70/1000*$B$1</f>
        <v>3.5445962999999997E-2</v>
      </c>
      <c r="E70" s="12">
        <f t="shared" ref="E70:E101" si="6">D70/22.4</f>
        <v>1.5824090624999999E-3</v>
      </c>
      <c r="F70" s="12">
        <f>E70/Calculation!K$19*1000</f>
        <v>1.7707278283673224E-3</v>
      </c>
      <c r="G70" s="12">
        <f t="shared" si="3"/>
        <v>101.07774225954698</v>
      </c>
    </row>
    <row r="71" spans="1:7">
      <c r="A71" s="12">
        <v>33</v>
      </c>
      <c r="B71" s="77">
        <v>509.95</v>
      </c>
      <c r="C71" s="12">
        <f t="shared" si="4"/>
        <v>0.50995000000000001</v>
      </c>
      <c r="D71" s="12">
        <f t="shared" si="5"/>
        <v>3.5849485E-2</v>
      </c>
      <c r="E71" s="12">
        <f t="shared" si="6"/>
        <v>1.6004234375000001E-3</v>
      </c>
      <c r="F71" s="12">
        <f>E71/Calculation!K$19*1000</f>
        <v>1.7908860515973822E-3</v>
      </c>
      <c r="G71" s="12">
        <f t="shared" ref="G71:G101" si="7">G70+(F71+F70)/2*30</f>
        <v>101.13116646774645</v>
      </c>
    </row>
    <row r="72" spans="1:7">
      <c r="A72" s="12">
        <v>33.5</v>
      </c>
      <c r="B72" s="77">
        <v>529.32000000000005</v>
      </c>
      <c r="C72" s="12">
        <f t="shared" si="4"/>
        <v>0.52932000000000001</v>
      </c>
      <c r="D72" s="12">
        <f t="shared" si="5"/>
        <v>3.7211196000000002E-2</v>
      </c>
      <c r="E72" s="12">
        <f t="shared" si="6"/>
        <v>1.6612141071428574E-3</v>
      </c>
      <c r="F72" s="12">
        <f>E72/Calculation!K$19*1000</f>
        <v>1.8589112752848836E-3</v>
      </c>
      <c r="G72" s="12">
        <f t="shared" si="7"/>
        <v>101.18591342764969</v>
      </c>
    </row>
    <row r="73" spans="1:7">
      <c r="A73" s="12">
        <v>34</v>
      </c>
      <c r="B73" s="77">
        <v>596.02</v>
      </c>
      <c r="C73" s="12">
        <f t="shared" si="4"/>
        <v>0.59601999999999999</v>
      </c>
      <c r="D73" s="12">
        <f t="shared" si="5"/>
        <v>4.1900205999999995E-2</v>
      </c>
      <c r="E73" s="12">
        <f t="shared" si="6"/>
        <v>1.8705449107142857E-3</v>
      </c>
      <c r="F73" s="12">
        <f>E73/Calculation!K$19*1000</f>
        <v>2.0931540434808741E-3</v>
      </c>
      <c r="G73" s="12">
        <f t="shared" si="7"/>
        <v>101.24519440743119</v>
      </c>
    </row>
    <row r="74" spans="1:7">
      <c r="A74" s="12">
        <v>34.5</v>
      </c>
      <c r="B74" s="77">
        <v>659.14</v>
      </c>
      <c r="C74" s="12">
        <f t="shared" si="4"/>
        <v>0.65913999999999995</v>
      </c>
      <c r="D74" s="12">
        <f t="shared" si="5"/>
        <v>4.6337541999999989E-2</v>
      </c>
      <c r="E74" s="12">
        <f t="shared" si="6"/>
        <v>2.0686402678571423E-3</v>
      </c>
      <c r="F74" s="12">
        <f>E74/Calculation!K$19*1000</f>
        <v>2.3148242612999279E-3</v>
      </c>
      <c r="G74" s="12">
        <f t="shared" si="7"/>
        <v>101.31131408200289</v>
      </c>
    </row>
    <row r="75" spans="1:7">
      <c r="A75" s="12">
        <v>35</v>
      </c>
      <c r="B75" s="77">
        <v>641.21</v>
      </c>
      <c r="C75" s="12">
        <f t="shared" si="4"/>
        <v>0.64121000000000006</v>
      </c>
      <c r="D75" s="12">
        <f t="shared" si="5"/>
        <v>4.5077063000000001E-2</v>
      </c>
      <c r="E75" s="12">
        <f t="shared" si="6"/>
        <v>2.0123688839285715E-3</v>
      </c>
      <c r="F75" s="12">
        <f>E75/Calculation!K$19*1000</f>
        <v>2.2518561528478429E-3</v>
      </c>
      <c r="G75" s="12">
        <f t="shared" si="7"/>
        <v>101.37981428821512</v>
      </c>
    </row>
    <row r="76" spans="1:7">
      <c r="A76" s="12">
        <v>35.5</v>
      </c>
      <c r="B76" s="77">
        <v>616.1</v>
      </c>
      <c r="C76" s="12">
        <f t="shared" si="4"/>
        <v>0.61609999999999998</v>
      </c>
      <c r="D76" s="12">
        <f t="shared" si="5"/>
        <v>4.3311829999999996E-2</v>
      </c>
      <c r="E76" s="12">
        <f t="shared" si="6"/>
        <v>1.9335638392857142E-3</v>
      </c>
      <c r="F76" s="12">
        <f>E76/Calculation!K$19*1000</f>
        <v>2.1636727059302814E-3</v>
      </c>
      <c r="G76" s="12">
        <f t="shared" si="7"/>
        <v>101.44604722109679</v>
      </c>
    </row>
    <row r="77" spans="1:7">
      <c r="A77" s="12">
        <v>36</v>
      </c>
      <c r="B77" s="77">
        <v>689.98</v>
      </c>
      <c r="C77" s="12">
        <f t="shared" si="4"/>
        <v>0.68998000000000004</v>
      </c>
      <c r="D77" s="12">
        <f t="shared" si="5"/>
        <v>4.8505594000000006E-2</v>
      </c>
      <c r="E77" s="12">
        <f t="shared" si="6"/>
        <v>2.1654283035714289E-3</v>
      </c>
      <c r="F77" s="12">
        <f>E77/Calculation!K$19*1000</f>
        <v>2.4231308125917481E-3</v>
      </c>
      <c r="G77" s="12">
        <f t="shared" si="7"/>
        <v>101.51484927387462</v>
      </c>
    </row>
    <row r="78" spans="1:7">
      <c r="A78" s="12">
        <v>36.5</v>
      </c>
      <c r="B78" s="77">
        <v>684.96</v>
      </c>
      <c r="C78" s="12">
        <f t="shared" si="4"/>
        <v>0.68496000000000001</v>
      </c>
      <c r="D78" s="12">
        <f t="shared" si="5"/>
        <v>4.8152687999999999E-2</v>
      </c>
      <c r="E78" s="12">
        <f t="shared" si="6"/>
        <v>2.1496735714285715E-3</v>
      </c>
      <c r="F78" s="12">
        <f>E78/Calculation!K$19*1000</f>
        <v>2.4055011469793961E-3</v>
      </c>
      <c r="G78" s="12">
        <f t="shared" si="7"/>
        <v>101.58727875326818</v>
      </c>
    </row>
    <row r="79" spans="1:7">
      <c r="A79" s="12">
        <v>37</v>
      </c>
      <c r="B79" s="77">
        <v>644.79</v>
      </c>
      <c r="C79" s="12">
        <f t="shared" si="4"/>
        <v>0.64478999999999997</v>
      </c>
      <c r="D79" s="12">
        <f t="shared" si="5"/>
        <v>4.5328737000000001E-2</v>
      </c>
      <c r="E79" s="12">
        <f t="shared" si="6"/>
        <v>2.0236043303571431E-3</v>
      </c>
      <c r="F79" s="12">
        <f>E79/Calculation!K$19*1000</f>
        <v>2.2644287032247794E-3</v>
      </c>
      <c r="G79" s="12">
        <f t="shared" si="7"/>
        <v>101.65732770102125</v>
      </c>
    </row>
    <row r="80" spans="1:7">
      <c r="A80" s="12">
        <v>37.5</v>
      </c>
      <c r="B80" s="77">
        <v>646.94000000000005</v>
      </c>
      <c r="C80" s="12">
        <f t="shared" si="4"/>
        <v>0.64694000000000007</v>
      </c>
      <c r="D80" s="12">
        <f t="shared" si="5"/>
        <v>4.5479881999999999E-2</v>
      </c>
      <c r="E80" s="12">
        <f t="shared" si="6"/>
        <v>2.0303518750000001E-3</v>
      </c>
      <c r="F80" s="12">
        <f>E80/Calculation!K$19*1000</f>
        <v>2.2719792572221016E-3</v>
      </c>
      <c r="G80" s="12">
        <f t="shared" si="7"/>
        <v>101.72537382042795</v>
      </c>
    </row>
    <row r="81" spans="1:7">
      <c r="A81" s="12">
        <v>38</v>
      </c>
      <c r="B81" s="77">
        <v>625.42999999999995</v>
      </c>
      <c r="C81" s="12">
        <f t="shared" si="4"/>
        <v>0.62542999999999993</v>
      </c>
      <c r="D81" s="12">
        <f t="shared" si="5"/>
        <v>4.3967728999999997E-2</v>
      </c>
      <c r="E81" s="12">
        <f t="shared" si="6"/>
        <v>1.9628450446428571E-3</v>
      </c>
      <c r="F81" s="12">
        <f>E81/Calculation!K$19*1000</f>
        <v>2.1964385983930792E-3</v>
      </c>
      <c r="G81" s="12">
        <f t="shared" si="7"/>
        <v>101.79240008826217</v>
      </c>
    </row>
    <row r="82" spans="1:7">
      <c r="A82" s="12">
        <v>38.5</v>
      </c>
      <c r="B82" s="77">
        <v>545.1</v>
      </c>
      <c r="C82" s="12">
        <f t="shared" si="4"/>
        <v>0.54510000000000003</v>
      </c>
      <c r="D82" s="12">
        <f t="shared" si="5"/>
        <v>3.8320530000000005E-2</v>
      </c>
      <c r="E82" s="12">
        <f t="shared" si="6"/>
        <v>1.7107379464285717E-3</v>
      </c>
      <c r="F82" s="12">
        <f>E82/Calculation!K$19*1000</f>
        <v>1.9143288297396473E-3</v>
      </c>
      <c r="G82" s="12">
        <f t="shared" si="7"/>
        <v>101.85406159968416</v>
      </c>
    </row>
    <row r="83" spans="1:7">
      <c r="A83" s="12">
        <v>39</v>
      </c>
      <c r="B83" s="77">
        <v>517.84</v>
      </c>
      <c r="C83" s="12">
        <f t="shared" si="4"/>
        <v>0.51784000000000008</v>
      </c>
      <c r="D83" s="12">
        <f t="shared" si="5"/>
        <v>3.6404152000000002E-2</v>
      </c>
      <c r="E83" s="12">
        <f t="shared" si="6"/>
        <v>1.6251853571428573E-3</v>
      </c>
      <c r="F83" s="12">
        <f>E83/Calculation!K$19*1000</f>
        <v>1.8185948288247642E-3</v>
      </c>
      <c r="G83" s="12">
        <f t="shared" si="7"/>
        <v>101.91005545456262</v>
      </c>
    </row>
    <row r="84" spans="1:7">
      <c r="A84" s="12">
        <v>39.5</v>
      </c>
      <c r="B84" s="77">
        <v>484.13</v>
      </c>
      <c r="C84" s="12">
        <f t="shared" si="4"/>
        <v>0.48413</v>
      </c>
      <c r="D84" s="12">
        <f t="shared" si="5"/>
        <v>3.4034338999999997E-2</v>
      </c>
      <c r="E84" s="12">
        <f t="shared" si="6"/>
        <v>1.5193901339285714E-3</v>
      </c>
      <c r="F84" s="12">
        <f>E84/Calculation!K$19*1000</f>
        <v>1.7002091659179147E-3</v>
      </c>
      <c r="G84" s="12">
        <f t="shared" si="7"/>
        <v>101.96283751448377</v>
      </c>
    </row>
    <row r="85" spans="1:7">
      <c r="A85" s="12">
        <v>40</v>
      </c>
      <c r="B85" s="77">
        <v>399.5</v>
      </c>
      <c r="C85" s="12">
        <f t="shared" si="4"/>
        <v>0.39950000000000002</v>
      </c>
      <c r="D85" s="12">
        <f t="shared" si="5"/>
        <v>2.8084849999999998E-2</v>
      </c>
      <c r="E85" s="12">
        <f t="shared" si="6"/>
        <v>1.2537879464285715E-3</v>
      </c>
      <c r="F85" s="12">
        <f>E85/Calculation!K$19*1000</f>
        <v>1.4029982892698387E-3</v>
      </c>
      <c r="G85" s="12">
        <f t="shared" si="7"/>
        <v>102.00938562631158</v>
      </c>
    </row>
    <row r="86" spans="1:7">
      <c r="A86" s="12">
        <v>40.5</v>
      </c>
      <c r="B86" s="77">
        <v>385.15</v>
      </c>
      <c r="C86" s="12">
        <f t="shared" si="4"/>
        <v>0.38514999999999999</v>
      </c>
      <c r="D86" s="12">
        <f t="shared" si="5"/>
        <v>2.7076045E-2</v>
      </c>
      <c r="E86" s="12">
        <f t="shared" si="6"/>
        <v>1.2087520089285714E-3</v>
      </c>
      <c r="F86" s="12">
        <f>E86/Calculation!K$19*1000</f>
        <v>1.3526027311946893E-3</v>
      </c>
      <c r="G86" s="12">
        <f t="shared" si="7"/>
        <v>102.05071964161856</v>
      </c>
    </row>
    <row r="87" spans="1:7">
      <c r="A87" s="12">
        <v>41</v>
      </c>
      <c r="B87" s="77">
        <v>325.62</v>
      </c>
      <c r="C87" s="12">
        <f t="shared" si="4"/>
        <v>0.32562000000000002</v>
      </c>
      <c r="D87" s="12">
        <f t="shared" si="5"/>
        <v>2.2891086000000001E-2</v>
      </c>
      <c r="E87" s="12">
        <f t="shared" si="6"/>
        <v>1.0219234821428572E-3</v>
      </c>
      <c r="F87" s="12">
        <f>E87/Calculation!K$19*1000</f>
        <v>1.1435401826083728E-3</v>
      </c>
      <c r="G87" s="12">
        <f t="shared" si="7"/>
        <v>102.0881617853256</v>
      </c>
    </row>
    <row r="88" spans="1:7">
      <c r="A88" s="12">
        <v>41.5</v>
      </c>
      <c r="B88" s="77">
        <v>289.04000000000002</v>
      </c>
      <c r="C88" s="12">
        <f t="shared" si="4"/>
        <v>0.28904000000000002</v>
      </c>
      <c r="D88" s="12">
        <f t="shared" si="5"/>
        <v>2.0319512000000001E-2</v>
      </c>
      <c r="E88" s="12">
        <f t="shared" si="6"/>
        <v>9.071210714285716E-4</v>
      </c>
      <c r="F88" s="12">
        <f>E88/Calculation!K$19*1000</f>
        <v>1.0150754080864937E-3</v>
      </c>
      <c r="G88" s="12">
        <f t="shared" si="7"/>
        <v>102.12054101918602</v>
      </c>
    </row>
    <row r="89" spans="1:7">
      <c r="A89" s="12">
        <v>42</v>
      </c>
      <c r="B89" s="77">
        <v>262.51</v>
      </c>
      <c r="C89" s="12">
        <f t="shared" si="4"/>
        <v>0.26250999999999997</v>
      </c>
      <c r="D89" s="12">
        <f t="shared" si="5"/>
        <v>1.8454452999999999E-2</v>
      </c>
      <c r="E89" s="12">
        <f t="shared" si="6"/>
        <v>8.2385950892857141E-4</v>
      </c>
      <c r="F89" s="12">
        <f>E89/Calculation!K$19*1000</f>
        <v>9.2190508364511968E-4</v>
      </c>
      <c r="G89" s="12">
        <f t="shared" si="7"/>
        <v>102.149595726562</v>
      </c>
    </row>
    <row r="90" spans="1:7">
      <c r="A90" s="12">
        <v>42.5</v>
      </c>
      <c r="B90" s="77">
        <v>284.02</v>
      </c>
      <c r="C90" s="12">
        <f t="shared" si="4"/>
        <v>0.28401999999999999</v>
      </c>
      <c r="D90" s="12">
        <f t="shared" si="5"/>
        <v>1.9966606000000001E-2</v>
      </c>
      <c r="E90" s="12">
        <f t="shared" si="6"/>
        <v>8.9136633928571442E-4</v>
      </c>
      <c r="F90" s="12">
        <f>E90/Calculation!K$19*1000</f>
        <v>9.9744574247414186E-4</v>
      </c>
      <c r="G90" s="12">
        <f t="shared" si="7"/>
        <v>102.17838598895379</v>
      </c>
    </row>
    <row r="91" spans="1:7">
      <c r="A91" s="12">
        <v>43</v>
      </c>
      <c r="B91" s="77">
        <v>280.44</v>
      </c>
      <c r="C91" s="12">
        <f t="shared" si="4"/>
        <v>0.28044000000000002</v>
      </c>
      <c r="D91" s="12">
        <f t="shared" si="5"/>
        <v>1.9714932000000001E-2</v>
      </c>
      <c r="E91" s="12">
        <f t="shared" si="6"/>
        <v>8.8013089285714295E-4</v>
      </c>
      <c r="F91" s="12">
        <f>E91/Calculation!K$19*1000</f>
        <v>9.8487319209720559E-4</v>
      </c>
      <c r="G91" s="12">
        <f t="shared" si="7"/>
        <v>102.20812077297236</v>
      </c>
    </row>
    <row r="92" spans="1:7">
      <c r="A92" s="12">
        <v>43.5</v>
      </c>
      <c r="B92" s="77">
        <v>191.5</v>
      </c>
      <c r="C92" s="12">
        <f t="shared" si="4"/>
        <v>0.1915</v>
      </c>
      <c r="D92" s="12">
        <f t="shared" si="5"/>
        <v>1.3462449999999999E-2</v>
      </c>
      <c r="E92" s="12">
        <f t="shared" si="6"/>
        <v>6.0100223214285713E-4</v>
      </c>
      <c r="F92" s="12">
        <f>E92/Calculation!K$19*1000</f>
        <v>6.7252608859868362E-4</v>
      </c>
      <c r="G92" s="12">
        <f t="shared" si="7"/>
        <v>102.2329817621828</v>
      </c>
    </row>
    <row r="93" spans="1:7">
      <c r="A93" s="12">
        <v>44</v>
      </c>
      <c r="B93" s="77">
        <v>172.14</v>
      </c>
      <c r="C93" s="12">
        <f t="shared" si="4"/>
        <v>0.17213999999999999</v>
      </c>
      <c r="D93" s="12">
        <f t="shared" si="5"/>
        <v>1.2101441999999999E-2</v>
      </c>
      <c r="E93" s="12">
        <f t="shared" si="6"/>
        <v>5.4024294642857139E-4</v>
      </c>
      <c r="F93" s="12">
        <f>E93/Calculation!K$19*1000</f>
        <v>6.0453598376698379E-4</v>
      </c>
      <c r="G93" s="12">
        <f t="shared" si="7"/>
        <v>102.25213769326828</v>
      </c>
    </row>
    <row r="94" spans="1:7">
      <c r="A94" s="12">
        <v>44.5</v>
      </c>
      <c r="B94" s="77">
        <v>202.98</v>
      </c>
      <c r="C94" s="12">
        <f t="shared" si="4"/>
        <v>0.20297999999999999</v>
      </c>
      <c r="D94" s="12">
        <f t="shared" si="5"/>
        <v>1.4269493999999999E-2</v>
      </c>
      <c r="E94" s="12">
        <f t="shared" si="6"/>
        <v>6.3703098214285719E-4</v>
      </c>
      <c r="F94" s="12">
        <f>E94/Calculation!K$19*1000</f>
        <v>7.1284253505880313E-4</v>
      </c>
      <c r="G94" s="12">
        <f t="shared" si="7"/>
        <v>102.27189837105067</v>
      </c>
    </row>
    <row r="95" spans="1:7">
      <c r="A95" s="12">
        <v>45</v>
      </c>
      <c r="B95" s="77">
        <v>154.91999999999999</v>
      </c>
      <c r="C95" s="12">
        <f t="shared" si="4"/>
        <v>0.15491999999999997</v>
      </c>
      <c r="D95" s="12">
        <f t="shared" si="5"/>
        <v>1.0890875999999999E-2</v>
      </c>
      <c r="E95" s="12">
        <f t="shared" si="6"/>
        <v>4.8619982142857141E-4</v>
      </c>
      <c r="F95" s="12">
        <f>E95/Calculation!K$19*1000</f>
        <v>5.4406131407680447E-4</v>
      </c>
      <c r="G95" s="12">
        <f t="shared" si="7"/>
        <v>102.2907519287877</v>
      </c>
    </row>
    <row r="96" spans="1:7">
      <c r="A96" s="12">
        <v>45.5</v>
      </c>
      <c r="B96" s="77">
        <v>154.19999999999999</v>
      </c>
      <c r="C96" s="12">
        <f t="shared" si="4"/>
        <v>0.15419999999999998</v>
      </c>
      <c r="D96" s="12">
        <f t="shared" si="5"/>
        <v>1.0840259999999997E-2</v>
      </c>
      <c r="E96" s="12">
        <f t="shared" si="6"/>
        <v>4.8394017857142851E-4</v>
      </c>
      <c r="F96" s="12">
        <f>E96/Calculation!K$19*1000</f>
        <v>5.4153275645909659E-4</v>
      </c>
      <c r="G96" s="12">
        <f t="shared" si="7"/>
        <v>102.30703583984574</v>
      </c>
    </row>
    <row r="97" spans="1:7">
      <c r="A97" s="12">
        <v>46</v>
      </c>
      <c r="B97" s="77">
        <v>157.07</v>
      </c>
      <c r="C97" s="12">
        <f t="shared" si="4"/>
        <v>0.15706999999999999</v>
      </c>
      <c r="D97" s="12">
        <f t="shared" si="5"/>
        <v>1.1042020999999999E-2</v>
      </c>
      <c r="E97" s="12">
        <f t="shared" si="6"/>
        <v>4.9294736607142858E-4</v>
      </c>
      <c r="F97" s="12">
        <f>E97/Calculation!K$19*1000</f>
        <v>5.516118680741265E-4</v>
      </c>
      <c r="G97" s="12">
        <f t="shared" si="7"/>
        <v>102.32343300921374</v>
      </c>
    </row>
    <row r="98" spans="1:7">
      <c r="A98" s="12">
        <v>46.5</v>
      </c>
      <c r="B98" s="77">
        <v>157.07</v>
      </c>
      <c r="C98" s="12">
        <f t="shared" si="4"/>
        <v>0.15706999999999999</v>
      </c>
      <c r="D98" s="12">
        <f t="shared" si="5"/>
        <v>1.1042020999999999E-2</v>
      </c>
      <c r="E98" s="12">
        <f t="shared" si="6"/>
        <v>4.9294736607142858E-4</v>
      </c>
      <c r="F98" s="12">
        <f>E98/Calculation!K$19*1000</f>
        <v>5.516118680741265E-4</v>
      </c>
      <c r="G98" s="12">
        <f t="shared" si="7"/>
        <v>102.33998136525597</v>
      </c>
    </row>
    <row r="99" spans="1:7">
      <c r="A99" s="12">
        <v>47</v>
      </c>
      <c r="B99" s="77">
        <v>118.34</v>
      </c>
      <c r="C99" s="12">
        <f t="shared" si="4"/>
        <v>0.11834</v>
      </c>
      <c r="D99" s="12">
        <f t="shared" si="5"/>
        <v>8.3193019999999989E-3</v>
      </c>
      <c r="E99" s="12">
        <f t="shared" si="6"/>
        <v>3.713974107142857E-4</v>
      </c>
      <c r="F99" s="12">
        <f>E99/Calculation!K$19*1000</f>
        <v>4.1559653955492543E-4</v>
      </c>
      <c r="G99" s="12">
        <f t="shared" si="7"/>
        <v>102.3544894913704</v>
      </c>
    </row>
    <row r="100" spans="1:7">
      <c r="A100" s="12">
        <v>47.5</v>
      </c>
      <c r="B100" s="77">
        <v>147.03</v>
      </c>
      <c r="C100" s="12">
        <f t="shared" si="4"/>
        <v>0.14702999999999999</v>
      </c>
      <c r="D100" s="12">
        <f t="shared" si="5"/>
        <v>1.0336209000000001E-2</v>
      </c>
      <c r="E100" s="12">
        <f t="shared" si="6"/>
        <v>4.6143790178571433E-4</v>
      </c>
      <c r="F100" s="12">
        <f>E100/Calculation!K$19*1000</f>
        <v>5.1635253684942275E-4</v>
      </c>
      <c r="G100" s="12">
        <f t="shared" si="7"/>
        <v>102.36846872751647</v>
      </c>
    </row>
    <row r="101" spans="1:7">
      <c r="A101" s="12">
        <v>48</v>
      </c>
      <c r="B101" s="77">
        <v>97.54</v>
      </c>
      <c r="C101" s="12">
        <f t="shared" si="4"/>
        <v>9.7540000000000002E-2</v>
      </c>
      <c r="D101" s="12">
        <f t="shared" si="5"/>
        <v>6.8570619999999997E-3</v>
      </c>
      <c r="E101" s="12">
        <f t="shared" si="6"/>
        <v>3.061188392857143E-4</v>
      </c>
      <c r="F101" s="12">
        <f>E101/Calculation!K$20*1000</f>
        <v>3.6170755883276577E-4</v>
      </c>
      <c r="G101" s="12">
        <f t="shared" si="7"/>
        <v>102.3816396289517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71" zoomScale="98" zoomScaleNormal="98" zoomScalePageLayoutView="98" workbookViewId="0">
      <selection activeCell="I88" sqref="I88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70.3</v>
      </c>
      <c r="C1" s="9" t="s">
        <v>51</v>
      </c>
    </row>
    <row r="3" spans="1:12">
      <c r="A3" s="129" t="s">
        <v>5</v>
      </c>
      <c r="B3" s="129" t="s">
        <v>36</v>
      </c>
      <c r="C3" s="129"/>
      <c r="D3" s="129" t="s">
        <v>52</v>
      </c>
      <c r="E3" s="129"/>
      <c r="F3" s="129"/>
      <c r="G3" s="8" t="s">
        <v>53</v>
      </c>
    </row>
    <row r="4" spans="1:12">
      <c r="A4" s="129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77">
        <v>1272.08</v>
      </c>
      <c r="C5" s="36">
        <f>B5/1000</f>
        <v>1.2720799999999999</v>
      </c>
      <c r="D5" s="12">
        <f>C5/1000*$B$1</f>
        <v>8.9427223999999986E-2</v>
      </c>
      <c r="E5" s="12">
        <f>D5/22.4</f>
        <v>3.9922867857142856E-3</v>
      </c>
      <c r="F5" s="12">
        <f>E5/Calculation!K$4*1000</f>
        <v>2.5713306560344717E-3</v>
      </c>
      <c r="G5" s="12">
        <f>(0+F5)/2*30</f>
        <v>3.8569959840517073E-2</v>
      </c>
    </row>
    <row r="6" spans="1:12">
      <c r="A6" s="35">
        <v>0.5</v>
      </c>
      <c r="B6" s="77">
        <v>2470.98</v>
      </c>
      <c r="C6" s="36">
        <f t="shared" ref="C6:C69" si="0">B6/1000</f>
        <v>2.47098</v>
      </c>
      <c r="D6" s="12">
        <f>C6/1000*$B$1</f>
        <v>0.17370989399999998</v>
      </c>
      <c r="E6" s="12">
        <f t="shared" ref="E6:E69" si="1">D6/22.4</f>
        <v>7.7549059821428569E-3</v>
      </c>
      <c r="F6" s="12">
        <f>E6/Calculation!K$4*1000</f>
        <v>4.9947382432300319E-3</v>
      </c>
      <c r="G6" s="12">
        <f>G5+(F6+F5)/2*30</f>
        <v>0.15206099332948464</v>
      </c>
    </row>
    <row r="7" spans="1:12">
      <c r="A7" s="35">
        <v>1</v>
      </c>
      <c r="B7" s="77">
        <v>3029.02</v>
      </c>
      <c r="C7" s="36">
        <f t="shared" si="0"/>
        <v>3.02902</v>
      </c>
      <c r="D7" s="12">
        <f t="shared" ref="D7:D69" si="2">C7/1000*$B$1</f>
        <v>0.21294010599999999</v>
      </c>
      <c r="E7" s="12">
        <f t="shared" si="1"/>
        <v>9.5062547321428572E-3</v>
      </c>
      <c r="F7" s="12">
        <f>E7/Calculation!K$4*1000</f>
        <v>6.1227375508942326E-3</v>
      </c>
      <c r="G7" s="12">
        <f>G6+(F7+F6)/2*30</f>
        <v>0.31882313024134862</v>
      </c>
    </row>
    <row r="8" spans="1:12">
      <c r="A8" s="35">
        <v>1.5</v>
      </c>
      <c r="B8" s="77">
        <v>3546.25</v>
      </c>
      <c r="C8" s="36">
        <f t="shared" si="0"/>
        <v>3.5462500000000001</v>
      </c>
      <c r="D8" s="12">
        <f t="shared" si="2"/>
        <v>0.24930137499999999</v>
      </c>
      <c r="E8" s="12">
        <f t="shared" si="1"/>
        <v>1.1129525669642858E-2</v>
      </c>
      <c r="F8" s="12">
        <f>E8/Calculation!K$4*1000</f>
        <v>7.1682451881660333E-3</v>
      </c>
      <c r="G8" s="12">
        <f t="shared" ref="G8:G70" si="3">G7+(F8+F7)/2*30</f>
        <v>0.51818787132725264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77">
        <v>3898.37</v>
      </c>
      <c r="C9" s="36">
        <f t="shared" si="0"/>
        <v>3.8983699999999999</v>
      </c>
      <c r="D9" s="12">
        <f t="shared" si="2"/>
        <v>0.27405541099999997</v>
      </c>
      <c r="E9" s="12">
        <f t="shared" si="1"/>
        <v>1.22346165625E-2</v>
      </c>
      <c r="F9" s="12">
        <f>E9/Calculation!K$5*1000</f>
        <v>8.1186370679945455E-3</v>
      </c>
      <c r="G9" s="12">
        <f t="shared" si="3"/>
        <v>0.74749110516966133</v>
      </c>
    </row>
    <row r="10" spans="1:12">
      <c r="A10" s="35">
        <v>2.5</v>
      </c>
      <c r="B10" s="77">
        <v>4481.6400000000003</v>
      </c>
      <c r="C10" s="36">
        <f t="shared" si="0"/>
        <v>4.4816400000000005</v>
      </c>
      <c r="D10" s="12">
        <f t="shared" si="2"/>
        <v>0.31505929199999999</v>
      </c>
      <c r="E10" s="12">
        <f t="shared" si="1"/>
        <v>1.4065146964285714E-2</v>
      </c>
      <c r="F10" s="12">
        <f>E10/Calculation!K$5*1000</f>
        <v>9.3333389671598835E-3</v>
      </c>
      <c r="G10" s="12">
        <f t="shared" si="3"/>
        <v>1.0092707456969778</v>
      </c>
    </row>
    <row r="11" spans="1:12">
      <c r="A11" s="35">
        <v>3</v>
      </c>
      <c r="B11" s="77">
        <v>5454.37</v>
      </c>
      <c r="C11" s="36">
        <f t="shared" si="0"/>
        <v>5.4543699999999999</v>
      </c>
      <c r="D11" s="12">
        <f t="shared" si="2"/>
        <v>0.38344221099999998</v>
      </c>
      <c r="E11" s="12">
        <f t="shared" si="1"/>
        <v>1.7117955848214284E-2</v>
      </c>
      <c r="F11" s="12">
        <f>E11/Calculation!K$5*1000</f>
        <v>1.1359119443397472E-2</v>
      </c>
      <c r="G11" s="12">
        <f t="shared" si="3"/>
        <v>1.3196576218553382</v>
      </c>
    </row>
    <row r="12" spans="1:12">
      <c r="A12" s="35">
        <v>3.5</v>
      </c>
      <c r="B12" s="77">
        <v>7119.55</v>
      </c>
      <c r="C12" s="36">
        <f t="shared" si="0"/>
        <v>7.1195500000000003</v>
      </c>
      <c r="D12" s="12">
        <f t="shared" si="2"/>
        <v>0.50050436500000006</v>
      </c>
      <c r="E12" s="12">
        <f t="shared" si="1"/>
        <v>2.2343944866071434E-2</v>
      </c>
      <c r="F12" s="12">
        <f>E12/Calculation!K$6*1000</f>
        <v>1.5278712983052689E-2</v>
      </c>
      <c r="G12" s="12">
        <f t="shared" si="3"/>
        <v>1.7192251082520906</v>
      </c>
    </row>
    <row r="13" spans="1:12">
      <c r="A13" s="35">
        <v>4</v>
      </c>
      <c r="B13" s="77">
        <v>9721.7800000000007</v>
      </c>
      <c r="C13" s="36">
        <f t="shared" si="0"/>
        <v>9.7217800000000008</v>
      </c>
      <c r="D13" s="12">
        <f t="shared" si="2"/>
        <v>0.68344113400000006</v>
      </c>
      <c r="E13" s="12">
        <f t="shared" si="1"/>
        <v>3.0510764910714291E-2</v>
      </c>
      <c r="F13" s="12">
        <f>E13/Calculation!K$6*1000</f>
        <v>2.0863156562476837E-2</v>
      </c>
      <c r="G13" s="12">
        <f t="shared" si="3"/>
        <v>2.2613531514350336</v>
      </c>
    </row>
    <row r="14" spans="1:12">
      <c r="A14" s="35">
        <v>4.5</v>
      </c>
      <c r="B14" s="77">
        <v>12179.65</v>
      </c>
      <c r="C14" s="36">
        <f t="shared" si="0"/>
        <v>12.179649999999999</v>
      </c>
      <c r="D14" s="12">
        <f t="shared" si="2"/>
        <v>0.85622939499999984</v>
      </c>
      <c r="E14" s="12">
        <f t="shared" si="1"/>
        <v>3.8224526562499993E-2</v>
      </c>
      <c r="F14" s="12">
        <f>E14/Calculation!K$6*1000</f>
        <v>2.613780036435415E-2</v>
      </c>
      <c r="G14" s="12">
        <f t="shared" si="3"/>
        <v>2.966367505337498</v>
      </c>
    </row>
    <row r="15" spans="1:12">
      <c r="A15" s="35">
        <v>5</v>
      </c>
      <c r="B15" s="77">
        <v>14586.24</v>
      </c>
      <c r="C15" s="36">
        <f t="shared" si="0"/>
        <v>14.58624</v>
      </c>
      <c r="D15" s="12">
        <f t="shared" si="2"/>
        <v>1.0254126720000001</v>
      </c>
      <c r="E15" s="12">
        <f t="shared" si="1"/>
        <v>4.5777351428571436E-2</v>
      </c>
      <c r="F15" s="12">
        <f>E15/Calculation!K$7*1000</f>
        <v>3.2171303739212079E-2</v>
      </c>
      <c r="G15" s="12">
        <f t="shared" si="3"/>
        <v>3.8410040668909913</v>
      </c>
    </row>
    <row r="16" spans="1:12">
      <c r="A16" s="35">
        <v>5.5</v>
      </c>
      <c r="B16" s="77">
        <v>17530.64</v>
      </c>
      <c r="C16" s="36">
        <f t="shared" si="0"/>
        <v>17.530639999999998</v>
      </c>
      <c r="D16" s="12">
        <f t="shared" si="2"/>
        <v>1.2324039919999996</v>
      </c>
      <c r="E16" s="12">
        <f t="shared" si="1"/>
        <v>5.5018035357142843E-2</v>
      </c>
      <c r="F16" s="12">
        <f>E16/Calculation!K$7*1000</f>
        <v>3.8665450738694866E-2</v>
      </c>
      <c r="G16" s="12">
        <f t="shared" si="3"/>
        <v>4.9035553840595956</v>
      </c>
    </row>
    <row r="17" spans="1:7">
      <c r="A17" s="35">
        <v>6</v>
      </c>
      <c r="B17" s="77">
        <v>20728.419999999998</v>
      </c>
      <c r="C17" s="36">
        <f t="shared" si="0"/>
        <v>20.72842</v>
      </c>
      <c r="D17" s="12">
        <f t="shared" si="2"/>
        <v>1.4572079259999999</v>
      </c>
      <c r="E17" s="12">
        <f t="shared" si="1"/>
        <v>6.5053925267857138E-2</v>
      </c>
      <c r="F17" s="12">
        <f>E17/Calculation!K$8*1000</f>
        <v>4.6917304581187202E-2</v>
      </c>
      <c r="G17" s="12">
        <f t="shared" si="3"/>
        <v>6.187296713857827</v>
      </c>
    </row>
    <row r="18" spans="1:7">
      <c r="A18" s="35">
        <v>6.5</v>
      </c>
      <c r="B18" s="77">
        <v>23716.46</v>
      </c>
      <c r="C18" s="36">
        <f t="shared" si="0"/>
        <v>23.716459999999998</v>
      </c>
      <c r="D18" s="12">
        <f t="shared" si="2"/>
        <v>1.6672671379999997</v>
      </c>
      <c r="E18" s="12">
        <f t="shared" si="1"/>
        <v>7.4431568660714278E-2</v>
      </c>
      <c r="F18" s="12">
        <f>E18/Calculation!K$8*1000</f>
        <v>5.368052062856421E-2</v>
      </c>
      <c r="G18" s="12">
        <f t="shared" si="3"/>
        <v>7.6962640920040979</v>
      </c>
    </row>
    <row r="19" spans="1:7">
      <c r="A19" s="35">
        <v>7</v>
      </c>
      <c r="B19" s="77">
        <v>26302.76</v>
      </c>
      <c r="C19" s="36">
        <f t="shared" si="0"/>
        <v>26.302759999999999</v>
      </c>
      <c r="D19" s="12">
        <f t="shared" si="2"/>
        <v>1.8490840279999998</v>
      </c>
      <c r="E19" s="12">
        <f t="shared" si="1"/>
        <v>8.2548394107142861E-2</v>
      </c>
      <c r="F19" s="12">
        <f>E19/Calculation!K$8*1000</f>
        <v>5.9534426755433731E-2</v>
      </c>
      <c r="G19" s="12">
        <f t="shared" si="3"/>
        <v>9.3944883027640671</v>
      </c>
    </row>
    <row r="20" spans="1:7">
      <c r="A20" s="35">
        <v>7.5</v>
      </c>
      <c r="B20" s="77">
        <v>28096.21</v>
      </c>
      <c r="C20" s="36">
        <f t="shared" si="0"/>
        <v>28.096209999999999</v>
      </c>
      <c r="D20" s="12">
        <f t="shared" si="2"/>
        <v>1.975163563</v>
      </c>
      <c r="E20" s="12">
        <f t="shared" si="1"/>
        <v>8.8176944776785712E-2</v>
      </c>
      <c r="F20" s="12">
        <f>E20/Calculation!K$9*1000</f>
        <v>6.5772277185856973E-2</v>
      </c>
      <c r="G20" s="12">
        <f t="shared" si="3"/>
        <v>11.274088861883428</v>
      </c>
    </row>
    <row r="21" spans="1:7">
      <c r="A21" s="35">
        <v>8</v>
      </c>
      <c r="B21" s="77">
        <v>30682.02</v>
      </c>
      <c r="C21" s="36">
        <f t="shared" si="0"/>
        <v>30.682020000000001</v>
      </c>
      <c r="D21" s="12">
        <f t="shared" si="2"/>
        <v>2.1569460060000001</v>
      </c>
      <c r="E21" s="12">
        <f t="shared" si="1"/>
        <v>9.6292232410714301E-2</v>
      </c>
      <c r="F21" s="12">
        <f>E21/Calculation!K$9*1000</f>
        <v>7.1825570924406085E-2</v>
      </c>
      <c r="G21" s="12">
        <f t="shared" si="3"/>
        <v>13.338056583537373</v>
      </c>
    </row>
    <row r="22" spans="1:7">
      <c r="A22" s="35">
        <v>8.5</v>
      </c>
      <c r="B22" s="77">
        <v>32015.16</v>
      </c>
      <c r="C22" s="36">
        <f t="shared" si="0"/>
        <v>32.015160000000002</v>
      </c>
      <c r="D22" s="12">
        <f t="shared" si="2"/>
        <v>2.2506657479999999</v>
      </c>
      <c r="E22" s="12">
        <f t="shared" si="1"/>
        <v>0.10047614946428571</v>
      </c>
      <c r="F22" s="12">
        <f>E22/Calculation!K$9*1000</f>
        <v>7.4946406567631726E-2</v>
      </c>
      <c r="G22" s="12">
        <f t="shared" si="3"/>
        <v>15.53963624591794</v>
      </c>
    </row>
    <row r="23" spans="1:7">
      <c r="A23" s="35">
        <v>9</v>
      </c>
      <c r="B23" s="77">
        <v>32541.35</v>
      </c>
      <c r="C23" s="36">
        <f t="shared" si="0"/>
        <v>32.541350000000001</v>
      </c>
      <c r="D23" s="12">
        <f t="shared" si="2"/>
        <v>2.287656905</v>
      </c>
      <c r="E23" s="12">
        <f t="shared" si="1"/>
        <v>0.10212754040178572</v>
      </c>
      <c r="F23" s="12">
        <f>E23/Calculation!K$10*1000</f>
        <v>7.8338476858844014E-2</v>
      </c>
      <c r="G23" s="12">
        <f t="shared" si="3"/>
        <v>17.838909497315075</v>
      </c>
    </row>
    <row r="24" spans="1:7">
      <c r="A24" s="35">
        <v>9.5</v>
      </c>
      <c r="B24" s="77">
        <v>33058.080000000002</v>
      </c>
      <c r="C24" s="36">
        <f t="shared" si="0"/>
        <v>33.058080000000004</v>
      </c>
      <c r="D24" s="12">
        <f t="shared" si="2"/>
        <v>2.3239830240000003</v>
      </c>
      <c r="E24" s="12">
        <f t="shared" si="1"/>
        <v>0.10374924214285716</v>
      </c>
      <c r="F24" s="12">
        <f>E24/Calculation!K$10*1000</f>
        <v>7.9582427744325751E-2</v>
      </c>
      <c r="G24" s="12">
        <f t="shared" si="3"/>
        <v>20.207723066362622</v>
      </c>
    </row>
    <row r="25" spans="1:7">
      <c r="A25" s="35">
        <v>10</v>
      </c>
      <c r="B25" s="77">
        <v>34379.440000000002</v>
      </c>
      <c r="C25" s="36">
        <f t="shared" si="0"/>
        <v>34.379440000000002</v>
      </c>
      <c r="D25" s="12">
        <f t="shared" si="2"/>
        <v>2.4168746320000003</v>
      </c>
      <c r="E25" s="12">
        <f t="shared" si="1"/>
        <v>0.10789618892857145</v>
      </c>
      <c r="F25" s="12">
        <f>E25/Calculation!K$11*1000</f>
        <v>8.562829322684766E-2</v>
      </c>
      <c r="G25" s="12">
        <f t="shared" si="3"/>
        <v>22.685883880930223</v>
      </c>
    </row>
    <row r="26" spans="1:7">
      <c r="A26" s="35">
        <v>10.5</v>
      </c>
      <c r="B26" s="77">
        <v>33753.19</v>
      </c>
      <c r="C26" s="36">
        <f t="shared" si="0"/>
        <v>33.753190000000004</v>
      </c>
      <c r="D26" s="12">
        <f t="shared" si="2"/>
        <v>2.3728492569999999</v>
      </c>
      <c r="E26" s="12">
        <f t="shared" si="1"/>
        <v>0.10593077040178572</v>
      </c>
      <c r="F26" s="12">
        <f>E26/Calculation!K$11*1000</f>
        <v>8.4068502880253484E-2</v>
      </c>
      <c r="G26" s="12">
        <f t="shared" si="3"/>
        <v>25.231335822536742</v>
      </c>
    </row>
    <row r="27" spans="1:7">
      <c r="A27" s="35">
        <v>11</v>
      </c>
      <c r="B27" s="77">
        <v>33664.42</v>
      </c>
      <c r="C27" s="36">
        <f t="shared" si="0"/>
        <v>33.66442</v>
      </c>
      <c r="D27" s="12">
        <f t="shared" si="2"/>
        <v>2.3666087259999999</v>
      </c>
      <c r="E27" s="12">
        <f t="shared" si="1"/>
        <v>0.10565217526785714</v>
      </c>
      <c r="F27" s="12">
        <f>E27/Calculation!K$11*1000</f>
        <v>8.384740493363925E-2</v>
      </c>
      <c r="G27" s="12">
        <f t="shared" si="3"/>
        <v>27.750074439745134</v>
      </c>
    </row>
    <row r="28" spans="1:7">
      <c r="A28" s="35">
        <v>11.5</v>
      </c>
      <c r="B28" s="77">
        <v>34235.9</v>
      </c>
      <c r="C28" s="36">
        <f t="shared" si="0"/>
        <v>34.235900000000001</v>
      </c>
      <c r="D28" s="12">
        <f t="shared" si="2"/>
        <v>2.4067837700000001</v>
      </c>
      <c r="E28" s="12">
        <f t="shared" si="1"/>
        <v>0.10744570401785715</v>
      </c>
      <c r="F28" s="12">
        <f>E28/Calculation!K$12*1000</f>
        <v>8.8178507417026417E-2</v>
      </c>
      <c r="G28" s="12">
        <f t="shared" si="3"/>
        <v>30.330463125005117</v>
      </c>
    </row>
    <row r="29" spans="1:7">
      <c r="A29" s="35">
        <v>12</v>
      </c>
      <c r="B29" s="77">
        <v>34052.54</v>
      </c>
      <c r="C29" s="36">
        <f t="shared" si="0"/>
        <v>34.05254</v>
      </c>
      <c r="D29" s="12">
        <f t="shared" si="2"/>
        <v>2.3938935619999997</v>
      </c>
      <c r="E29" s="12">
        <f t="shared" si="1"/>
        <v>0.10687024830357142</v>
      </c>
      <c r="F29" s="12">
        <f>E29/Calculation!K$12*1000</f>
        <v>8.7706242597933401E-2</v>
      </c>
      <c r="G29" s="12">
        <f t="shared" si="3"/>
        <v>32.968734375229516</v>
      </c>
    </row>
    <row r="30" spans="1:7">
      <c r="A30" s="35">
        <v>12.5</v>
      </c>
      <c r="B30" s="77">
        <v>33732.78</v>
      </c>
      <c r="C30" s="36">
        <f t="shared" si="0"/>
        <v>33.732779999999998</v>
      </c>
      <c r="D30" s="12">
        <f t="shared" si="2"/>
        <v>2.3714144339999996</v>
      </c>
      <c r="E30" s="12">
        <f t="shared" si="1"/>
        <v>0.10586671580357142</v>
      </c>
      <c r="F30" s="12">
        <f>E30/Calculation!K$12*1000</f>
        <v>8.6882663853642517E-2</v>
      </c>
      <c r="G30" s="12">
        <f t="shared" si="3"/>
        <v>35.587567972003157</v>
      </c>
    </row>
    <row r="31" spans="1:7">
      <c r="A31" s="35">
        <v>13</v>
      </c>
      <c r="B31" s="77">
        <v>33841.97</v>
      </c>
      <c r="C31" s="36">
        <f t="shared" si="0"/>
        <v>33.841970000000003</v>
      </c>
      <c r="D31" s="12">
        <f t="shared" si="2"/>
        <v>2.3790904910000004</v>
      </c>
      <c r="E31" s="12">
        <f t="shared" si="1"/>
        <v>0.10620939691964287</v>
      </c>
      <c r="F31" s="12">
        <f>E31/Calculation!K$13*1000</f>
        <v>9.0753841550745382E-2</v>
      </c>
      <c r="G31" s="12">
        <f t="shared" si="3"/>
        <v>38.252115553068975</v>
      </c>
    </row>
    <row r="32" spans="1:7">
      <c r="A32" s="35">
        <v>13.5</v>
      </c>
      <c r="B32" s="77">
        <v>34430.379999999997</v>
      </c>
      <c r="C32" s="36">
        <f t="shared" si="0"/>
        <v>34.43038</v>
      </c>
      <c r="D32" s="12">
        <f t="shared" si="2"/>
        <v>2.4204557139999996</v>
      </c>
      <c r="E32" s="12">
        <f t="shared" si="1"/>
        <v>0.10805605866071427</v>
      </c>
      <c r="F32" s="12">
        <f>E32/Calculation!K$13*1000</f>
        <v>9.2331777702419571E-2</v>
      </c>
      <c r="G32" s="12">
        <f t="shared" si="3"/>
        <v>40.998399841866451</v>
      </c>
    </row>
    <row r="33" spans="1:7">
      <c r="A33" s="35">
        <v>14</v>
      </c>
      <c r="B33" s="77">
        <v>33476.410000000003</v>
      </c>
      <c r="C33" s="36">
        <f t="shared" si="0"/>
        <v>33.476410000000001</v>
      </c>
      <c r="D33" s="12">
        <f t="shared" si="2"/>
        <v>2.3533916229999998</v>
      </c>
      <c r="E33" s="12">
        <f t="shared" si="1"/>
        <v>0.10506212602678572</v>
      </c>
      <c r="F33" s="12">
        <f>E33/Calculation!K$14*1000</f>
        <v>9.3220456666793933E-2</v>
      </c>
      <c r="G33" s="12">
        <f t="shared" si="3"/>
        <v>43.781683357404653</v>
      </c>
    </row>
    <row r="34" spans="1:7">
      <c r="A34" s="35">
        <v>14.5</v>
      </c>
      <c r="B34" s="77">
        <v>33222.19</v>
      </c>
      <c r="C34" s="36">
        <f t="shared" si="0"/>
        <v>33.222190000000005</v>
      </c>
      <c r="D34" s="12">
        <f t="shared" si="2"/>
        <v>2.3355199570000003</v>
      </c>
      <c r="E34" s="12">
        <f t="shared" si="1"/>
        <v>0.10426428379464288</v>
      </c>
      <c r="F34" s="12">
        <f>E34/Calculation!K$14*1000</f>
        <v>9.2512540122163492E-2</v>
      </c>
      <c r="G34" s="12">
        <f t="shared" si="3"/>
        <v>46.567678309239014</v>
      </c>
    </row>
    <row r="35" spans="1:7">
      <c r="A35" s="35">
        <v>15</v>
      </c>
      <c r="B35" s="77">
        <v>32394.16</v>
      </c>
      <c r="C35" s="36">
        <f t="shared" si="0"/>
        <v>32.394159999999999</v>
      </c>
      <c r="D35" s="12">
        <f t="shared" si="2"/>
        <v>2.2773094479999996</v>
      </c>
      <c r="E35" s="12">
        <f t="shared" si="1"/>
        <v>0.10166560035714284</v>
      </c>
      <c r="F35" s="12">
        <f>E35/Calculation!K$14*1000</f>
        <v>9.0206757192219489E-2</v>
      </c>
      <c r="G35" s="12">
        <f t="shared" si="3"/>
        <v>49.308467768954756</v>
      </c>
    </row>
    <row r="36" spans="1:7">
      <c r="A36" s="35">
        <v>15.5</v>
      </c>
      <c r="B36" s="77">
        <v>32140.94</v>
      </c>
      <c r="C36" s="36">
        <f t="shared" si="0"/>
        <v>32.140940000000001</v>
      </c>
      <c r="D36" s="12">
        <f t="shared" si="2"/>
        <v>2.259508082</v>
      </c>
      <c r="E36" s="12">
        <f t="shared" si="1"/>
        <v>0.10087089651785715</v>
      </c>
      <c r="F36" s="12">
        <f>E36/Calculation!K$15*1000</f>
        <v>9.3065849325405903E-2</v>
      </c>
      <c r="G36" s="12">
        <f t="shared" si="3"/>
        <v>52.057556866719139</v>
      </c>
    </row>
    <row r="37" spans="1:7">
      <c r="A37" s="35">
        <v>16</v>
      </c>
      <c r="B37" s="77">
        <v>31056.54</v>
      </c>
      <c r="C37" s="36">
        <f t="shared" si="0"/>
        <v>31.056540000000002</v>
      </c>
      <c r="D37" s="12">
        <f t="shared" si="2"/>
        <v>2.1832747619999999</v>
      </c>
      <c r="E37" s="12">
        <f t="shared" si="1"/>
        <v>9.7467623303571435E-2</v>
      </c>
      <c r="F37" s="12">
        <f>E37/Calculation!K$15*1000</f>
        <v>8.9925909827417674E-2</v>
      </c>
      <c r="G37" s="12">
        <f t="shared" si="3"/>
        <v>54.80243325401149</v>
      </c>
    </row>
    <row r="38" spans="1:7">
      <c r="A38" s="35">
        <v>16.5</v>
      </c>
      <c r="B38" s="77">
        <v>30510.27</v>
      </c>
      <c r="C38" s="36">
        <f t="shared" si="0"/>
        <v>30.510270000000002</v>
      </c>
      <c r="D38" s="12">
        <f t="shared" si="2"/>
        <v>2.1448719810000001</v>
      </c>
      <c r="E38" s="12">
        <f t="shared" si="1"/>
        <v>9.5753213437500012E-2</v>
      </c>
      <c r="F38" s="12">
        <f>E38/Calculation!K$15*1000</f>
        <v>8.8344155170864705E-2</v>
      </c>
      <c r="G38" s="12">
        <f t="shared" si="3"/>
        <v>57.476484228985726</v>
      </c>
    </row>
    <row r="39" spans="1:7">
      <c r="A39" s="35">
        <v>17</v>
      </c>
      <c r="B39" s="77">
        <v>30445.23</v>
      </c>
      <c r="C39" s="36">
        <f t="shared" si="0"/>
        <v>30.445229999999999</v>
      </c>
      <c r="D39" s="12">
        <f t="shared" si="2"/>
        <v>2.140299669</v>
      </c>
      <c r="E39" s="12">
        <f t="shared" si="1"/>
        <v>9.5549092366071439E-2</v>
      </c>
      <c r="F39" s="12">
        <f>E39/Calculation!K$16*1000</f>
        <v>9.1974560026861857E-2</v>
      </c>
      <c r="G39" s="12">
        <f>G38+(F39+F38)/2*30</f>
        <v>60.181264956951622</v>
      </c>
    </row>
    <row r="40" spans="1:7">
      <c r="A40" s="35">
        <v>17.5</v>
      </c>
      <c r="B40" s="77">
        <v>29813.5</v>
      </c>
      <c r="C40" s="36">
        <f t="shared" si="0"/>
        <v>29.813500000000001</v>
      </c>
      <c r="D40" s="12">
        <f t="shared" si="2"/>
        <v>2.0958890499999998</v>
      </c>
      <c r="E40" s="12">
        <f t="shared" si="1"/>
        <v>9.3566475446428571E-2</v>
      </c>
      <c r="F40" s="12">
        <f>E40/Calculation!K$16*1000</f>
        <v>9.0066113652642651E-2</v>
      </c>
      <c r="G40" s="12">
        <f t="shared" si="3"/>
        <v>62.91187506214419</v>
      </c>
    </row>
    <row r="41" spans="1:7">
      <c r="A41" s="35">
        <v>18</v>
      </c>
      <c r="B41" s="77">
        <v>29019.49</v>
      </c>
      <c r="C41" s="36">
        <f t="shared" si="0"/>
        <v>29.019490000000001</v>
      </c>
      <c r="D41" s="12">
        <f t="shared" si="2"/>
        <v>2.0400701470000002</v>
      </c>
      <c r="E41" s="12">
        <f t="shared" si="1"/>
        <v>9.1074560133928589E-2</v>
      </c>
      <c r="F41" s="12">
        <f>E41/Calculation!K$17*1000</f>
        <v>9.1537576859885839E-2</v>
      </c>
      <c r="G41" s="12">
        <f t="shared" si="3"/>
        <v>65.635930419832121</v>
      </c>
    </row>
    <row r="42" spans="1:7">
      <c r="A42" s="35">
        <v>18.5</v>
      </c>
      <c r="B42" s="77">
        <v>25797.65</v>
      </c>
      <c r="C42" s="36">
        <f t="shared" si="0"/>
        <v>25.797650000000001</v>
      </c>
      <c r="D42" s="12">
        <f t="shared" si="2"/>
        <v>1.8135747950000001</v>
      </c>
      <c r="E42" s="12">
        <f t="shared" si="1"/>
        <v>8.096316049107144E-2</v>
      </c>
      <c r="F42" s="12">
        <f>E42/Calculation!K$17*1000</f>
        <v>8.1374771564883944E-2</v>
      </c>
      <c r="G42" s="12">
        <f t="shared" si="3"/>
        <v>68.229615646203669</v>
      </c>
    </row>
    <row r="43" spans="1:7">
      <c r="A43" s="35">
        <v>19</v>
      </c>
      <c r="B43" s="77">
        <v>20448.650000000001</v>
      </c>
      <c r="C43" s="36">
        <f t="shared" si="0"/>
        <v>20.448650000000001</v>
      </c>
      <c r="D43" s="12">
        <f t="shared" si="2"/>
        <v>1.4375400950000001</v>
      </c>
      <c r="E43" s="12">
        <f t="shared" si="1"/>
        <v>6.4175897098214293E-2</v>
      </c>
      <c r="F43" s="12">
        <f>E43/Calculation!K$17*1000</f>
        <v>6.4502162893141965E-2</v>
      </c>
      <c r="G43" s="12">
        <f t="shared" si="3"/>
        <v>70.417769663074054</v>
      </c>
    </row>
    <row r="44" spans="1:7">
      <c r="A44" s="35">
        <v>19.5</v>
      </c>
      <c r="B44" s="77">
        <v>17268.79</v>
      </c>
      <c r="C44" s="36">
        <f t="shared" si="0"/>
        <v>17.268789999999999</v>
      </c>
      <c r="D44" s="12">
        <f t="shared" si="2"/>
        <v>1.213995937</v>
      </c>
      <c r="E44" s="12">
        <f t="shared" si="1"/>
        <v>5.4196247187500005E-2</v>
      </c>
      <c r="F44" s="12">
        <f>E44/Calculation!K$17*1000</f>
        <v>5.4471777136752844E-2</v>
      </c>
      <c r="G44" s="12">
        <f t="shared" si="3"/>
        <v>72.202378763522475</v>
      </c>
    </row>
    <row r="45" spans="1:7">
      <c r="A45" s="35">
        <v>20</v>
      </c>
      <c r="B45" s="77">
        <v>14356.25</v>
      </c>
      <c r="C45" s="36">
        <f t="shared" si="0"/>
        <v>14.356249999999999</v>
      </c>
      <c r="D45" s="12">
        <f t="shared" si="2"/>
        <v>1.009244375</v>
      </c>
      <c r="E45" s="12">
        <f t="shared" si="1"/>
        <v>4.5055552455357147E-2</v>
      </c>
      <c r="F45" s="12">
        <f>E45/Calculation!K$17*1000</f>
        <v>4.5284611748681182E-2</v>
      </c>
      <c r="G45" s="12">
        <f t="shared" si="3"/>
        <v>73.698724596803984</v>
      </c>
    </row>
    <row r="46" spans="1:7">
      <c r="A46" s="35">
        <v>20.5</v>
      </c>
      <c r="B46" s="77">
        <v>12238.72</v>
      </c>
      <c r="C46" s="36">
        <f t="shared" si="0"/>
        <v>12.238719999999999</v>
      </c>
      <c r="D46" s="12">
        <f t="shared" si="2"/>
        <v>0.86038201599999986</v>
      </c>
      <c r="E46" s="12">
        <f t="shared" si="1"/>
        <v>3.8409911428571426E-2</v>
      </c>
      <c r="F46" s="12">
        <f>E46/Calculation!K$17*1000</f>
        <v>3.8605184745377052E-2</v>
      </c>
      <c r="G46" s="12">
        <f t="shared" si="3"/>
        <v>74.957071544214855</v>
      </c>
    </row>
    <row r="47" spans="1:7">
      <c r="A47" s="35">
        <v>21</v>
      </c>
      <c r="B47" s="77">
        <v>10188.57</v>
      </c>
      <c r="C47" s="36">
        <f t="shared" si="0"/>
        <v>10.18857</v>
      </c>
      <c r="D47" s="12">
        <f t="shared" si="2"/>
        <v>0.71625647100000001</v>
      </c>
      <c r="E47" s="12">
        <f t="shared" si="1"/>
        <v>3.1975735312500003E-2</v>
      </c>
      <c r="F47" s="12">
        <f>E47/Calculation!K$17*1000</f>
        <v>3.2138297725677709E-2</v>
      </c>
      <c r="G47" s="12">
        <f t="shared" si="3"/>
        <v>76.018223781280682</v>
      </c>
    </row>
    <row r="48" spans="1:7">
      <c r="A48" s="35">
        <v>21.5</v>
      </c>
      <c r="B48" s="77">
        <v>8616.81</v>
      </c>
      <c r="C48" s="36">
        <f t="shared" si="0"/>
        <v>8.6168099999999992</v>
      </c>
      <c r="D48" s="12">
        <f t="shared" si="2"/>
        <v>0.60576174299999996</v>
      </c>
      <c r="E48" s="12">
        <f t="shared" si="1"/>
        <v>2.7042934955357142E-2</v>
      </c>
      <c r="F48" s="12">
        <f>E48/Calculation!K$17*1000</f>
        <v>2.7180419354786482E-2</v>
      </c>
      <c r="G48" s="12">
        <f t="shared" si="3"/>
        <v>76.908004537487642</v>
      </c>
    </row>
    <row r="49" spans="1:7">
      <c r="A49" s="35">
        <v>22</v>
      </c>
      <c r="B49" s="77">
        <v>7037.58</v>
      </c>
      <c r="C49" s="36">
        <f t="shared" si="0"/>
        <v>7.0375800000000002</v>
      </c>
      <c r="D49" s="12">
        <f t="shared" si="2"/>
        <v>0.49474187399999997</v>
      </c>
      <c r="E49" s="12">
        <f t="shared" si="1"/>
        <v>2.2086690803571427E-2</v>
      </c>
      <c r="F49" s="12">
        <f>E49/Calculation!K$17*1000</f>
        <v>2.2198978002631861E-2</v>
      </c>
      <c r="G49" s="12">
        <f t="shared" si="3"/>
        <v>77.648695497848919</v>
      </c>
    </row>
    <row r="50" spans="1:7">
      <c r="A50" s="35">
        <v>22.5</v>
      </c>
      <c r="B50" s="77">
        <v>5822.91</v>
      </c>
      <c r="C50" s="36">
        <f t="shared" si="0"/>
        <v>5.8229100000000003</v>
      </c>
      <c r="D50" s="12">
        <f t="shared" si="2"/>
        <v>0.40935057300000005</v>
      </c>
      <c r="E50" s="12">
        <f t="shared" si="1"/>
        <v>1.8274579151785719E-2</v>
      </c>
      <c r="F50" s="12">
        <f>E50/Calculation!K$17*1000</f>
        <v>1.8367485840488508E-2</v>
      </c>
      <c r="G50" s="12">
        <f t="shared" si="3"/>
        <v>78.257192455495726</v>
      </c>
    </row>
    <row r="51" spans="1:7">
      <c r="A51" s="35">
        <v>23</v>
      </c>
      <c r="B51" s="77">
        <v>4810.03</v>
      </c>
      <c r="C51" s="36">
        <f t="shared" si="0"/>
        <v>4.8100299999999994</v>
      </c>
      <c r="D51" s="12">
        <f t="shared" si="2"/>
        <v>0.33814510899999989</v>
      </c>
      <c r="E51" s="12">
        <f t="shared" si="1"/>
        <v>1.5095763794642853E-2</v>
      </c>
      <c r="F51" s="12">
        <f>E51/Calculation!K$17*1000</f>
        <v>1.5172509607279675E-2</v>
      </c>
      <c r="G51" s="12">
        <f t="shared" si="3"/>
        <v>78.760292387212246</v>
      </c>
    </row>
    <row r="52" spans="1:7">
      <c r="A52" s="35">
        <v>23.5</v>
      </c>
      <c r="B52" s="77">
        <v>3990.13</v>
      </c>
      <c r="C52" s="36">
        <f t="shared" si="0"/>
        <v>3.9901300000000002</v>
      </c>
      <c r="D52" s="12">
        <f t="shared" si="2"/>
        <v>0.28050613900000004</v>
      </c>
      <c r="E52" s="12">
        <f t="shared" si="1"/>
        <v>1.2522595491071431E-2</v>
      </c>
      <c r="F52" s="12">
        <f>E52/Calculation!K$17*1000</f>
        <v>1.2586259495116431E-2</v>
      </c>
      <c r="G52" s="12">
        <f t="shared" si="3"/>
        <v>79.176673923748183</v>
      </c>
    </row>
    <row r="53" spans="1:7">
      <c r="A53" s="35">
        <v>24</v>
      </c>
      <c r="B53" s="77">
        <v>3312.78</v>
      </c>
      <c r="C53" s="36">
        <f t="shared" si="0"/>
        <v>3.3127800000000001</v>
      </c>
      <c r="D53" s="12">
        <f t="shared" si="2"/>
        <v>0.23288843399999998</v>
      </c>
      <c r="E53" s="12">
        <f t="shared" si="1"/>
        <v>1.0396805089285715E-2</v>
      </c>
      <c r="F53" s="12">
        <f>E53/Calculation!K$18*1000</f>
        <v>1.104888779750998E-2</v>
      </c>
      <c r="G53" s="12">
        <f t="shared" si="3"/>
        <v>79.531201133137586</v>
      </c>
    </row>
    <row r="54" spans="1:7">
      <c r="A54" s="35">
        <v>24.5</v>
      </c>
      <c r="B54" s="77">
        <v>2745.44</v>
      </c>
      <c r="C54" s="36">
        <f t="shared" si="0"/>
        <v>2.7454399999999999</v>
      </c>
      <c r="D54" s="12">
        <f t="shared" si="2"/>
        <v>0.193004432</v>
      </c>
      <c r="E54" s="12">
        <f t="shared" si="1"/>
        <v>8.6162692857142866E-3</v>
      </c>
      <c r="F54" s="12">
        <f>E54/Calculation!K$18*1000</f>
        <v>9.1566776286972889E-3</v>
      </c>
      <c r="G54" s="12">
        <f t="shared" si="3"/>
        <v>79.834284614530688</v>
      </c>
    </row>
    <row r="55" spans="1:7">
      <c r="A55" s="35">
        <v>25</v>
      </c>
      <c r="B55" s="77">
        <v>2246.3000000000002</v>
      </c>
      <c r="C55" s="36">
        <f t="shared" si="0"/>
        <v>2.2463000000000002</v>
      </c>
      <c r="D55" s="12">
        <f t="shared" si="2"/>
        <v>0.15791489</v>
      </c>
      <c r="E55" s="12">
        <f t="shared" si="1"/>
        <v>7.0497718750000002E-3</v>
      </c>
      <c r="F55" s="12">
        <f>E55/Calculation!K$18*1000</f>
        <v>7.4919302397221266E-3</v>
      </c>
      <c r="G55" s="12">
        <f t="shared" si="3"/>
        <v>80.084013732556983</v>
      </c>
    </row>
    <row r="56" spans="1:7">
      <c r="A56" s="35">
        <v>25.5</v>
      </c>
      <c r="B56" s="77">
        <v>1872.61</v>
      </c>
      <c r="C56" s="36">
        <f t="shared" si="0"/>
        <v>1.8726099999999999</v>
      </c>
      <c r="D56" s="12">
        <f t="shared" si="2"/>
        <v>0.13164448299999998</v>
      </c>
      <c r="E56" s="12">
        <f t="shared" si="1"/>
        <v>5.8769858482142848E-3</v>
      </c>
      <c r="F56" s="12">
        <f>E56/Calculation!K$18*1000</f>
        <v>6.2455876268557404E-3</v>
      </c>
      <c r="G56" s="12">
        <f t="shared" si="3"/>
        <v>80.290076500555656</v>
      </c>
    </row>
    <row r="57" spans="1:7">
      <c r="A57" s="35">
        <v>26</v>
      </c>
      <c r="B57" s="77">
        <v>1471.04</v>
      </c>
      <c r="C57" s="36">
        <f t="shared" si="0"/>
        <v>1.4710399999999999</v>
      </c>
      <c r="D57" s="12">
        <f t="shared" si="2"/>
        <v>0.10341411199999999</v>
      </c>
      <c r="E57" s="12">
        <f t="shared" si="1"/>
        <v>4.6167014285714283E-3</v>
      </c>
      <c r="F57" s="12">
        <f>E57/Calculation!K$18*1000</f>
        <v>4.9062587632287928E-3</v>
      </c>
      <c r="G57" s="12">
        <f t="shared" si="3"/>
        <v>80.457354196406925</v>
      </c>
    </row>
    <row r="58" spans="1:7">
      <c r="A58" s="35">
        <v>26.5</v>
      </c>
      <c r="B58" s="77">
        <v>1220.6400000000001</v>
      </c>
      <c r="C58" s="36">
        <f t="shared" si="0"/>
        <v>1.2206400000000002</v>
      </c>
      <c r="D58" s="12">
        <f t="shared" si="2"/>
        <v>8.5810992000000016E-2</v>
      </c>
      <c r="E58" s="12">
        <f t="shared" si="1"/>
        <v>3.8308478571428581E-3</v>
      </c>
      <c r="F58" s="12">
        <f>E58/Calculation!K$18*1000</f>
        <v>4.0711168266992026E-3</v>
      </c>
      <c r="G58" s="12">
        <f t="shared" si="3"/>
        <v>80.592014830255849</v>
      </c>
    </row>
    <row r="59" spans="1:7">
      <c r="A59" s="35">
        <v>27</v>
      </c>
      <c r="B59" s="77">
        <v>1035.6199999999999</v>
      </c>
      <c r="C59" s="36">
        <f t="shared" si="0"/>
        <v>1.03562</v>
      </c>
      <c r="D59" s="12">
        <f t="shared" si="2"/>
        <v>7.280408599999999E-2</v>
      </c>
      <c r="E59" s="12">
        <f t="shared" si="1"/>
        <v>3.2501824107142854E-3</v>
      </c>
      <c r="F59" s="12">
        <f>E59/Calculation!K$18*1000</f>
        <v>3.4540323175270568E-3</v>
      </c>
      <c r="G59" s="12">
        <f t="shared" si="3"/>
        <v>80.704892067419237</v>
      </c>
    </row>
    <row r="60" spans="1:7">
      <c r="A60" s="35">
        <v>27.5</v>
      </c>
      <c r="B60" s="77">
        <v>879.14</v>
      </c>
      <c r="C60" s="36">
        <f t="shared" si="0"/>
        <v>0.87914000000000003</v>
      </c>
      <c r="D60" s="12">
        <f t="shared" si="2"/>
        <v>6.1803542000000003E-2</v>
      </c>
      <c r="E60" s="12">
        <f t="shared" si="1"/>
        <v>2.7590866964285719E-3</v>
      </c>
      <c r="F60" s="12">
        <f>E60/Calculation!K$18*1000</f>
        <v>2.9321353118235819E-3</v>
      </c>
      <c r="G60" s="12">
        <f t="shared" si="3"/>
        <v>80.8006845818595</v>
      </c>
    </row>
    <row r="61" spans="1:7">
      <c r="A61" s="35">
        <v>28</v>
      </c>
      <c r="B61" s="77">
        <v>743.23</v>
      </c>
      <c r="C61" s="36">
        <f t="shared" si="0"/>
        <v>0.74323000000000006</v>
      </c>
      <c r="D61" s="12">
        <f t="shared" si="2"/>
        <v>5.2249069000000002E-2</v>
      </c>
      <c r="E61" s="12">
        <f t="shared" si="1"/>
        <v>2.3325477232142861E-3</v>
      </c>
      <c r="F61" s="12">
        <f>E61/Calculation!K$18*1000</f>
        <v>2.4788440155227159E-3</v>
      </c>
      <c r="G61" s="12">
        <f t="shared" si="3"/>
        <v>80.881849271769696</v>
      </c>
    </row>
    <row r="62" spans="1:7">
      <c r="A62" s="35">
        <v>28.5</v>
      </c>
      <c r="B62" s="77">
        <v>653.46</v>
      </c>
      <c r="C62" s="36">
        <f t="shared" si="0"/>
        <v>0.65346000000000004</v>
      </c>
      <c r="D62" s="12">
        <f t="shared" si="2"/>
        <v>4.5938237999999999E-2</v>
      </c>
      <c r="E62" s="12">
        <f t="shared" si="1"/>
        <v>2.0508141964285715E-3</v>
      </c>
      <c r="F62" s="12">
        <f>E62/Calculation!K$18*1000</f>
        <v>2.1794402949066559E-3</v>
      </c>
      <c r="G62" s="12">
        <f t="shared" si="3"/>
        <v>80.95172353642613</v>
      </c>
    </row>
    <row r="63" spans="1:7">
      <c r="A63" s="35">
        <v>29</v>
      </c>
      <c r="B63" s="77">
        <v>556.89</v>
      </c>
      <c r="C63" s="36">
        <f t="shared" si="0"/>
        <v>0.55689</v>
      </c>
      <c r="D63" s="12">
        <f t="shared" si="2"/>
        <v>3.9149366999999997E-2</v>
      </c>
      <c r="E63" s="12">
        <f t="shared" si="1"/>
        <v>1.7477395982142857E-3</v>
      </c>
      <c r="F63" s="12">
        <f>E63/Calculation!K$18*1000</f>
        <v>1.8573570009343609E-3</v>
      </c>
      <c r="G63" s="12">
        <f t="shared" si="3"/>
        <v>81.012275495863747</v>
      </c>
    </row>
    <row r="64" spans="1:7">
      <c r="A64" s="35">
        <v>29.5</v>
      </c>
      <c r="B64" s="77">
        <v>524.36</v>
      </c>
      <c r="C64" s="36">
        <f t="shared" si="0"/>
        <v>0.52436000000000005</v>
      </c>
      <c r="D64" s="12">
        <f t="shared" si="2"/>
        <v>3.6862508000000002E-2</v>
      </c>
      <c r="E64" s="12">
        <f t="shared" si="1"/>
        <v>1.6456476785714287E-3</v>
      </c>
      <c r="F64" s="12">
        <f>E64/Calculation!K$18*1000</f>
        <v>1.7488619242757844E-3</v>
      </c>
      <c r="G64" s="12">
        <f t="shared" si="3"/>
        <v>81.066368779741893</v>
      </c>
    </row>
    <row r="65" spans="1:7">
      <c r="A65" s="35">
        <v>30</v>
      </c>
      <c r="B65" s="77">
        <v>495.32</v>
      </c>
      <c r="C65" s="36">
        <f t="shared" si="0"/>
        <v>0.49531999999999998</v>
      </c>
      <c r="D65" s="12">
        <f t="shared" si="2"/>
        <v>3.4820995999999993E-2</v>
      </c>
      <c r="E65" s="12">
        <f t="shared" si="1"/>
        <v>1.5545087499999998E-3</v>
      </c>
      <c r="F65" s="12">
        <f>E65/Calculation!K$19*1000</f>
        <v>1.7395071655597906E-3</v>
      </c>
      <c r="G65" s="12">
        <f t="shared" si="3"/>
        <v>81.118694316089432</v>
      </c>
    </row>
    <row r="66" spans="1:7">
      <c r="A66" s="35">
        <v>30.5</v>
      </c>
      <c r="B66" s="77">
        <v>469.11</v>
      </c>
      <c r="C66" s="36">
        <f t="shared" si="0"/>
        <v>0.46911000000000003</v>
      </c>
      <c r="D66" s="12">
        <f t="shared" si="2"/>
        <v>3.2978433000000001E-2</v>
      </c>
      <c r="E66" s="12">
        <f t="shared" si="1"/>
        <v>1.4722514732142858E-3</v>
      </c>
      <c r="F66" s="12">
        <f>E66/Calculation!K$19*1000</f>
        <v>1.6474606445040652E-3</v>
      </c>
      <c r="G66" s="12">
        <f t="shared" si="3"/>
        <v>81.169498833240382</v>
      </c>
    </row>
    <row r="67" spans="1:7">
      <c r="A67" s="35">
        <v>31</v>
      </c>
      <c r="B67" s="77">
        <v>468.94</v>
      </c>
      <c r="C67" s="36">
        <f t="shared" si="0"/>
        <v>0.46894000000000002</v>
      </c>
      <c r="D67" s="12">
        <f t="shared" si="2"/>
        <v>3.2966482000000005E-2</v>
      </c>
      <c r="E67" s="12">
        <f t="shared" si="1"/>
        <v>1.4717179464285718E-3</v>
      </c>
      <c r="F67" s="12">
        <f>E67/Calculation!K$19*1000</f>
        <v>1.64686362395544E-3</v>
      </c>
      <c r="G67" s="12">
        <f t="shared" si="3"/>
        <v>81.218913697267269</v>
      </c>
    </row>
    <row r="68" spans="1:7">
      <c r="A68" s="35">
        <v>31.5</v>
      </c>
      <c r="B68" s="77">
        <v>435.75</v>
      </c>
      <c r="C68" s="36">
        <f t="shared" si="0"/>
        <v>0.43575000000000003</v>
      </c>
      <c r="D68" s="12">
        <f t="shared" si="2"/>
        <v>3.0633225000000004E-2</v>
      </c>
      <c r="E68" s="12">
        <f t="shared" si="1"/>
        <v>1.3675546875000003E-3</v>
      </c>
      <c r="F68" s="12">
        <f>E68/Calculation!K$19*1000</f>
        <v>1.5303041415502686E-3</v>
      </c>
      <c r="G68" s="12">
        <f t="shared" si="3"/>
        <v>81.266571213749856</v>
      </c>
    </row>
    <row r="69" spans="1:7">
      <c r="A69" s="35">
        <v>32</v>
      </c>
      <c r="B69" s="77">
        <v>402.4</v>
      </c>
      <c r="C69" s="36">
        <f t="shared" si="0"/>
        <v>0.40239999999999998</v>
      </c>
      <c r="D69" s="12">
        <f t="shared" si="2"/>
        <v>2.8288719999999996E-2</v>
      </c>
      <c r="E69" s="12">
        <f t="shared" si="1"/>
        <v>1.2628892857142857E-3</v>
      </c>
      <c r="F69" s="12">
        <f>E69/Calculation!K$19*1000</f>
        <v>1.413182757452273E-3</v>
      </c>
      <c r="G69" s="12">
        <f t="shared" si="3"/>
        <v>81.310723517234891</v>
      </c>
    </row>
    <row r="70" spans="1:7">
      <c r="A70" s="35">
        <v>32.5</v>
      </c>
      <c r="B70" s="77">
        <v>399.25</v>
      </c>
      <c r="C70" s="36">
        <f t="shared" ref="C70:C101" si="4">B70/1000</f>
        <v>0.39924999999999999</v>
      </c>
      <c r="D70" s="12">
        <f t="shared" ref="D70:D101" si="5">C70/1000*$B$1</f>
        <v>2.8067274999999996E-2</v>
      </c>
      <c r="E70" s="12">
        <f t="shared" ref="E70:E101" si="6">D70/22.4</f>
        <v>1.2530033482142857E-3</v>
      </c>
      <c r="F70" s="12">
        <f>E70/Calculation!K$19*1000</f>
        <v>1.4021203178748013E-3</v>
      </c>
      <c r="G70" s="12">
        <f t="shared" si="3"/>
        <v>81.352953063364794</v>
      </c>
    </row>
    <row r="71" spans="1:7">
      <c r="A71" s="35">
        <v>33</v>
      </c>
      <c r="B71" s="77">
        <v>406.38</v>
      </c>
      <c r="C71" s="36">
        <f t="shared" si="4"/>
        <v>0.40638000000000002</v>
      </c>
      <c r="D71" s="12">
        <f t="shared" si="5"/>
        <v>2.8568514E-2</v>
      </c>
      <c r="E71" s="12">
        <f t="shared" si="6"/>
        <v>1.2753800892857145E-3</v>
      </c>
      <c r="F71" s="12">
        <f>E71/Calculation!K$19*1000</f>
        <v>1.4271600620612693E-3</v>
      </c>
      <c r="G71" s="12">
        <f t="shared" ref="G71:G101" si="7">G70+(F71+F70)/2*30</f>
        <v>81.395392269063834</v>
      </c>
    </row>
    <row r="72" spans="1:7">
      <c r="A72" s="35">
        <v>33.5</v>
      </c>
      <c r="B72" s="77">
        <v>422.81</v>
      </c>
      <c r="C72" s="36">
        <f t="shared" si="4"/>
        <v>0.42281000000000002</v>
      </c>
      <c r="D72" s="12">
        <f t="shared" si="5"/>
        <v>2.9723543000000002E-2</v>
      </c>
      <c r="E72" s="12">
        <f t="shared" si="6"/>
        <v>1.3269438839285715E-3</v>
      </c>
      <c r="F72" s="12">
        <f>E72/Calculation!K$19*1000</f>
        <v>1.4848603421431302E-3</v>
      </c>
      <c r="G72" s="12">
        <f t="shared" si="7"/>
        <v>81.4390725751269</v>
      </c>
    </row>
    <row r="73" spans="1:7">
      <c r="A73" s="35">
        <v>34</v>
      </c>
      <c r="B73" s="77">
        <v>431.27</v>
      </c>
      <c r="C73" s="36">
        <f t="shared" si="4"/>
        <v>0.43126999999999999</v>
      </c>
      <c r="D73" s="12">
        <f t="shared" si="5"/>
        <v>3.0318280999999999E-2</v>
      </c>
      <c r="E73" s="12">
        <f t="shared" si="6"/>
        <v>1.3534946875000001E-3</v>
      </c>
      <c r="F73" s="12">
        <f>E73/Calculation!K$19*1000</f>
        <v>1.5145708941511973E-3</v>
      </c>
      <c r="G73" s="12">
        <f t="shared" si="7"/>
        <v>81.48406404367131</v>
      </c>
    </row>
    <row r="74" spans="1:7">
      <c r="A74" s="35">
        <v>34.5</v>
      </c>
      <c r="B74" s="77">
        <v>460.14</v>
      </c>
      <c r="C74" s="36">
        <f t="shared" si="4"/>
        <v>0.46013999999999999</v>
      </c>
      <c r="D74" s="12">
        <f t="shared" si="5"/>
        <v>3.2347842000000002E-2</v>
      </c>
      <c r="E74" s="12">
        <f t="shared" si="6"/>
        <v>1.4441000892857145E-3</v>
      </c>
      <c r="F74" s="12">
        <f>E74/Calculation!K$19*1000</f>
        <v>1.6159590308501219E-3</v>
      </c>
      <c r="G74" s="12">
        <f t="shared" si="7"/>
        <v>81.531021992546329</v>
      </c>
    </row>
    <row r="75" spans="1:7">
      <c r="A75" s="35">
        <v>35</v>
      </c>
      <c r="B75" s="77">
        <v>445.87</v>
      </c>
      <c r="C75" s="36">
        <f t="shared" si="4"/>
        <v>0.44586999999999999</v>
      </c>
      <c r="D75" s="12">
        <f t="shared" si="5"/>
        <v>3.1344661000000003E-2</v>
      </c>
      <c r="E75" s="12">
        <f t="shared" si="6"/>
        <v>1.399315223214286E-3</v>
      </c>
      <c r="F75" s="12">
        <f>E75/Calculation!K$19*1000</f>
        <v>1.5658444236213843E-3</v>
      </c>
      <c r="G75" s="12">
        <f t="shared" si="7"/>
        <v>81.578749044363406</v>
      </c>
    </row>
    <row r="76" spans="1:7">
      <c r="A76" s="35">
        <v>35.5</v>
      </c>
      <c r="B76" s="77">
        <v>472.92</v>
      </c>
      <c r="C76" s="36">
        <f t="shared" si="4"/>
        <v>0.47292000000000001</v>
      </c>
      <c r="D76" s="12">
        <f t="shared" si="5"/>
        <v>3.3246275999999998E-2</v>
      </c>
      <c r="E76" s="12">
        <f t="shared" si="6"/>
        <v>1.4842087499999999E-3</v>
      </c>
      <c r="F76" s="12">
        <f>E76/Calculation!K$19*1000</f>
        <v>1.6608409285644356E-3</v>
      </c>
      <c r="G76" s="12">
        <f t="shared" si="7"/>
        <v>81.627149324646197</v>
      </c>
    </row>
    <row r="77" spans="1:7">
      <c r="A77" s="35">
        <v>36</v>
      </c>
      <c r="B77" s="77">
        <v>518.54999999999995</v>
      </c>
      <c r="C77" s="36">
        <f t="shared" si="4"/>
        <v>0.51854999999999996</v>
      </c>
      <c r="D77" s="12">
        <f t="shared" si="5"/>
        <v>3.6454065000000001E-2</v>
      </c>
      <c r="E77" s="12">
        <f t="shared" si="6"/>
        <v>1.6274136160714288E-3</v>
      </c>
      <c r="F77" s="12">
        <f>E77/Calculation!K$19*1000</f>
        <v>1.8210882675866707E-3</v>
      </c>
      <c r="G77" s="12">
        <f t="shared" si="7"/>
        <v>81.679378262588457</v>
      </c>
    </row>
    <row r="78" spans="1:7">
      <c r="A78" s="35">
        <v>36.5</v>
      </c>
      <c r="B78" s="77">
        <v>544.61</v>
      </c>
      <c r="C78" s="36">
        <f t="shared" si="4"/>
        <v>0.54461000000000004</v>
      </c>
      <c r="D78" s="12">
        <f t="shared" si="5"/>
        <v>3.8286083000000005E-2</v>
      </c>
      <c r="E78" s="12">
        <f t="shared" si="6"/>
        <v>1.7092001339285717E-3</v>
      </c>
      <c r="F78" s="12">
        <f>E78/Calculation!K$19*1000</f>
        <v>1.9126080058053741E-3</v>
      </c>
      <c r="G78" s="12">
        <f t="shared" si="7"/>
        <v>81.735383706689333</v>
      </c>
    </row>
    <row r="79" spans="1:7">
      <c r="A79" s="35">
        <v>37</v>
      </c>
      <c r="B79" s="77">
        <v>545.6</v>
      </c>
      <c r="C79" s="36">
        <f t="shared" si="4"/>
        <v>0.54559999999999997</v>
      </c>
      <c r="D79" s="12">
        <f t="shared" si="5"/>
        <v>3.8355679999999996E-2</v>
      </c>
      <c r="E79" s="12">
        <f t="shared" si="6"/>
        <v>1.7123071428571427E-3</v>
      </c>
      <c r="F79" s="12">
        <f>E79/Calculation!K$19*1000</f>
        <v>1.9160847725297216E-3</v>
      </c>
      <c r="G79" s="12">
        <f t="shared" si="7"/>
        <v>81.79281409836436</v>
      </c>
    </row>
    <row r="80" spans="1:7">
      <c r="A80" s="35">
        <v>37.5</v>
      </c>
      <c r="B80" s="77">
        <v>566.34</v>
      </c>
      <c r="C80" s="36">
        <f t="shared" si="4"/>
        <v>0.56634000000000007</v>
      </c>
      <c r="D80" s="12">
        <f t="shared" si="5"/>
        <v>3.9813701999999999E-2</v>
      </c>
      <c r="E80" s="12">
        <f t="shared" si="6"/>
        <v>1.7773974107142857E-3</v>
      </c>
      <c r="F80" s="12">
        <f>E80/Calculation!K$19*1000</f>
        <v>1.9889212794620284E-3</v>
      </c>
      <c r="G80" s="12">
        <f t="shared" si="7"/>
        <v>81.851389189144243</v>
      </c>
    </row>
    <row r="81" spans="1:7">
      <c r="A81" s="35">
        <v>38</v>
      </c>
      <c r="B81" s="77">
        <v>578.29</v>
      </c>
      <c r="C81" s="36">
        <f t="shared" si="4"/>
        <v>0.57828999999999997</v>
      </c>
      <c r="D81" s="12">
        <f t="shared" si="5"/>
        <v>4.0653786999999997E-2</v>
      </c>
      <c r="E81" s="12">
        <f t="shared" si="6"/>
        <v>1.8149012053571428E-3</v>
      </c>
      <c r="F81" s="12">
        <f>E81/Calculation!K$19*1000</f>
        <v>2.0308883121448185E-3</v>
      </c>
      <c r="G81" s="12">
        <f t="shared" si="7"/>
        <v>81.911686333018352</v>
      </c>
    </row>
    <row r="82" spans="1:7">
      <c r="A82" s="35">
        <v>38.5</v>
      </c>
      <c r="B82" s="77">
        <v>550.75</v>
      </c>
      <c r="C82" s="36">
        <f t="shared" si="4"/>
        <v>0.55074999999999996</v>
      </c>
      <c r="D82" s="12">
        <f t="shared" si="5"/>
        <v>3.8717724999999995E-2</v>
      </c>
      <c r="E82" s="12">
        <f t="shared" si="6"/>
        <v>1.7284698660714284E-3</v>
      </c>
      <c r="F82" s="12">
        <f>E82/Calculation!K$19*1000</f>
        <v>1.9341709832674933E-3</v>
      </c>
      <c r="G82" s="12">
        <f t="shared" si="7"/>
        <v>81.971162222449536</v>
      </c>
    </row>
    <row r="83" spans="1:7">
      <c r="A83" s="35">
        <v>39</v>
      </c>
      <c r="B83" s="77">
        <v>556.39</v>
      </c>
      <c r="C83" s="36">
        <f t="shared" si="4"/>
        <v>0.55638999999999994</v>
      </c>
      <c r="D83" s="12">
        <f t="shared" si="5"/>
        <v>3.9114216999999993E-2</v>
      </c>
      <c r="E83" s="12">
        <f t="shared" si="6"/>
        <v>1.7461704017857141E-3</v>
      </c>
      <c r="F83" s="12">
        <f>E83/Calculation!K$19*1000</f>
        <v>1.9539780179395378E-3</v>
      </c>
      <c r="G83" s="12">
        <f t="shared" si="7"/>
        <v>82.029484457467646</v>
      </c>
    </row>
    <row r="84" spans="1:7">
      <c r="A84" s="35">
        <v>39.5</v>
      </c>
      <c r="B84" s="77">
        <v>543.11</v>
      </c>
      <c r="C84" s="36">
        <f t="shared" si="4"/>
        <v>0.54310999999999998</v>
      </c>
      <c r="D84" s="12">
        <f t="shared" si="5"/>
        <v>3.8180632999999999E-2</v>
      </c>
      <c r="E84" s="12">
        <f t="shared" si="6"/>
        <v>1.7044925446428572E-3</v>
      </c>
      <c r="F84" s="12">
        <f>E84/Calculation!K$19*1000</f>
        <v>1.907340177435149E-3</v>
      </c>
      <c r="G84" s="12">
        <f t="shared" si="7"/>
        <v>82.087404230398263</v>
      </c>
    </row>
    <row r="85" spans="1:7">
      <c r="A85" s="35">
        <v>40</v>
      </c>
      <c r="B85" s="77">
        <v>544.44000000000005</v>
      </c>
      <c r="C85" s="36">
        <f t="shared" si="4"/>
        <v>0.54444000000000004</v>
      </c>
      <c r="D85" s="12">
        <f t="shared" si="5"/>
        <v>3.8274131999999995E-2</v>
      </c>
      <c r="E85" s="12">
        <f t="shared" si="6"/>
        <v>1.708666607142857E-3</v>
      </c>
      <c r="F85" s="12">
        <f>E85/Calculation!K$19*1000</f>
        <v>1.9120109852567479E-3</v>
      </c>
      <c r="G85" s="12">
        <f t="shared" si="7"/>
        <v>82.144694497838643</v>
      </c>
    </row>
    <row r="86" spans="1:7">
      <c r="A86" s="35">
        <v>40.5</v>
      </c>
      <c r="B86" s="77">
        <v>534.82000000000005</v>
      </c>
      <c r="C86" s="36">
        <f t="shared" si="4"/>
        <v>0.53482000000000007</v>
      </c>
      <c r="D86" s="12">
        <f t="shared" si="5"/>
        <v>3.7597846000000004E-2</v>
      </c>
      <c r="E86" s="12">
        <f t="shared" si="6"/>
        <v>1.6784752678571432E-3</v>
      </c>
      <c r="F86" s="12">
        <f>E86/Calculation!K$19*1000</f>
        <v>1.8782266459757076E-3</v>
      </c>
      <c r="G86" s="12">
        <f t="shared" si="7"/>
        <v>82.201548062307126</v>
      </c>
    </row>
    <row r="87" spans="1:7">
      <c r="A87" s="35">
        <v>41</v>
      </c>
      <c r="B87" s="77">
        <v>512.58000000000004</v>
      </c>
      <c r="C87" s="36">
        <f t="shared" si="4"/>
        <v>0.51258000000000004</v>
      </c>
      <c r="D87" s="12">
        <f t="shared" si="5"/>
        <v>3.6034374000000001E-2</v>
      </c>
      <c r="E87" s="12">
        <f t="shared" si="6"/>
        <v>1.6086774107142859E-3</v>
      </c>
      <c r="F87" s="12">
        <f>E87/Calculation!K$19*1000</f>
        <v>1.8001223106731763E-3</v>
      </c>
      <c r="G87" s="12">
        <f t="shared" si="7"/>
        <v>82.256723296656858</v>
      </c>
    </row>
    <row r="88" spans="1:7">
      <c r="A88" s="35">
        <v>41.5</v>
      </c>
      <c r="B88" s="77">
        <v>497.31</v>
      </c>
      <c r="C88" s="36">
        <f t="shared" si="4"/>
        <v>0.49731000000000003</v>
      </c>
      <c r="D88" s="12">
        <f t="shared" si="5"/>
        <v>3.4960893E-2</v>
      </c>
      <c r="E88" s="12">
        <f t="shared" si="6"/>
        <v>1.5607541517857143E-3</v>
      </c>
      <c r="F88" s="12">
        <f>E88/Calculation!K$19*1000</f>
        <v>1.7464958178642889E-3</v>
      </c>
      <c r="G88" s="12">
        <f t="shared" si="7"/>
        <v>82.309922568584923</v>
      </c>
    </row>
    <row r="89" spans="1:7">
      <c r="A89" s="35">
        <v>42</v>
      </c>
      <c r="B89" s="77">
        <v>482.38</v>
      </c>
      <c r="C89" s="36">
        <f t="shared" si="4"/>
        <v>0.48237999999999998</v>
      </c>
      <c r="D89" s="12">
        <f t="shared" si="5"/>
        <v>3.3911313999999998E-2</v>
      </c>
      <c r="E89" s="12">
        <f t="shared" si="6"/>
        <v>1.5138979464285715E-3</v>
      </c>
      <c r="F89" s="12">
        <f>E89/Calculation!K$19*1000</f>
        <v>1.6940633661526529E-3</v>
      </c>
      <c r="G89" s="12">
        <f t="shared" si="7"/>
        <v>82.361530956345177</v>
      </c>
    </row>
    <row r="90" spans="1:7">
      <c r="A90" s="35">
        <v>42.5</v>
      </c>
      <c r="B90" s="77">
        <v>483.04</v>
      </c>
      <c r="C90" s="36">
        <f t="shared" si="4"/>
        <v>0.48304000000000002</v>
      </c>
      <c r="D90" s="12">
        <f t="shared" si="5"/>
        <v>3.3957712000000001E-2</v>
      </c>
      <c r="E90" s="12">
        <f t="shared" si="6"/>
        <v>1.5159692857142858E-3</v>
      </c>
      <c r="F90" s="12">
        <f>E90/Calculation!K$19*1000</f>
        <v>1.6963812106355516E-3</v>
      </c>
      <c r="G90" s="12">
        <f t="shared" si="7"/>
        <v>82.412387624996995</v>
      </c>
    </row>
    <row r="91" spans="1:7">
      <c r="A91" s="35">
        <v>43</v>
      </c>
      <c r="B91" s="77">
        <v>459.81</v>
      </c>
      <c r="C91" s="36">
        <f t="shared" si="4"/>
        <v>0.45981</v>
      </c>
      <c r="D91" s="12">
        <f t="shared" si="5"/>
        <v>3.2324643E-2</v>
      </c>
      <c r="E91" s="12">
        <f t="shared" si="6"/>
        <v>1.4430644196428573E-3</v>
      </c>
      <c r="F91" s="12">
        <f>E91/Calculation!K$19*1000</f>
        <v>1.6148001086086724E-3</v>
      </c>
      <c r="G91" s="12">
        <f t="shared" si="7"/>
        <v>82.462055344785654</v>
      </c>
    </row>
    <row r="92" spans="1:7">
      <c r="A92" s="35">
        <v>43.5</v>
      </c>
      <c r="B92" s="77">
        <v>440.23</v>
      </c>
      <c r="C92" s="36">
        <f t="shared" si="4"/>
        <v>0.44023000000000001</v>
      </c>
      <c r="D92" s="12">
        <f t="shared" si="5"/>
        <v>3.0948168999999998E-2</v>
      </c>
      <c r="E92" s="12">
        <f t="shared" si="6"/>
        <v>1.3816146875E-3</v>
      </c>
      <c r="F92" s="12">
        <f>E92/Calculation!K$19*1000</f>
        <v>1.5460373889493392E-3</v>
      </c>
      <c r="G92" s="12">
        <f t="shared" si="7"/>
        <v>82.509467907249018</v>
      </c>
    </row>
    <row r="93" spans="1:7">
      <c r="A93" s="35">
        <v>44</v>
      </c>
      <c r="B93" s="77">
        <v>412.35</v>
      </c>
      <c r="C93" s="36">
        <f t="shared" si="4"/>
        <v>0.41235000000000005</v>
      </c>
      <c r="D93" s="12">
        <f t="shared" si="5"/>
        <v>2.8988205000000003E-2</v>
      </c>
      <c r="E93" s="12">
        <f t="shared" si="6"/>
        <v>1.2941162946428573E-3</v>
      </c>
      <c r="F93" s="12">
        <f>E93/Calculation!K$19*1000</f>
        <v>1.4481260189747635E-3</v>
      </c>
      <c r="G93" s="12">
        <f t="shared" si="7"/>
        <v>82.554380358367879</v>
      </c>
    </row>
    <row r="94" spans="1:7">
      <c r="A94" s="35">
        <v>44.5</v>
      </c>
      <c r="B94" s="77">
        <v>387.13</v>
      </c>
      <c r="C94" s="36">
        <f t="shared" si="4"/>
        <v>0.38712999999999997</v>
      </c>
      <c r="D94" s="12">
        <f t="shared" si="5"/>
        <v>2.7215238999999995E-2</v>
      </c>
      <c r="E94" s="12">
        <f t="shared" si="6"/>
        <v>1.2149660267857141E-3</v>
      </c>
      <c r="F94" s="12">
        <f>E94/Calculation!K$19*1000</f>
        <v>1.3595562646433856E-3</v>
      </c>
      <c r="G94" s="12">
        <f t="shared" si="7"/>
        <v>82.596495592622148</v>
      </c>
    </row>
    <row r="95" spans="1:7">
      <c r="A95" s="35">
        <v>45</v>
      </c>
      <c r="B95" s="77">
        <v>355.11</v>
      </c>
      <c r="C95" s="36">
        <f t="shared" si="4"/>
        <v>0.35511000000000004</v>
      </c>
      <c r="D95" s="12">
        <f t="shared" si="5"/>
        <v>2.4964233000000002E-2</v>
      </c>
      <c r="E95" s="12">
        <f t="shared" si="6"/>
        <v>1.1144746875000001E-3</v>
      </c>
      <c r="F95" s="12">
        <f>E95/Calculation!K$19*1000</f>
        <v>1.24710568836699E-3</v>
      </c>
      <c r="G95" s="12">
        <f t="shared" si="7"/>
        <v>82.63559552191731</v>
      </c>
    </row>
    <row r="96" spans="1:7">
      <c r="A96" s="35">
        <v>45.5</v>
      </c>
      <c r="B96" s="77">
        <v>338.18</v>
      </c>
      <c r="C96" s="36">
        <f t="shared" si="4"/>
        <v>0.33817999999999998</v>
      </c>
      <c r="D96" s="12">
        <f t="shared" si="5"/>
        <v>2.3774053999999999E-2</v>
      </c>
      <c r="E96" s="12">
        <f t="shared" si="6"/>
        <v>1.0613416964285714E-3</v>
      </c>
      <c r="F96" s="12">
        <f>E96/Calculation!K$19*1000</f>
        <v>1.187649465495054E-3</v>
      </c>
      <c r="G96" s="12">
        <f t="shared" si="7"/>
        <v>82.672116849225247</v>
      </c>
    </row>
    <row r="97" spans="1:7">
      <c r="A97" s="35">
        <v>46</v>
      </c>
      <c r="B97" s="77">
        <v>304.83</v>
      </c>
      <c r="C97" s="36">
        <f t="shared" si="4"/>
        <v>0.30482999999999999</v>
      </c>
      <c r="D97" s="12">
        <f t="shared" si="5"/>
        <v>2.1429548999999996E-2</v>
      </c>
      <c r="E97" s="12">
        <f t="shared" si="6"/>
        <v>9.5667629464285704E-4</v>
      </c>
      <c r="F97" s="12">
        <f>E97/Calculation!K$19*1000</f>
        <v>1.0705280813970584E-3</v>
      </c>
      <c r="G97" s="12">
        <f t="shared" si="7"/>
        <v>82.70598951242863</v>
      </c>
    </row>
    <row r="98" spans="1:7">
      <c r="A98" s="35">
        <v>46.5</v>
      </c>
      <c r="B98" s="77">
        <v>293.20999999999998</v>
      </c>
      <c r="C98" s="36">
        <f t="shared" si="4"/>
        <v>0.29320999999999997</v>
      </c>
      <c r="D98" s="12">
        <f t="shared" si="5"/>
        <v>2.0612662999999996E-2</v>
      </c>
      <c r="E98" s="12">
        <f t="shared" si="6"/>
        <v>9.20208169642857E-4</v>
      </c>
      <c r="F98" s="12">
        <f>E98/Calculation!K$19*1000</f>
        <v>1.0297199709557179E-3</v>
      </c>
      <c r="G98" s="12">
        <f t="shared" si="7"/>
        <v>82.737493233213925</v>
      </c>
    </row>
    <row r="99" spans="1:7">
      <c r="A99" s="35">
        <v>47</v>
      </c>
      <c r="B99" s="77">
        <v>279.44</v>
      </c>
      <c r="C99" s="36">
        <f t="shared" si="4"/>
        <v>0.27944000000000002</v>
      </c>
      <c r="D99" s="12">
        <f t="shared" si="5"/>
        <v>1.9644632000000002E-2</v>
      </c>
      <c r="E99" s="12">
        <f t="shared" si="6"/>
        <v>8.7699250000000011E-4</v>
      </c>
      <c r="F99" s="12">
        <f>E99/Calculation!K$19*1000</f>
        <v>9.813613065170557E-4</v>
      </c>
      <c r="G99" s="12">
        <f t="shared" si="7"/>
        <v>82.767659452376023</v>
      </c>
    </row>
    <row r="100" spans="1:7">
      <c r="A100" s="35">
        <v>47.5</v>
      </c>
      <c r="B100" s="77">
        <v>279.11</v>
      </c>
      <c r="C100" s="36">
        <f t="shared" si="4"/>
        <v>0.27911000000000002</v>
      </c>
      <c r="D100" s="12">
        <f t="shared" si="5"/>
        <v>1.9621433000000001E-2</v>
      </c>
      <c r="E100" s="12">
        <f t="shared" si="6"/>
        <v>8.7595683035714296E-4</v>
      </c>
      <c r="F100" s="12">
        <f>E100/Calculation!K$19*1000</f>
        <v>9.8020238427560624E-4</v>
      </c>
      <c r="G100" s="12">
        <f t="shared" si="7"/>
        <v>82.797082907737916</v>
      </c>
    </row>
    <row r="101" spans="1:7">
      <c r="A101" s="35">
        <v>48</v>
      </c>
      <c r="B101" s="77">
        <v>255.88</v>
      </c>
      <c r="C101" s="36">
        <f t="shared" si="4"/>
        <v>0.25588</v>
      </c>
      <c r="D101" s="12">
        <f t="shared" si="5"/>
        <v>1.7988364E-2</v>
      </c>
      <c r="E101" s="12">
        <f t="shared" si="6"/>
        <v>8.0305196428571437E-4</v>
      </c>
      <c r="F101" s="12">
        <f>E101/Calculation!K$20*1000</f>
        <v>9.4887974322460623E-4</v>
      </c>
      <c r="G101" s="12">
        <f t="shared" si="7"/>
        <v>82.826019139650413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29" t="s">
        <v>41</v>
      </c>
      <c r="B1" s="129"/>
      <c r="D1" s="154" t="s">
        <v>4</v>
      </c>
      <c r="E1" s="154" t="s">
        <v>5</v>
      </c>
      <c r="F1" s="129" t="s">
        <v>144</v>
      </c>
      <c r="G1" s="129"/>
      <c r="H1" s="129"/>
      <c r="I1" s="129"/>
      <c r="J1" s="129" t="s">
        <v>42</v>
      </c>
      <c r="K1" s="129"/>
      <c r="L1" s="129"/>
      <c r="M1" s="129"/>
      <c r="N1" s="155" t="s">
        <v>43</v>
      </c>
      <c r="O1" s="127"/>
      <c r="P1" s="127"/>
      <c r="Q1" s="156"/>
      <c r="R1" s="129" t="s">
        <v>65</v>
      </c>
      <c r="S1" s="129"/>
      <c r="T1" s="129"/>
      <c r="U1" s="129"/>
    </row>
    <row r="2" spans="1:21">
      <c r="A2" s="129" t="s">
        <v>34</v>
      </c>
      <c r="B2" s="129"/>
      <c r="D2" s="154"/>
      <c r="E2" s="154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29" t="s">
        <v>35</v>
      </c>
      <c r="B3" s="14" t="s">
        <v>38</v>
      </c>
      <c r="D3" s="16">
        <v>0</v>
      </c>
      <c r="E3" s="64">
        <v>-0.16666666666666666</v>
      </c>
      <c r="F3" s="52">
        <v>51.143428063943162</v>
      </c>
      <c r="G3" s="52">
        <v>5.0872287910257705E-2</v>
      </c>
      <c r="H3" s="13">
        <f>F3*Calculation!I3/Calculation!F22</f>
        <v>51.450288632326817</v>
      </c>
      <c r="I3" s="13">
        <f>G3*Calculation!I3/Calculation!F22</f>
        <v>5.1177521637719249E-2</v>
      </c>
      <c r="J3" s="13">
        <v>0.39224393132030788</v>
      </c>
      <c r="K3" s="13">
        <v>1.2818611660515638E-2</v>
      </c>
      <c r="L3" s="13">
        <f>J3*Calculation!I3/Calculation!F22</f>
        <v>0.3945973949082297</v>
      </c>
      <c r="M3" s="13">
        <f>K3*Calculation!I3/Calculation!F22</f>
        <v>1.2895523330478732E-2</v>
      </c>
      <c r="N3" s="13">
        <v>50.624479600333068</v>
      </c>
      <c r="O3" s="13">
        <v>0.36025491511713698</v>
      </c>
      <c r="P3" s="13">
        <f>N3*Calculation!I3/Calculation!F22</f>
        <v>50.92822647793507</v>
      </c>
      <c r="Q3" s="13">
        <f>O3*Calculation!I3/Calculation!F22</f>
        <v>0.36241644460783984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29"/>
      <c r="B4" s="14" t="s">
        <v>39</v>
      </c>
      <c r="D4" s="16">
        <v>0</v>
      </c>
      <c r="E4" s="66">
        <v>0.16666666666666666</v>
      </c>
      <c r="F4" s="52">
        <v>48.908377738306697</v>
      </c>
      <c r="G4" s="52">
        <v>0.19868848073799661</v>
      </c>
      <c r="H4" s="13">
        <f>F4*Calculation!I4/Calculation!K3</f>
        <v>49.235509012145343</v>
      </c>
      <c r="I4" s="13">
        <f>G4*Calculation!I4/Calculation!K3</f>
        <v>0.2000174394728102</v>
      </c>
      <c r="J4" s="13">
        <v>0.6216696269982237</v>
      </c>
      <c r="K4" s="13">
        <v>4.4404973357015987E-2</v>
      </c>
      <c r="L4" s="13">
        <f>J4*Calculation!I4/Calculation!K3</f>
        <v>0.625827760765712</v>
      </c>
      <c r="M4" s="13">
        <f>K4*Calculation!I4/Calculation!K3</f>
        <v>4.470198291183658E-2</v>
      </c>
      <c r="N4" s="13">
        <v>48.504024424091035</v>
      </c>
      <c r="O4" s="13">
        <v>0.24093848919468033</v>
      </c>
      <c r="P4" s="13">
        <f>N4*Calculation!I4/Calculation!K3</f>
        <v>48.828451118042203</v>
      </c>
      <c r="Q4" s="13">
        <f>O4*Calculation!I4/Calculation!K3</f>
        <v>0.24255004366718294</v>
      </c>
      <c r="R4" s="13">
        <v>0</v>
      </c>
      <c r="S4" s="13">
        <v>0</v>
      </c>
      <c r="T4" s="13">
        <f>R4*Calculation!I4/Calculation!K3</f>
        <v>0</v>
      </c>
      <c r="U4" s="13">
        <f>S4*Calculation!I4/Calculation!K3</f>
        <v>0</v>
      </c>
    </row>
    <row r="5" spans="1:21">
      <c r="A5" s="15" t="s">
        <v>37</v>
      </c>
      <c r="B5" s="15">
        <v>180.16</v>
      </c>
      <c r="D5" s="16">
        <v>1</v>
      </c>
      <c r="E5" s="66">
        <v>2</v>
      </c>
      <c r="F5" s="52">
        <v>48.608644168146839</v>
      </c>
      <c r="G5" s="52">
        <v>0.3073126805357429</v>
      </c>
      <c r="H5" s="13">
        <f>F5*Calculation!I5/Calculation!K4</f>
        <v>48.99638581703298</v>
      </c>
      <c r="I5" s="13">
        <f>G5*Calculation!I5/Calculation!K4</f>
        <v>0.30976405369197324</v>
      </c>
      <c r="J5" s="13">
        <v>0.59946714031971582</v>
      </c>
      <c r="K5" s="13">
        <v>3.8455834981547053E-2</v>
      </c>
      <c r="L5" s="13">
        <f>J5*Calculation!I5/Calculation!K4</f>
        <v>0.60424897246949916</v>
      </c>
      <c r="M5" s="13">
        <f>K5*Calculation!I5/Calculation!K4</f>
        <v>3.8762589656980054E-2</v>
      </c>
      <c r="N5" s="13">
        <v>48.670552317513192</v>
      </c>
      <c r="O5" s="13">
        <v>0.36535071156046145</v>
      </c>
      <c r="P5" s="13">
        <f>N5*Calculation!I5/Calculation!K4</f>
        <v>49.058787795600402</v>
      </c>
      <c r="Q5" s="13">
        <f>O5*Calculation!I5/Calculation!K4</f>
        <v>0.36826504274057303</v>
      </c>
      <c r="R5" s="13">
        <v>0</v>
      </c>
      <c r="S5" s="13">
        <v>0</v>
      </c>
      <c r="T5" s="13">
        <f>R5*Calculation!I5/Calculation!K4</f>
        <v>0</v>
      </c>
      <c r="U5" s="13">
        <f>S5*Calculation!I5/Calculation!K4</f>
        <v>0</v>
      </c>
    </row>
    <row r="6" spans="1:21">
      <c r="A6" s="15" t="s">
        <v>40</v>
      </c>
      <c r="B6" s="15">
        <v>180.16</v>
      </c>
      <c r="D6" s="16">
        <v>2</v>
      </c>
      <c r="E6" s="66">
        <v>3.3333333333333335</v>
      </c>
      <c r="F6" s="52">
        <v>47.409709887507404</v>
      </c>
      <c r="G6" s="52">
        <v>0.11765921473937664</v>
      </c>
      <c r="H6" s="13">
        <f>F6*Calculation!I6/Calculation!K5</f>
        <v>47.882268164138921</v>
      </c>
      <c r="I6" s="13">
        <f>G6*Calculation!I6/Calculation!K5</f>
        <v>0.11883198790923966</v>
      </c>
      <c r="J6" s="13">
        <v>0.62907045589105981</v>
      </c>
      <c r="K6" s="13">
        <v>1.2818611660515679E-2</v>
      </c>
      <c r="L6" s="13">
        <f>J6*Calculation!I6/Calculation!K5</f>
        <v>0.63534074210924263</v>
      </c>
      <c r="M6" s="13">
        <f>K6*Calculation!I6/Calculation!K5</f>
        <v>1.2946381711196756E-2</v>
      </c>
      <c r="N6" s="13">
        <v>47.971135165140161</v>
      </c>
      <c r="O6" s="13">
        <v>6.9331090739921816E-2</v>
      </c>
      <c r="P6" s="13">
        <f>N6*Calculation!I6/Calculation!K5</f>
        <v>48.449289471831449</v>
      </c>
      <c r="Q6" s="13">
        <f>O6*Calculation!I6/Calculation!K5</f>
        <v>7.0022151301878013E-2</v>
      </c>
      <c r="R6" s="13">
        <v>5.7933231950177418E-2</v>
      </c>
      <c r="S6" s="13">
        <v>2.5085825296094974E-2</v>
      </c>
      <c r="T6" s="13">
        <f>R6*Calculation!I6/Calculation!K5</f>
        <v>5.8510683875427093E-2</v>
      </c>
      <c r="U6" s="13">
        <f>S6*Calculation!I6/Calculation!K5</f>
        <v>2.5335869314460205E-2</v>
      </c>
    </row>
    <row r="7" spans="1:21">
      <c r="A7" s="32" t="s">
        <v>116</v>
      </c>
      <c r="B7" s="32">
        <v>46.03</v>
      </c>
      <c r="D7" s="16">
        <v>3</v>
      </c>
      <c r="E7" s="66">
        <v>4.666666666666667</v>
      </c>
      <c r="F7" s="52">
        <v>46.188573120189467</v>
      </c>
      <c r="G7" s="52">
        <v>6.4093058302576986E-2</v>
      </c>
      <c r="H7" s="13">
        <f>F7*Calculation!I7/Calculation!K6</f>
        <v>46.775294017261579</v>
      </c>
      <c r="I7" s="13">
        <f>G7*Calculation!I7/Calculation!K6</f>
        <v>6.4907215011110284E-2</v>
      </c>
      <c r="J7" s="13">
        <v>0.69567791592658379</v>
      </c>
      <c r="K7" s="13">
        <v>2.5637223321031358E-2</v>
      </c>
      <c r="L7" s="13">
        <f>J7*Calculation!I7/Calculation!K6</f>
        <v>0.70451492350946754</v>
      </c>
      <c r="M7" s="13">
        <f>K7*Calculation!I7/Calculation!K6</f>
        <v>2.5962886004444682E-2</v>
      </c>
      <c r="N7" s="13">
        <v>48.281987232861511</v>
      </c>
      <c r="O7" s="13">
        <v>6.9331090739920637E-2</v>
      </c>
      <c r="P7" s="13">
        <f>N7*Calculation!I7/Calculation!K6</f>
        <v>48.895300200724243</v>
      </c>
      <c r="Q7" s="13">
        <f>O7*Calculation!I7/Calculation!K6</f>
        <v>7.021178475157723E-2</v>
      </c>
      <c r="R7" s="13">
        <v>0.40553262365124187</v>
      </c>
      <c r="S7" s="13">
        <v>2.5085825296094988E-2</v>
      </c>
      <c r="T7" s="13">
        <f>R7*Calculation!I7/Calculation!K6</f>
        <v>0.41068399440524894</v>
      </c>
      <c r="U7" s="13">
        <f>S7*Calculation!I7/Calculation!K6</f>
        <v>2.5404483720186583E-2</v>
      </c>
    </row>
    <row r="8" spans="1:21">
      <c r="A8" s="15" t="s">
        <v>43</v>
      </c>
      <c r="B8" s="15">
        <v>60.05</v>
      </c>
      <c r="D8" s="16">
        <v>4</v>
      </c>
      <c r="E8" s="66">
        <v>6</v>
      </c>
      <c r="F8" s="52">
        <v>40.345618709295437</v>
      </c>
      <c r="G8" s="52">
        <v>0.70580979963797563</v>
      </c>
      <c r="H8" s="13">
        <f>F8*Calculation!I8/Calculation!K7</f>
        <v>41.056596163872435</v>
      </c>
      <c r="I8" s="13">
        <f>G8*Calculation!I8/Calculation!K7</f>
        <v>0.71824770171546926</v>
      </c>
      <c r="J8" s="13">
        <v>0.56986382474837183</v>
      </c>
      <c r="K8" s="13">
        <v>1.2818611660515638E-2</v>
      </c>
      <c r="L8" s="13">
        <f>J8*Calculation!I8/Calculation!K7</f>
        <v>0.57990606339873019</v>
      </c>
      <c r="M8" s="13">
        <f>K8*Calculation!I8/Calculation!K7</f>
        <v>1.3044503447063073E-2</v>
      </c>
      <c r="N8" s="13">
        <v>45.006938662225927</v>
      </c>
      <c r="O8" s="13">
        <v>0.64610533564036654</v>
      </c>
      <c r="P8" s="13">
        <f>N8*Calculation!I8/Calculation!K7</f>
        <v>45.800058701329462</v>
      </c>
      <c r="Q8" s="13">
        <f>O8*Calculation!I8/Calculation!K7</f>
        <v>0.65749111535122196</v>
      </c>
      <c r="R8" s="13">
        <v>1.2745311029039033</v>
      </c>
      <c r="S8" s="13">
        <v>2.5085825296094908E-2</v>
      </c>
      <c r="T8" s="13">
        <f>R8*Calculation!I8/Calculation!K7</f>
        <v>1.2969911099210483</v>
      </c>
      <c r="U8" s="13">
        <f>S8*Calculation!I8/Calculation!K7</f>
        <v>2.5527892038050004E-2</v>
      </c>
    </row>
    <row r="9" spans="1:21">
      <c r="A9" s="32" t="s">
        <v>67</v>
      </c>
      <c r="B9" s="32">
        <v>74.08</v>
      </c>
      <c r="D9" s="16">
        <v>5</v>
      </c>
      <c r="E9" s="66">
        <v>7.333333333333333</v>
      </c>
      <c r="F9" s="52">
        <v>34.757992895204261</v>
      </c>
      <c r="G9" s="52">
        <v>9.4849064668267105E-2</v>
      </c>
      <c r="H9" s="13">
        <f>F9*Calculation!I9/Calculation!K8</f>
        <v>35.571045727551443</v>
      </c>
      <c r="I9" s="13">
        <f>G9*Calculation!I9/Calculation!K8</f>
        <v>9.7067757240836675E-2</v>
      </c>
      <c r="J9" s="13">
        <v>0.57726465364120783</v>
      </c>
      <c r="K9" s="13">
        <v>3.8455834981546998E-2</v>
      </c>
      <c r="L9" s="13">
        <f>J9*Calculation!I9/Calculation!K8</f>
        <v>0.59076792648759979</v>
      </c>
      <c r="M9" s="13">
        <f>K9*Calculation!I9/Calculation!K8</f>
        <v>3.9355387083024544E-2</v>
      </c>
      <c r="N9" s="13">
        <v>42.087149597557598</v>
      </c>
      <c r="O9" s="13">
        <v>0.16429251831194716</v>
      </c>
      <c r="P9" s="13">
        <f>N9*Calculation!I9/Calculation!K8</f>
        <v>43.07164476932671</v>
      </c>
      <c r="Q9" s="13">
        <f>O9*Calculation!I9/Calculation!K8</f>
        <v>0.1681356198900423</v>
      </c>
      <c r="R9" s="13">
        <v>2.9111449054964154</v>
      </c>
      <c r="S9" s="13">
        <v>0</v>
      </c>
      <c r="T9" s="13">
        <f>R9*Calculation!I9/Calculation!K8</f>
        <v>2.9792418930849447</v>
      </c>
      <c r="U9" s="13">
        <f>S9*Calculation!I9/Calculation!K8</f>
        <v>0</v>
      </c>
    </row>
    <row r="10" spans="1:21">
      <c r="A10" s="32" t="s">
        <v>66</v>
      </c>
      <c r="B10" s="32">
        <v>88.11</v>
      </c>
      <c r="D10" s="16">
        <v>6</v>
      </c>
      <c r="E10" s="66">
        <v>8.6666666666666661</v>
      </c>
      <c r="F10" s="52">
        <v>29.625518058022504</v>
      </c>
      <c r="G10" s="52">
        <v>7.1371009184377096E-2</v>
      </c>
      <c r="H10" s="13">
        <f>F10*Calculation!I10/Calculation!K9</f>
        <v>30.45110119428637</v>
      </c>
      <c r="I10" s="13">
        <f>G10*Calculation!I10/Calculation!K9</f>
        <v>7.3359926356571459E-2</v>
      </c>
      <c r="J10" s="13">
        <v>0.60686796921255182</v>
      </c>
      <c r="K10" s="13">
        <v>3.3914858606837212E-2</v>
      </c>
      <c r="L10" s="13">
        <f>J10*Calculation!I10/Calculation!K9</f>
        <v>0.62377973967811196</v>
      </c>
      <c r="M10" s="13">
        <f>K10*Calculation!I10/Calculation!K9</f>
        <v>3.4859974073839013E-2</v>
      </c>
      <c r="N10" s="13">
        <v>39.900083263946712</v>
      </c>
      <c r="O10" s="13">
        <v>0.14517565174157043</v>
      </c>
      <c r="P10" s="13">
        <f>N10*Calculation!I10/Calculation!K9</f>
        <v>41.011990769284608</v>
      </c>
      <c r="Q10" s="13">
        <f>O10*Calculation!I10/Calculation!K9</f>
        <v>0.14922130487206481</v>
      </c>
      <c r="R10" s="13">
        <v>4.6925917879643713</v>
      </c>
      <c r="S10" s="13">
        <v>7.5257475888284991E-2</v>
      </c>
      <c r="T10" s="13">
        <f>R10*Calculation!I10/Calculation!K9</f>
        <v>4.8233616410999725</v>
      </c>
      <c r="U10" s="13">
        <f>S10*Calculation!I10/Calculation!K9</f>
        <v>7.735469838577741E-2</v>
      </c>
    </row>
    <row r="11" spans="1:21">
      <c r="A11" s="15" t="s">
        <v>42</v>
      </c>
      <c r="B11" s="15">
        <v>90.08</v>
      </c>
      <c r="D11" s="16">
        <v>7</v>
      </c>
      <c r="E11" s="66">
        <v>10</v>
      </c>
      <c r="F11" s="52">
        <v>25.891799881586735</v>
      </c>
      <c r="G11" s="52">
        <v>0.19110052299697042</v>
      </c>
      <c r="H11" s="13">
        <f>F11*Calculation!I11/Calculation!K10</f>
        <v>26.712637867764023</v>
      </c>
      <c r="I11" s="13">
        <f>G11*Calculation!I11/Calculation!K10</f>
        <v>0.19715891094881824</v>
      </c>
      <c r="J11" s="13">
        <v>0.72528123149792789</v>
      </c>
      <c r="K11" s="13">
        <v>4.6218161622249877E-2</v>
      </c>
      <c r="L11" s="13">
        <f>J11*Calculation!I11/Calculation!K10</f>
        <v>0.74827454938998861</v>
      </c>
      <c r="M11" s="13">
        <f>K11*Calculation!I11/Calculation!K10</f>
        <v>4.7683398604009643E-2</v>
      </c>
      <c r="N11" s="13">
        <v>39.067443796835974</v>
      </c>
      <c r="O11" s="13">
        <v>0.35247311388037877</v>
      </c>
      <c r="P11" s="13">
        <f>N11*Calculation!I11/Calculation!K10</f>
        <v>40.305984262850266</v>
      </c>
      <c r="Q11" s="13">
        <f>O11*Calculation!I11/Calculation!K10</f>
        <v>0.36364743634163665</v>
      </c>
      <c r="R11" s="13">
        <v>6.48852197841987</v>
      </c>
      <c r="S11" s="13">
        <v>0.10034330118437998</v>
      </c>
      <c r="T11" s="13">
        <f>R11*Calculation!I11/Calculation!K10</f>
        <v>6.6942251484733708</v>
      </c>
      <c r="U11" s="13">
        <f>S11*Calculation!I11/Calculation!K10</f>
        <v>0.1035244470934036</v>
      </c>
    </row>
    <row r="12" spans="1:21">
      <c r="A12" s="15" t="s">
        <v>44</v>
      </c>
      <c r="B12" s="15">
        <v>46.07</v>
      </c>
      <c r="D12" s="16">
        <v>8</v>
      </c>
      <c r="E12" s="66">
        <v>11.333333333333334</v>
      </c>
      <c r="F12" s="52">
        <v>21.073860272350501</v>
      </c>
      <c r="G12" s="52">
        <v>3.8986285349513733E-2</v>
      </c>
      <c r="H12" s="13">
        <f>F12*Calculation!I12/Calculation!K11</f>
        <v>21.808855261553699</v>
      </c>
      <c r="I12" s="13">
        <f>G12*Calculation!I12/Calculation!K11</f>
        <v>4.0346013657911718E-2</v>
      </c>
      <c r="J12" s="13">
        <v>0.71047957371225579</v>
      </c>
      <c r="K12" s="13">
        <v>2.2202486678508014E-2</v>
      </c>
      <c r="L12" s="13">
        <f>J12*Calculation!I12/Calculation!K11</f>
        <v>0.7352590360348219</v>
      </c>
      <c r="M12" s="13">
        <f>K12*Calculation!I12/Calculation!K11</f>
        <v>2.2976844876088205E-2</v>
      </c>
      <c r="N12" s="13">
        <v>36.514016097696363</v>
      </c>
      <c r="O12" s="13">
        <v>0.10706245640847109</v>
      </c>
      <c r="P12" s="13">
        <f>N12*Calculation!I12/Calculation!K11</f>
        <v>37.787518840936215</v>
      </c>
      <c r="Q12" s="13">
        <f>O12*Calculation!I12/Calculation!K11</f>
        <v>0.11079648368088574</v>
      </c>
      <c r="R12" s="13">
        <v>7.4444203055977987</v>
      </c>
      <c r="S12" s="13">
        <v>5.0171650592189289E-2</v>
      </c>
      <c r="T12" s="13">
        <f>R12*Calculation!I12/Calculation!K11</f>
        <v>7.7040600465576379</v>
      </c>
      <c r="U12" s="13">
        <f>S12*Calculation!I12/Calculation!K11</f>
        <v>5.1921491926844761E-2</v>
      </c>
    </row>
    <row r="13" spans="1:21">
      <c r="D13" s="16">
        <v>9</v>
      </c>
      <c r="E13" s="66">
        <v>12.666666666666666</v>
      </c>
      <c r="F13" s="52">
        <v>16.252220248667854</v>
      </c>
      <c r="G13" s="52">
        <v>7.2795720740475786E-2</v>
      </c>
      <c r="H13" s="13">
        <f>F13*Calculation!I13/Calculation!K12</f>
        <v>16.859064050682669</v>
      </c>
      <c r="I13" s="13">
        <f>G13*Calculation!I13/Calculation!K12</f>
        <v>7.5513849787993456E-2</v>
      </c>
      <c r="J13" s="13">
        <v>0.79188869153345176</v>
      </c>
      <c r="K13" s="13">
        <v>5.127444664206264E-2</v>
      </c>
      <c r="L13" s="13">
        <f>J13*Calculation!I13/Calculation!K12</f>
        <v>0.82145712815257066</v>
      </c>
      <c r="M13" s="13">
        <f>K13*Calculation!I13/Calculation!K12</f>
        <v>5.3188989988780175E-2</v>
      </c>
      <c r="N13" s="13">
        <v>33.982792117679708</v>
      </c>
      <c r="O13" s="13">
        <v>0.23393069670502914</v>
      </c>
      <c r="P13" s="13">
        <f>N13*Calculation!I13/Calculation!K12</f>
        <v>35.251680088445561</v>
      </c>
      <c r="Q13" s="13">
        <f>O13*Calculation!I13/Calculation!K12</f>
        <v>0.24266546593805688</v>
      </c>
      <c r="R13" s="13">
        <v>8.0382359330871154</v>
      </c>
      <c r="S13" s="13">
        <v>4.34499239626331E-2</v>
      </c>
      <c r="T13" s="13">
        <f>R13*Calculation!I13/Calculation!K12</f>
        <v>8.3383766880419046</v>
      </c>
      <c r="U13" s="13">
        <f>S13*Calculation!I13/Calculation!K12</f>
        <v>4.5072306421848181E-2</v>
      </c>
    </row>
    <row r="14" spans="1:21">
      <c r="D14" s="16">
        <v>10</v>
      </c>
      <c r="E14" s="66">
        <v>14</v>
      </c>
      <c r="F14" s="52">
        <v>11.978241563055063</v>
      </c>
      <c r="G14" s="52">
        <v>0.13865448486674964</v>
      </c>
      <c r="H14" s="13">
        <f>F14*Calculation!I14/Calculation!K13</f>
        <v>12.456204225241933</v>
      </c>
      <c r="I14" s="13">
        <f>G14*Calculation!I14/Calculation!K13</f>
        <v>0.14418715561497242</v>
      </c>
      <c r="J14" s="13">
        <v>0.84369449378330375</v>
      </c>
      <c r="K14" s="13">
        <v>0</v>
      </c>
      <c r="L14" s="13">
        <f>J14*Calculation!I14/Calculation!K13</f>
        <v>0.87736007517922798</v>
      </c>
      <c r="M14" s="13">
        <f>K14*Calculation!I14/Calculation!K13</f>
        <v>0</v>
      </c>
      <c r="N14" s="13">
        <v>32.728281987232869</v>
      </c>
      <c r="O14" s="13">
        <v>0.45341277505772204</v>
      </c>
      <c r="P14" s="13">
        <f>N14*Calculation!I14/Calculation!K13</f>
        <v>34.034224658790635</v>
      </c>
      <c r="Q14" s="13">
        <f>O14*Calculation!I14/Calculation!K13</f>
        <v>0.47150511155764258</v>
      </c>
      <c r="R14" s="13">
        <v>8.5886016366138023</v>
      </c>
      <c r="S14" s="13">
        <v>6.6370855166280593E-2</v>
      </c>
      <c r="T14" s="13">
        <f>R14*Calculation!I14/Calculation!K13</f>
        <v>8.9313089431152637</v>
      </c>
      <c r="U14" s="13">
        <f>S14*Calculation!I14/Calculation!K13</f>
        <v>6.9019223080711248E-2</v>
      </c>
    </row>
    <row r="15" spans="1:21">
      <c r="D15" s="16">
        <v>11</v>
      </c>
      <c r="E15" s="66">
        <v>15.333333333333334</v>
      </c>
      <c r="F15" s="52">
        <v>7.7819715808170518</v>
      </c>
      <c r="G15" s="52">
        <v>3.8455834981547053E-2</v>
      </c>
      <c r="H15" s="13">
        <f>F15*Calculation!I15/Calculation!K14</f>
        <v>8.1132068430399062</v>
      </c>
      <c r="I15" s="13">
        <f>G15*Calculation!I15/Calculation!K14</f>
        <v>4.0092686061228608E-2</v>
      </c>
      <c r="J15" s="13">
        <v>1.0139135583185317</v>
      </c>
      <c r="K15" s="13">
        <v>1.2818611660515681E-2</v>
      </c>
      <c r="L15" s="13">
        <f>J15*Calculation!I15/Calculation!K14</f>
        <v>1.0570702211093363</v>
      </c>
      <c r="M15" s="13">
        <f>K15*Calculation!I15/Calculation!K14</f>
        <v>1.3364228687076199E-2</v>
      </c>
      <c r="N15" s="13">
        <v>32.128781570913127</v>
      </c>
      <c r="O15" s="13">
        <v>0.16429251831194844</v>
      </c>
      <c r="P15" s="13">
        <f>N15*Calculation!I15/Calculation!K14</f>
        <v>33.496325165492131</v>
      </c>
      <c r="Q15" s="13">
        <f>O15*Calculation!I15/Calculation!K14</f>
        <v>0.17128553734564142</v>
      </c>
      <c r="R15" s="13">
        <v>9.1100007241653991</v>
      </c>
      <c r="S15" s="13">
        <v>9.0448229392402116E-2</v>
      </c>
      <c r="T15" s="13">
        <f>R15*Calculation!I15/Calculation!K14</f>
        <v>9.4977628031426278</v>
      </c>
      <c r="U15" s="13">
        <f>S15*Calculation!I15/Calculation!K14</f>
        <v>9.4298107623034214E-2</v>
      </c>
    </row>
    <row r="16" spans="1:21">
      <c r="D16" s="16">
        <v>12</v>
      </c>
      <c r="E16" s="66">
        <v>16.666666666666668</v>
      </c>
      <c r="F16" s="52">
        <v>4.1629662522202491</v>
      </c>
      <c r="G16" s="52">
        <v>2.937112911927834E-2</v>
      </c>
      <c r="H16" s="13">
        <f>F16*Calculation!I16/Calculation!K15</f>
        <v>4.3478422795127578</v>
      </c>
      <c r="I16" s="13">
        <f>G16*Calculation!I16/Calculation!K15</f>
        <v>3.0675491763527851E-2</v>
      </c>
      <c r="J16" s="13">
        <v>1.1619301361752516</v>
      </c>
      <c r="K16" s="13">
        <v>3.3914858606837212E-2</v>
      </c>
      <c r="L16" s="13">
        <f>J16*Calculation!I16/Calculation!K15</f>
        <v>1.2135310895706717</v>
      </c>
      <c r="M16" s="13">
        <f>K16*Calculation!I16/Calculation!K15</f>
        <v>3.5421006854393915E-2</v>
      </c>
      <c r="N16" s="13">
        <v>32.028864834859839</v>
      </c>
      <c r="O16" s="13">
        <v>0.22670638752886102</v>
      </c>
      <c r="P16" s="13">
        <f>N16*Calculation!I16/Calculation!K15</f>
        <v>33.451256689754061</v>
      </c>
      <c r="Q16" s="13">
        <f>O16*Calculation!I16/Calculation!K15</f>
        <v>0.23677434718763038</v>
      </c>
      <c r="R16" s="13">
        <v>9.4720834238540075</v>
      </c>
      <c r="S16" s="13">
        <v>8.6899847925266199E-2</v>
      </c>
      <c r="T16" s="13">
        <f>R16*Calculation!I16/Calculation!K15</f>
        <v>9.8927356817605911</v>
      </c>
      <c r="U16" s="13">
        <f>S16*Calculation!I16/Calculation!K15</f>
        <v>9.0759042951932101E-2</v>
      </c>
    </row>
    <row r="17" spans="4:21">
      <c r="D17" s="16">
        <v>13</v>
      </c>
      <c r="E17" s="66">
        <v>18</v>
      </c>
      <c r="F17" s="52">
        <v>0.51065719360568396</v>
      </c>
      <c r="G17" s="52">
        <v>9.4342525776429169E-17</v>
      </c>
      <c r="H17" s="13">
        <f>F17*Calculation!I17/Calculation!K16</f>
        <v>0.53480997949014941</v>
      </c>
      <c r="I17" s="13">
        <f>G17*Calculation!I17/Calculation!K16</f>
        <v>9.8804687190015879E-17</v>
      </c>
      <c r="J17" s="13">
        <v>1.2359384251036116</v>
      </c>
      <c r="K17" s="13">
        <v>1.2818611660515681E-2</v>
      </c>
      <c r="L17" s="13">
        <f>J17*Calculation!I17/Calculation!K16</f>
        <v>1.2943951677515206</v>
      </c>
      <c r="M17" s="13">
        <f>K17*Calculation!I17/Calculation!K16</f>
        <v>1.3424899374953747E-2</v>
      </c>
      <c r="N17" s="13">
        <v>31.484873716347487</v>
      </c>
      <c r="O17" s="13">
        <v>5.0875111795235572E-2</v>
      </c>
      <c r="P17" s="13">
        <f>N17*Calculation!I17/Calculation!K16</f>
        <v>32.974028129508604</v>
      </c>
      <c r="Q17" s="13">
        <f>O17*Calculation!I17/Calculation!K16</f>
        <v>5.3281375130845007E-2</v>
      </c>
      <c r="R17" s="13">
        <v>9.5300166558041859</v>
      </c>
      <c r="S17" s="13">
        <v>6.6370855166280607E-2</v>
      </c>
      <c r="T17" s="13">
        <f>R17*Calculation!I17/Calculation!K16</f>
        <v>9.9807621943870899</v>
      </c>
      <c r="U17" s="13">
        <f>S17*Calculation!I17/Calculation!K16</f>
        <v>6.9510027734243807E-2</v>
      </c>
    </row>
    <row r="18" spans="4:21">
      <c r="D18" s="16">
        <v>14</v>
      </c>
      <c r="E18" s="66">
        <v>24</v>
      </c>
      <c r="F18" s="52">
        <v>0</v>
      </c>
      <c r="G18" s="52">
        <v>0</v>
      </c>
      <c r="H18" s="13">
        <f>F18*Calculation!I18/Calculation!K17</f>
        <v>0</v>
      </c>
      <c r="I18" s="13">
        <f>G18*Calculation!I18/Calculation!K17</f>
        <v>0</v>
      </c>
      <c r="J18" s="13">
        <v>1.9020130254588514</v>
      </c>
      <c r="K18" s="13">
        <v>3.3914858606837045E-2</v>
      </c>
      <c r="L18" s="13">
        <f>J18*Calculation!I18/Calculation!K17</f>
        <v>2.0091785464150012</v>
      </c>
      <c r="M18" s="13">
        <f>K18*Calculation!I18/Calculation!K17</f>
        <v>3.5825730636685024E-2</v>
      </c>
      <c r="N18" s="13">
        <v>31.007493755203999</v>
      </c>
      <c r="O18" s="13">
        <v>0.34772044992208229</v>
      </c>
      <c r="P18" s="13">
        <f>N18*Calculation!I18/Calculation!K17</f>
        <v>32.754555514162959</v>
      </c>
      <c r="Q18" s="13">
        <f>O18*Calculation!I18/Calculation!K17</f>
        <v>0.36731213655315409</v>
      </c>
      <c r="R18" s="13">
        <v>9.1100007241653991</v>
      </c>
      <c r="S18" s="13">
        <v>0.10034330118437998</v>
      </c>
      <c r="T18" s="13">
        <f>R18*Calculation!I18/Calculation!K17</f>
        <v>9.6232874159221833</v>
      </c>
      <c r="U18" s="13">
        <f>S18*Calculation!I18/Calculation!K17</f>
        <v>0.10599696496162447</v>
      </c>
    </row>
    <row r="19" spans="4:21">
      <c r="D19" s="16">
        <v>15</v>
      </c>
      <c r="E19" s="66">
        <v>30</v>
      </c>
      <c r="F19" s="52">
        <v>0</v>
      </c>
      <c r="G19" s="52">
        <v>0</v>
      </c>
      <c r="H19" s="13">
        <f>F19*Calculation!I19/Calculation!K18</f>
        <v>0</v>
      </c>
      <c r="I19" s="13">
        <f>G19*Calculation!I19/Calculation!K18</f>
        <v>0</v>
      </c>
      <c r="J19" s="13">
        <v>2.2054470100651273</v>
      </c>
      <c r="K19" s="13">
        <v>2.5637223321031362E-2</v>
      </c>
      <c r="L19" s="13">
        <f>J19*Calculation!I19/Calculation!K18</f>
        <v>2.3297089759987171</v>
      </c>
      <c r="M19" s="13">
        <f>K19*Calculation!I19/Calculation!K18</f>
        <v>2.7081706800530493E-2</v>
      </c>
      <c r="N19" s="13">
        <v>32.595059672495147</v>
      </c>
      <c r="O19" s="13">
        <v>0.11696534835251457</v>
      </c>
      <c r="P19" s="13">
        <f>N19*Calculation!I19/Calculation!K18</f>
        <v>34.431569992689745</v>
      </c>
      <c r="Q19" s="13">
        <f>O19*Calculation!I19/Calculation!K18</f>
        <v>0.1235555516383153</v>
      </c>
      <c r="R19" s="13">
        <v>9.3996668839162858</v>
      </c>
      <c r="S19" s="13">
        <v>6.6370855166280607E-2</v>
      </c>
      <c r="T19" s="13">
        <f>R19*Calculation!I19/Calculation!K18</f>
        <v>9.9292742971915686</v>
      </c>
      <c r="U19" s="13">
        <f>S19*Calculation!I19/Calculation!K18</f>
        <v>7.0110402254021348E-2</v>
      </c>
    </row>
    <row r="20" spans="4:21">
      <c r="D20" s="16">
        <v>16</v>
      </c>
      <c r="E20" s="66">
        <v>48</v>
      </c>
      <c r="F20" s="52">
        <v>0</v>
      </c>
      <c r="G20" s="52">
        <v>0</v>
      </c>
      <c r="H20" s="13">
        <f>F20*Calculation!I20/Calculation!K19</f>
        <v>0</v>
      </c>
      <c r="I20" s="13">
        <f>G20*Calculation!I20/Calculation!K19</f>
        <v>0</v>
      </c>
      <c r="J20" s="13">
        <v>2.4422735346358793</v>
      </c>
      <c r="K20" s="13">
        <v>7.6911669963094106E-2</v>
      </c>
      <c r="L20" s="13">
        <f>J20*Calculation!I20/Calculation!K19</f>
        <v>2.5798790673811296</v>
      </c>
      <c r="M20" s="13">
        <f>K20*Calculation!I20/Calculation!K19</f>
        <v>8.1245120401591514E-2</v>
      </c>
      <c r="N20" s="13">
        <v>30.974188176519569</v>
      </c>
      <c r="O20" s="13">
        <v>0.52024977025189867</v>
      </c>
      <c r="P20" s="13">
        <f>N20*Calculation!I20/Calculation!K19</f>
        <v>32.719373392235823</v>
      </c>
      <c r="Q20" s="13">
        <f>O20*Calculation!I20/Calculation!K19</f>
        <v>0.54956231275823175</v>
      </c>
      <c r="R20" s="13">
        <v>8.994134260265044</v>
      </c>
      <c r="S20" s="13">
        <v>0.22577242766485425</v>
      </c>
      <c r="T20" s="13">
        <f>R20*Calculation!I20/Calculation!K19</f>
        <v>9.5008926634144295</v>
      </c>
      <c r="U20" s="13">
        <f>S20*Calculation!I20/Calculation!K19</f>
        <v>0.23849317116365432</v>
      </c>
    </row>
    <row r="22" spans="4:21">
      <c r="D22" s="154" t="s">
        <v>4</v>
      </c>
      <c r="E22" s="154" t="s">
        <v>60</v>
      </c>
      <c r="F22" s="129" t="s">
        <v>44</v>
      </c>
      <c r="G22" s="129"/>
      <c r="H22" s="129"/>
      <c r="I22" s="129"/>
      <c r="J22" s="129" t="s">
        <v>66</v>
      </c>
      <c r="K22" s="129"/>
      <c r="L22" s="129"/>
      <c r="M22" s="129"/>
      <c r="N22" s="155" t="s">
        <v>67</v>
      </c>
      <c r="O22" s="127"/>
      <c r="P22" s="127"/>
      <c r="Q22" s="156"/>
    </row>
    <row r="23" spans="4:21">
      <c r="D23" s="154"/>
      <c r="E23" s="154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4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0.12106079521809858</v>
      </c>
      <c r="K24" s="13">
        <v>4.72515264888465E-2</v>
      </c>
      <c r="L24" s="13">
        <f>J24*Calculation!I3/Calculation!F22</f>
        <v>0.12178715998940716</v>
      </c>
      <c r="M24" s="13">
        <f>K24*Calculation!I3/Calculation!F22</f>
        <v>4.7535035647779583E-2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6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2.14882911512125</v>
      </c>
      <c r="K25" s="13">
        <v>3.4673141111155326E-2</v>
      </c>
      <c r="L25" s="13">
        <f>J25*Calculation!I4/Calculation!K3</f>
        <v>2.1632018921013505</v>
      </c>
      <c r="M25" s="13">
        <f>K25*Calculation!I4/Calculation!K3</f>
        <v>3.4905057795866695E-2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6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3.0416524798547271</v>
      </c>
      <c r="K26" s="13">
        <v>7.8631293045914388E-2</v>
      </c>
      <c r="L26" s="13">
        <f>J26*Calculation!I5/Calculation!K4</f>
        <v>3.0659151468774444</v>
      </c>
      <c r="M26" s="13">
        <f>K26*Calculation!I5/Calculation!K4</f>
        <v>7.9258519493831878E-2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6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4.2068626338289263</v>
      </c>
      <c r="K27" s="13">
        <v>2.6210431015304791E-2</v>
      </c>
      <c r="L27" s="13">
        <f>J27*Calculation!I6/Calculation!K5</f>
        <v>4.2487947140079605</v>
      </c>
      <c r="M27" s="13">
        <f>K27*Calculation!I6/Calculation!K5</f>
        <v>2.6471684588459974E-2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6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6.6432111375931591</v>
      </c>
      <c r="K28" s="13">
        <v>1.3105215507652396E-2</v>
      </c>
      <c r="L28" s="13">
        <f>J28*Calculation!I7/Calculation!K6</f>
        <v>6.7275980440244458</v>
      </c>
      <c r="M28" s="13">
        <f>K28*Calculation!I7/Calculation!K6</f>
        <v>1.3271687500172383E-2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6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10.850073771422087</v>
      </c>
      <c r="K29" s="13">
        <v>0.20175222828999129</v>
      </c>
      <c r="L29" s="13">
        <f>J29*Calculation!I8/Calculation!K7</f>
        <v>11.041275643614496</v>
      </c>
      <c r="M29" s="13">
        <f>K29*Calculation!I8/Calculation!K7</f>
        <v>0.20530754086949099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6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16.948511330533801</v>
      </c>
      <c r="K30" s="13">
        <v>3.4673141111155333E-2</v>
      </c>
      <c r="L30" s="13">
        <f>J30*Calculation!I9/Calculation!K8</f>
        <v>17.344967914862639</v>
      </c>
      <c r="M30" s="13">
        <f>K30*Calculation!I9/Calculation!K8</f>
        <v>3.5484209105552902E-2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6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23.198274883668141</v>
      </c>
      <c r="K31" s="13">
        <v>6.0055642062527184E-2</v>
      </c>
      <c r="L31" s="13">
        <f>J31*Calculation!I10/Calculation!K9</f>
        <v>23.844748119911976</v>
      </c>
      <c r="M31" s="13">
        <f>K31*Calculation!I10/Calculation!K9</f>
        <v>6.1729230528633182E-2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6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30.197102107214466</v>
      </c>
      <c r="K32" s="13">
        <v>0.1957026013903479</v>
      </c>
      <c r="L32" s="13">
        <f>J32*Calculation!I11/Calculation!K10</f>
        <v>31.154429469369127</v>
      </c>
      <c r="M32" s="13">
        <f>K32*Calculation!I11/Calculation!K10</f>
        <v>0.20190688730131506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6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34.47206143835357</v>
      </c>
      <c r="K33" s="13">
        <v>9.1736508553565299E-2</v>
      </c>
      <c r="L33" s="13">
        <f>J33*Calculation!I12/Calculation!K11</f>
        <v>35.674346738590529</v>
      </c>
      <c r="M33" s="13">
        <f>K33*Calculation!I12/Calculation!K11</f>
        <v>9.4936011313974666E-2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6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38.610827374872315</v>
      </c>
      <c r="K34" s="13">
        <v>0.14884663543983556</v>
      </c>
      <c r="L34" s="13">
        <f>J34*Calculation!I13/Calculation!K12</f>
        <v>40.052522166390155</v>
      </c>
      <c r="M34" s="13">
        <f>K34*Calculation!I13/Calculation!K12</f>
        <v>0.15440443965276007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6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42.643665115575232</v>
      </c>
      <c r="K35" s="13">
        <v>0.45699448024942868</v>
      </c>
      <c r="L35" s="13">
        <f>J35*Calculation!I14/Calculation!K13</f>
        <v>44.345257089384724</v>
      </c>
      <c r="M35" s="13">
        <f>K35*Calculation!I14/Calculation!K13</f>
        <v>0.4752297360033636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6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47.259107933265248</v>
      </c>
      <c r="K36" s="13">
        <v>0.17728406936572053</v>
      </c>
      <c r="L36" s="13">
        <f>J36*Calculation!I15/Calculation!K14</f>
        <v>49.270665396065667</v>
      </c>
      <c r="M36" s="13">
        <f>K36*Calculation!I15/Calculation!K14</f>
        <v>0.18483006649439723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6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50.754738395187836</v>
      </c>
      <c r="K37" s="13">
        <v>0.37914636451004474</v>
      </c>
      <c r="L37" s="13">
        <f>J37*Calculation!I16/Calculation!K15</f>
        <v>53.008740429378825</v>
      </c>
      <c r="M37" s="13">
        <f>K37*Calculation!I16/Calculation!K15</f>
        <v>0.39598413579767655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6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53.191086898952079</v>
      </c>
      <c r="K38" s="13">
        <v>3.4673141111156977E-2</v>
      </c>
      <c r="L38" s="13">
        <f>J38*Calculation!I17/Calculation!K16</f>
        <v>55.706889963942103</v>
      </c>
      <c r="M38" s="13">
        <f>K38*Calculation!I17/Calculation!K16</f>
        <v>3.6313092459509644E-2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6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53.667763780123323</v>
      </c>
      <c r="K39" s="13">
        <v>0.5373138358137467</v>
      </c>
      <c r="L39" s="13">
        <f>J39*Calculation!I18/Calculation!K17</f>
        <v>56.691577911291546</v>
      </c>
      <c r="M39" s="13">
        <f>K39*Calculation!I18/Calculation!K17</f>
        <v>0.56758782256419804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6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57.117996443839147</v>
      </c>
      <c r="K40" s="13">
        <v>0.18900610595538622</v>
      </c>
      <c r="L40" s="13">
        <f>J40*Calculation!I19/Calculation!K18</f>
        <v>60.336207761502884</v>
      </c>
      <c r="M40" s="13">
        <f>K40*Calculation!I19/Calculation!K18</f>
        <v>0.19965531683748089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6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58.336170695721265</v>
      </c>
      <c r="K41" s="13">
        <v>1.164300860581742</v>
      </c>
      <c r="L41" s="13">
        <f>J41*Calculation!I20/Calculation!K19</f>
        <v>61.623017862125742</v>
      </c>
      <c r="M41" s="13">
        <f>K41*Calculation!I20/Calculation!K19</f>
        <v>1.2299013094765832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144</v>
      </c>
      <c r="B2" s="17">
        <v>180.16</v>
      </c>
    </row>
    <row r="4" spans="1:8">
      <c r="A4" s="157" t="s">
        <v>145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5</v>
      </c>
      <c r="C6" s="28" t="s">
        <v>19</v>
      </c>
      <c r="D6" s="162"/>
      <c r="E6" s="162"/>
      <c r="F6" s="162"/>
      <c r="G6" s="164"/>
      <c r="H6" s="164"/>
    </row>
    <row r="7" spans="1:8">
      <c r="A7" s="16">
        <v>0</v>
      </c>
      <c r="B7" s="64">
        <v>-0.16666666666666666</v>
      </c>
      <c r="C7" s="16">
        <v>2</v>
      </c>
      <c r="D7" s="19">
        <v>4.6029999999999998</v>
      </c>
      <c r="E7" s="19">
        <v>4.6120000000000001</v>
      </c>
      <c r="F7" s="19">
        <v>4.6059999999999999</v>
      </c>
      <c r="G7" s="19">
        <f>(C7*1000*AVERAGE(D7:F7)/$B$2)</f>
        <v>51.143428063943162</v>
      </c>
      <c r="H7" s="19">
        <f>(C7*1000*STDEV(D7:F7))/$B$2</f>
        <v>5.0872287910257705E-2</v>
      </c>
    </row>
    <row r="8" spans="1:8">
      <c r="A8" s="16">
        <v>0</v>
      </c>
      <c r="B8" s="66">
        <v>0.16666666666666666</v>
      </c>
      <c r="C8" s="16">
        <v>2</v>
      </c>
      <c r="D8" s="19">
        <v>4.4160000000000004</v>
      </c>
      <c r="E8" s="19">
        <v>4.4160000000000004</v>
      </c>
      <c r="F8" s="19">
        <v>4.3849999999999998</v>
      </c>
      <c r="G8" s="19">
        <f t="shared" ref="G8:G17" si="0">(C8*1000*AVERAGE(D8:F8))/$B$2</f>
        <v>48.908377738306697</v>
      </c>
      <c r="H8" s="19">
        <f t="shared" ref="H8:H17" si="1">(C8*1000*STDEV(D8:F8))/$B$2</f>
        <v>0.19868848073799661</v>
      </c>
    </row>
    <row r="9" spans="1:8">
      <c r="A9" s="16">
        <v>1</v>
      </c>
      <c r="B9" s="66">
        <v>2</v>
      </c>
      <c r="C9" s="16">
        <v>2</v>
      </c>
      <c r="D9" s="19">
        <v>4.4080000000000004</v>
      </c>
      <c r="E9" s="19">
        <v>4.375</v>
      </c>
      <c r="F9" s="19">
        <v>4.3529999999999998</v>
      </c>
      <c r="G9" s="19">
        <f t="shared" si="0"/>
        <v>48.608644168146839</v>
      </c>
      <c r="H9" s="19">
        <f t="shared" si="1"/>
        <v>0.3073126805357429</v>
      </c>
    </row>
    <row r="10" spans="1:8">
      <c r="A10" s="16">
        <v>2</v>
      </c>
      <c r="B10" s="66">
        <v>3.3333333333333335</v>
      </c>
      <c r="C10" s="16">
        <v>2</v>
      </c>
      <c r="D10" s="19">
        <v>4.2690000000000001</v>
      </c>
      <c r="E10" s="19">
        <v>4.2610000000000001</v>
      </c>
      <c r="F10" s="19">
        <v>4.282</v>
      </c>
      <c r="G10" s="19">
        <f t="shared" si="0"/>
        <v>47.409709887507404</v>
      </c>
      <c r="H10" s="19">
        <f t="shared" si="1"/>
        <v>0.11765921473937664</v>
      </c>
    </row>
    <row r="11" spans="1:8">
      <c r="A11" s="16">
        <v>3</v>
      </c>
      <c r="B11" s="66">
        <v>4.666666666666667</v>
      </c>
      <c r="C11" s="16">
        <v>2</v>
      </c>
      <c r="D11" s="19">
        <v>4.1539999999999999</v>
      </c>
      <c r="E11" s="19">
        <v>4.1639999999999997</v>
      </c>
      <c r="F11" s="19">
        <v>4.1639999999999997</v>
      </c>
      <c r="G11" s="19">
        <f t="shared" si="0"/>
        <v>46.188573120189467</v>
      </c>
      <c r="H11" s="19">
        <f t="shared" si="1"/>
        <v>6.4093058302576986E-2</v>
      </c>
    </row>
    <row r="12" spans="1:8">
      <c r="A12" s="16">
        <v>4</v>
      </c>
      <c r="B12" s="66">
        <v>6</v>
      </c>
      <c r="C12" s="16">
        <v>2</v>
      </c>
      <c r="D12" s="19">
        <v>3.5609999999999999</v>
      </c>
      <c r="E12" s="19">
        <v>3.6739999999999999</v>
      </c>
      <c r="F12" s="19">
        <v>3.6680000000000001</v>
      </c>
      <c r="G12" s="19">
        <f t="shared" si="0"/>
        <v>40.345618709295437</v>
      </c>
      <c r="H12" s="19">
        <f t="shared" si="1"/>
        <v>0.70580979963797563</v>
      </c>
    </row>
    <row r="13" spans="1:8">
      <c r="A13" s="16">
        <v>5</v>
      </c>
      <c r="B13" s="66">
        <v>7.333333333333333</v>
      </c>
      <c r="C13" s="16">
        <v>2</v>
      </c>
      <c r="D13" s="19">
        <v>3.13</v>
      </c>
      <c r="E13" s="19">
        <v>3.1230000000000002</v>
      </c>
      <c r="F13" s="19">
        <v>3.14</v>
      </c>
      <c r="G13" s="19">
        <f t="shared" si="0"/>
        <v>34.757992895204261</v>
      </c>
      <c r="H13" s="19">
        <f t="shared" si="1"/>
        <v>9.4849064668267105E-2</v>
      </c>
    </row>
    <row r="14" spans="1:8">
      <c r="A14" s="16">
        <v>6</v>
      </c>
      <c r="B14" s="66">
        <v>8.6666666666666661</v>
      </c>
      <c r="C14" s="16">
        <v>2</v>
      </c>
      <c r="D14" s="19">
        <v>2.6640000000000001</v>
      </c>
      <c r="E14" s="19">
        <v>2.6760000000000002</v>
      </c>
      <c r="F14" s="19">
        <v>2.6659999999999999</v>
      </c>
      <c r="G14" s="19">
        <f t="shared" si="0"/>
        <v>29.625518058022504</v>
      </c>
      <c r="H14" s="19">
        <f t="shared" si="1"/>
        <v>7.1371009184377096E-2</v>
      </c>
    </row>
    <row r="15" spans="1:8">
      <c r="A15" s="16">
        <v>7</v>
      </c>
      <c r="B15" s="66">
        <v>10</v>
      </c>
      <c r="C15" s="16">
        <v>2</v>
      </c>
      <c r="D15" s="19">
        <v>2.3460000000000001</v>
      </c>
      <c r="E15" s="19">
        <v>2.3380000000000001</v>
      </c>
      <c r="F15" s="19">
        <v>2.3130000000000002</v>
      </c>
      <c r="G15" s="19">
        <f t="shared" si="0"/>
        <v>25.891799881586735</v>
      </c>
      <c r="H15" s="19">
        <f t="shared" si="1"/>
        <v>0.19110052299697042</v>
      </c>
    </row>
    <row r="16" spans="1:8">
      <c r="A16" s="16">
        <v>8</v>
      </c>
      <c r="B16" s="66">
        <v>11.333333333333334</v>
      </c>
      <c r="C16" s="16">
        <v>2</v>
      </c>
      <c r="D16" s="81">
        <v>1.895</v>
      </c>
      <c r="E16" s="81">
        <v>1.9019999999999999</v>
      </c>
      <c r="F16" s="81">
        <v>1.8979999999999999</v>
      </c>
      <c r="G16" s="19">
        <f t="shared" si="0"/>
        <v>21.073860272350501</v>
      </c>
      <c r="H16" s="19">
        <f t="shared" si="1"/>
        <v>3.8986285349513733E-2</v>
      </c>
    </row>
    <row r="17" spans="1:8">
      <c r="A17" s="16">
        <v>9</v>
      </c>
      <c r="B17" s="66">
        <v>12.666666666666666</v>
      </c>
      <c r="C17" s="16">
        <v>2</v>
      </c>
      <c r="D17" s="81">
        <v>1.4710000000000001</v>
      </c>
      <c r="E17" s="81">
        <v>1.4630000000000001</v>
      </c>
      <c r="F17" s="81">
        <v>1.458</v>
      </c>
      <c r="G17" s="19">
        <f t="shared" si="0"/>
        <v>16.252220248667854</v>
      </c>
      <c r="H17" s="19">
        <f t="shared" si="1"/>
        <v>7.2795720740475786E-2</v>
      </c>
    </row>
    <row r="18" spans="1:8">
      <c r="A18" s="16">
        <v>10</v>
      </c>
      <c r="B18" s="66">
        <v>14</v>
      </c>
      <c r="C18" s="16">
        <v>2</v>
      </c>
      <c r="D18" s="81">
        <v>1.075</v>
      </c>
      <c r="E18" s="81">
        <v>1.093</v>
      </c>
      <c r="F18" s="81">
        <v>1.069</v>
      </c>
      <c r="G18" s="19">
        <f t="shared" ref="G18:G23" si="2">(C18*1000*AVERAGE(D18:F18))/$B$2</f>
        <v>11.978241563055063</v>
      </c>
      <c r="H18" s="19">
        <f t="shared" ref="H18:H23" si="3">(C18*1000*STDEV(D18:F18))/$B$2</f>
        <v>0.13865448486674964</v>
      </c>
    </row>
    <row r="19" spans="1:8">
      <c r="A19" s="16">
        <v>11</v>
      </c>
      <c r="B19" s="66">
        <v>15.333333333333334</v>
      </c>
      <c r="C19" s="16">
        <v>2</v>
      </c>
      <c r="D19" s="81">
        <v>0.69899999999999995</v>
      </c>
      <c r="E19" s="81">
        <v>0.70499999999999996</v>
      </c>
      <c r="F19" s="81">
        <v>0.69899999999999995</v>
      </c>
      <c r="G19" s="19">
        <f t="shared" si="2"/>
        <v>7.7819715808170518</v>
      </c>
      <c r="H19" s="19">
        <f t="shared" si="3"/>
        <v>3.8455834981547053E-2</v>
      </c>
    </row>
    <row r="20" spans="1:8">
      <c r="A20" s="16">
        <v>12</v>
      </c>
      <c r="B20" s="66">
        <v>16.666666666666668</v>
      </c>
      <c r="C20" s="16">
        <v>2</v>
      </c>
      <c r="D20" s="76">
        <v>0.372</v>
      </c>
      <c r="E20" s="76">
        <v>0.376</v>
      </c>
      <c r="F20" s="76">
        <v>0.377</v>
      </c>
      <c r="G20" s="19">
        <f t="shared" si="2"/>
        <v>4.1629662522202491</v>
      </c>
      <c r="H20" s="19">
        <f t="shared" si="3"/>
        <v>2.937112911927834E-2</v>
      </c>
    </row>
    <row r="21" spans="1:8">
      <c r="A21" s="16">
        <v>13</v>
      </c>
      <c r="B21" s="66">
        <v>18</v>
      </c>
      <c r="C21" s="16">
        <v>2</v>
      </c>
      <c r="D21" s="76">
        <v>4.5999999999999999E-2</v>
      </c>
      <c r="E21" s="76">
        <v>4.5999999999999999E-2</v>
      </c>
      <c r="F21" s="76">
        <v>4.5999999999999999E-2</v>
      </c>
      <c r="G21" s="19">
        <f t="shared" si="2"/>
        <v>0.51065719360568396</v>
      </c>
      <c r="H21" s="19">
        <f t="shared" si="3"/>
        <v>9.4342525776429169E-17</v>
      </c>
    </row>
    <row r="22" spans="1:8">
      <c r="A22" s="16">
        <v>14</v>
      </c>
      <c r="B22" s="66">
        <v>24</v>
      </c>
      <c r="C22" s="16">
        <v>2</v>
      </c>
      <c r="D22" s="76">
        <v>0</v>
      </c>
      <c r="E22" s="76">
        <v>0</v>
      </c>
      <c r="F22" s="76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6">
        <v>30</v>
      </c>
      <c r="C23" s="16">
        <v>2</v>
      </c>
      <c r="D23" s="76">
        <v>0</v>
      </c>
      <c r="E23" s="76">
        <v>0</v>
      </c>
      <c r="F23" s="76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6">
        <v>48</v>
      </c>
      <c r="C24" s="16">
        <v>2</v>
      </c>
      <c r="D24" s="76">
        <v>0</v>
      </c>
      <c r="E24" s="76">
        <v>0</v>
      </c>
      <c r="F24" s="76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57" t="s">
        <v>65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55">
        <v>0</v>
      </c>
      <c r="E7" s="55">
        <v>0</v>
      </c>
      <c r="F7" s="55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55">
        <v>0</v>
      </c>
      <c r="E8" s="55">
        <v>0</v>
      </c>
      <c r="F8" s="55">
        <v>0</v>
      </c>
      <c r="G8" s="16">
        <f t="shared" ref="G8:G10" si="1">(C8*1000*AVERAGE(D8:F8))/$B$2</f>
        <v>0</v>
      </c>
      <c r="H8" s="19">
        <f t="shared" si="0"/>
        <v>0</v>
      </c>
    </row>
    <row r="9" spans="1:8">
      <c r="A9" s="68">
        <v>1</v>
      </c>
      <c r="B9" s="66">
        <v>2</v>
      </c>
      <c r="C9" s="16">
        <v>2</v>
      </c>
      <c r="D9" s="55">
        <v>0</v>
      </c>
      <c r="E9" s="55">
        <v>0</v>
      </c>
      <c r="F9" s="55">
        <v>0</v>
      </c>
      <c r="G9" s="16">
        <f t="shared" si="1"/>
        <v>0</v>
      </c>
      <c r="H9" s="19">
        <f t="shared" si="0"/>
        <v>0</v>
      </c>
    </row>
    <row r="10" spans="1:8">
      <c r="A10" s="68">
        <v>2</v>
      </c>
      <c r="B10" s="66">
        <v>3.3333333333333335</v>
      </c>
      <c r="C10" s="16">
        <v>2</v>
      </c>
      <c r="D10" s="55">
        <v>1E-3</v>
      </c>
      <c r="E10" s="55">
        <v>1E-3</v>
      </c>
      <c r="F10" s="55">
        <v>2E-3</v>
      </c>
      <c r="G10" s="16">
        <f t="shared" si="1"/>
        <v>5.7933231950177418E-2</v>
      </c>
      <c r="H10" s="19">
        <f t="shared" ref="H10:H23" si="2">(C10*1000*STDEV(D10:F10))/$B$2</f>
        <v>2.5085825296094974E-2</v>
      </c>
    </row>
    <row r="11" spans="1:8">
      <c r="A11" s="68">
        <v>3</v>
      </c>
      <c r="B11" s="66">
        <v>4.666666666666667</v>
      </c>
      <c r="C11" s="16">
        <v>2</v>
      </c>
      <c r="D11" s="55">
        <v>0.01</v>
      </c>
      <c r="E11" s="55">
        <v>8.9999999999999993E-3</v>
      </c>
      <c r="F11" s="55">
        <v>8.9999999999999993E-3</v>
      </c>
      <c r="G11" s="16">
        <f t="shared" ref="G11:G23" si="3">(C11*1000*AVERAGE(D11:F11))/$B$2</f>
        <v>0.40553262365124187</v>
      </c>
      <c r="H11" s="19">
        <f t="shared" si="2"/>
        <v>2.5085825296094988E-2</v>
      </c>
    </row>
    <row r="12" spans="1:8">
      <c r="A12" s="68">
        <v>4</v>
      </c>
      <c r="B12" s="66">
        <v>6</v>
      </c>
      <c r="C12" s="16">
        <v>2</v>
      </c>
      <c r="D12" s="55">
        <v>2.9000000000000001E-2</v>
      </c>
      <c r="E12" s="55">
        <v>2.9000000000000001E-2</v>
      </c>
      <c r="F12" s="55">
        <v>0.03</v>
      </c>
      <c r="G12" s="16">
        <f t="shared" si="3"/>
        <v>1.2745311029039033</v>
      </c>
      <c r="H12" s="19">
        <f t="shared" si="2"/>
        <v>2.5085825296094908E-2</v>
      </c>
    </row>
    <row r="13" spans="1:8">
      <c r="A13" s="68">
        <v>5</v>
      </c>
      <c r="B13" s="66">
        <v>7.333333333333333</v>
      </c>
      <c r="C13" s="16">
        <v>2</v>
      </c>
      <c r="D13" s="55">
        <v>6.7000000000000004E-2</v>
      </c>
      <c r="E13" s="55">
        <v>6.7000000000000004E-2</v>
      </c>
      <c r="F13" s="55">
        <v>6.7000000000000004E-2</v>
      </c>
      <c r="G13" s="16">
        <f t="shared" si="3"/>
        <v>2.9111449054964154</v>
      </c>
      <c r="H13" s="19">
        <f t="shared" si="2"/>
        <v>0</v>
      </c>
    </row>
    <row r="14" spans="1:8">
      <c r="A14" s="68">
        <v>6</v>
      </c>
      <c r="B14" s="66">
        <v>8.6666666666666661</v>
      </c>
      <c r="C14" s="16">
        <v>2</v>
      </c>
      <c r="D14" s="55">
        <v>0.106</v>
      </c>
      <c r="E14" s="55">
        <v>0.109</v>
      </c>
      <c r="F14" s="55">
        <v>0.109</v>
      </c>
      <c r="G14" s="16">
        <f t="shared" si="3"/>
        <v>4.6925917879643713</v>
      </c>
      <c r="H14" s="19">
        <f t="shared" si="2"/>
        <v>7.5257475888284991E-2</v>
      </c>
    </row>
    <row r="15" spans="1:8">
      <c r="A15" s="68">
        <v>7</v>
      </c>
      <c r="B15" s="66">
        <v>10</v>
      </c>
      <c r="C15" s="16">
        <v>2</v>
      </c>
      <c r="D15" s="55">
        <v>0.152</v>
      </c>
      <c r="E15" s="55">
        <v>0.14799999999999999</v>
      </c>
      <c r="F15" s="55">
        <v>0.14799999999999999</v>
      </c>
      <c r="G15" s="16">
        <f t="shared" si="3"/>
        <v>6.48852197841987</v>
      </c>
      <c r="H15" s="19">
        <f t="shared" si="2"/>
        <v>0.10034330118437998</v>
      </c>
    </row>
    <row r="16" spans="1:8">
      <c r="A16" s="68">
        <v>8</v>
      </c>
      <c r="B16" s="66">
        <v>11.333333333333334</v>
      </c>
      <c r="C16" s="16">
        <v>2</v>
      </c>
      <c r="D16" s="55">
        <v>0.17199999999999999</v>
      </c>
      <c r="E16" s="55">
        <v>0.17</v>
      </c>
      <c r="F16" s="55">
        <v>0.17199999999999999</v>
      </c>
      <c r="G16" s="16">
        <f t="shared" si="3"/>
        <v>7.4444203055977987</v>
      </c>
      <c r="H16" s="19">
        <f t="shared" si="2"/>
        <v>5.0171650592189289E-2</v>
      </c>
    </row>
    <row r="17" spans="1:8">
      <c r="A17" s="68">
        <v>9</v>
      </c>
      <c r="B17" s="66">
        <v>12.666666666666666</v>
      </c>
      <c r="C17" s="16">
        <v>2</v>
      </c>
      <c r="D17" s="55">
        <v>0.186</v>
      </c>
      <c r="E17" s="55">
        <v>0.184</v>
      </c>
      <c r="F17" s="55">
        <v>0.185</v>
      </c>
      <c r="G17" s="16">
        <f t="shared" si="3"/>
        <v>8.0382359330871154</v>
      </c>
      <c r="H17" s="19">
        <f t="shared" si="2"/>
        <v>4.34499239626331E-2</v>
      </c>
    </row>
    <row r="18" spans="1:8">
      <c r="A18" s="68">
        <v>10</v>
      </c>
      <c r="B18" s="66">
        <v>14</v>
      </c>
      <c r="C18" s="16">
        <v>2</v>
      </c>
      <c r="D18" s="55">
        <v>0.19800000000000001</v>
      </c>
      <c r="E18" s="55">
        <v>0.19900000000000001</v>
      </c>
      <c r="F18" s="55">
        <v>0.19600000000000001</v>
      </c>
      <c r="G18" s="16">
        <f t="shared" si="3"/>
        <v>8.5886016366138023</v>
      </c>
      <c r="H18" s="19">
        <f t="shared" si="2"/>
        <v>6.6370855166280593E-2</v>
      </c>
    </row>
    <row r="19" spans="1:8">
      <c r="A19" s="68">
        <v>11</v>
      </c>
      <c r="B19" s="66">
        <v>15.333333333333334</v>
      </c>
      <c r="C19" s="16">
        <v>2</v>
      </c>
      <c r="D19" s="55">
        <v>0.20899999999999999</v>
      </c>
      <c r="E19" s="55">
        <v>0.21199999999999999</v>
      </c>
      <c r="F19" s="55">
        <v>0.20799999999999999</v>
      </c>
      <c r="G19" s="16">
        <f t="shared" si="3"/>
        <v>9.1100007241653991</v>
      </c>
      <c r="H19" s="19">
        <f t="shared" si="2"/>
        <v>9.0448229392402116E-2</v>
      </c>
    </row>
    <row r="20" spans="1:8">
      <c r="A20" s="68">
        <v>12</v>
      </c>
      <c r="B20" s="66">
        <v>16.666666666666668</v>
      </c>
      <c r="C20" s="16">
        <v>2</v>
      </c>
      <c r="D20" s="55">
        <v>0.216</v>
      </c>
      <c r="E20" s="55">
        <v>0.218</v>
      </c>
      <c r="F20" s="55">
        <v>0.22</v>
      </c>
      <c r="G20" s="16">
        <f t="shared" si="3"/>
        <v>9.4720834238540075</v>
      </c>
      <c r="H20" s="19">
        <f t="shared" si="2"/>
        <v>8.6899847925266199E-2</v>
      </c>
    </row>
    <row r="21" spans="1:8">
      <c r="A21" s="68">
        <v>13</v>
      </c>
      <c r="B21" s="66">
        <v>18</v>
      </c>
      <c r="C21" s="16">
        <v>2</v>
      </c>
      <c r="D21" s="55">
        <v>0.219</v>
      </c>
      <c r="E21" s="55">
        <v>0.221</v>
      </c>
      <c r="F21" s="55">
        <v>0.218</v>
      </c>
      <c r="G21" s="16">
        <f t="shared" si="3"/>
        <v>9.5300166558041859</v>
      </c>
      <c r="H21" s="19">
        <f t="shared" si="2"/>
        <v>6.6370855166280607E-2</v>
      </c>
    </row>
    <row r="22" spans="1:8">
      <c r="A22" s="68">
        <v>14</v>
      </c>
      <c r="B22" s="66">
        <v>24</v>
      </c>
      <c r="C22" s="16">
        <v>2</v>
      </c>
      <c r="D22" s="55">
        <v>0.20699999999999999</v>
      </c>
      <c r="E22" s="55">
        <v>0.21099999999999999</v>
      </c>
      <c r="F22" s="55">
        <v>0.21099999999999999</v>
      </c>
      <c r="G22" s="16">
        <f t="shared" si="3"/>
        <v>9.1100007241653991</v>
      </c>
      <c r="H22" s="19">
        <f t="shared" si="2"/>
        <v>0.10034330118437998</v>
      </c>
    </row>
    <row r="23" spans="1:8">
      <c r="A23" s="68">
        <v>15</v>
      </c>
      <c r="B23" s="66">
        <v>30</v>
      </c>
      <c r="C23" s="16">
        <v>2</v>
      </c>
      <c r="D23" s="55">
        <v>0.218</v>
      </c>
      <c r="E23" s="55">
        <v>0.215</v>
      </c>
      <c r="F23" s="55">
        <v>0.216</v>
      </c>
      <c r="G23" s="16">
        <f t="shared" si="3"/>
        <v>9.3996668839162858</v>
      </c>
      <c r="H23" s="19">
        <f t="shared" si="2"/>
        <v>6.6370855166280607E-2</v>
      </c>
    </row>
    <row r="24" spans="1:8">
      <c r="A24" s="68">
        <v>16</v>
      </c>
      <c r="B24" s="66">
        <v>48</v>
      </c>
      <c r="C24" s="16">
        <v>2</v>
      </c>
      <c r="D24" s="55">
        <v>0.20100000000000001</v>
      </c>
      <c r="E24" s="55">
        <v>0.21</v>
      </c>
      <c r="F24" s="55">
        <v>0.21</v>
      </c>
      <c r="G24" s="16">
        <f t="shared" ref="G24" si="4">(C24*1000*AVERAGE(D24:F24))/$B$2</f>
        <v>8.994134260265044</v>
      </c>
      <c r="H24" s="19">
        <f t="shared" ref="H24" si="5">(C24*1000*STDEV(D24:F24))/$B$2</f>
        <v>0.22577242766485425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57" t="s">
        <v>43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19">
        <v>1.5109999999999999</v>
      </c>
      <c r="E7" s="19">
        <v>1.532</v>
      </c>
      <c r="F7" s="19">
        <v>1.5169999999999999</v>
      </c>
      <c r="G7" s="16">
        <f>(C7*1000*AVERAGE(D7:F7))/$B$2</f>
        <v>50.624479600333068</v>
      </c>
      <c r="H7" s="19">
        <f>(C7*1000*STDEV(D7:F7))/$B$2</f>
        <v>0.36025491511713698</v>
      </c>
    </row>
    <row r="8" spans="1:8">
      <c r="A8" s="68">
        <v>0</v>
      </c>
      <c r="B8" s="66">
        <v>0.16666666666666666</v>
      </c>
      <c r="C8" s="16">
        <v>2</v>
      </c>
      <c r="D8" s="19">
        <v>1.4610000000000001</v>
      </c>
      <c r="E8" s="19">
        <v>1.46</v>
      </c>
      <c r="F8" s="19">
        <v>1.448</v>
      </c>
      <c r="G8" s="16">
        <f t="shared" ref="G8:G17" si="0">(C8*1000*AVERAGE(D8:F8))/$B$2</f>
        <v>48.504024424091035</v>
      </c>
      <c r="H8" s="19">
        <f t="shared" ref="H8:H17" si="1">(C8*1000*STDEV(D8:F8))/$B$2</f>
        <v>0.24093848919468033</v>
      </c>
    </row>
    <row r="9" spans="1:8">
      <c r="A9" s="68">
        <v>1</v>
      </c>
      <c r="B9" s="66">
        <v>2</v>
      </c>
      <c r="C9" s="16">
        <v>2</v>
      </c>
      <c r="D9" s="19">
        <v>1.47</v>
      </c>
      <c r="E9" s="19">
        <v>1.4650000000000001</v>
      </c>
      <c r="F9" s="19">
        <v>1.4490000000000001</v>
      </c>
      <c r="G9" s="16">
        <f t="shared" si="0"/>
        <v>48.670552317513192</v>
      </c>
      <c r="H9" s="19">
        <f t="shared" si="1"/>
        <v>0.36535071156046145</v>
      </c>
    </row>
    <row r="10" spans="1:8">
      <c r="A10" s="68">
        <v>2</v>
      </c>
      <c r="B10" s="66">
        <v>3.3333333333333335</v>
      </c>
      <c r="C10" s="16">
        <v>2</v>
      </c>
      <c r="D10" s="19">
        <v>1.4419999999999999</v>
      </c>
      <c r="E10" s="19">
        <v>1.4379999999999999</v>
      </c>
      <c r="F10" s="19">
        <v>1.4410000000000001</v>
      </c>
      <c r="G10" s="16">
        <f t="shared" si="0"/>
        <v>47.971135165140161</v>
      </c>
      <c r="H10" s="19">
        <f t="shared" si="1"/>
        <v>6.9331090739921816E-2</v>
      </c>
    </row>
    <row r="11" spans="1:8">
      <c r="A11" s="68">
        <v>3</v>
      </c>
      <c r="B11" s="66">
        <v>4.666666666666667</v>
      </c>
      <c r="C11" s="16">
        <v>2</v>
      </c>
      <c r="D11" s="19">
        <v>1.452</v>
      </c>
      <c r="E11" s="19">
        <v>1.4490000000000001</v>
      </c>
      <c r="F11" s="19">
        <v>1.448</v>
      </c>
      <c r="G11" s="16">
        <f t="shared" si="0"/>
        <v>48.281987232861511</v>
      </c>
      <c r="H11" s="19">
        <f t="shared" si="1"/>
        <v>6.9331090739920637E-2</v>
      </c>
    </row>
    <row r="12" spans="1:8">
      <c r="A12" s="68">
        <v>4</v>
      </c>
      <c r="B12" s="66">
        <v>6</v>
      </c>
      <c r="C12" s="16">
        <v>2</v>
      </c>
      <c r="D12" s="19">
        <v>1.329</v>
      </c>
      <c r="E12" s="19">
        <v>1.361</v>
      </c>
      <c r="F12" s="19">
        <v>1.3640000000000001</v>
      </c>
      <c r="G12" s="16">
        <f t="shared" si="0"/>
        <v>45.006938662225927</v>
      </c>
      <c r="H12" s="19">
        <f t="shared" si="1"/>
        <v>0.64610533564036654</v>
      </c>
    </row>
    <row r="13" spans="1:8">
      <c r="A13" s="68">
        <v>5</v>
      </c>
      <c r="B13" s="66">
        <v>7.333333333333333</v>
      </c>
      <c r="C13" s="16">
        <v>2</v>
      </c>
      <c r="D13" s="19">
        <v>1.266</v>
      </c>
      <c r="E13" s="19">
        <v>1.258</v>
      </c>
      <c r="F13" s="19">
        <v>1.2669999999999999</v>
      </c>
      <c r="G13" s="16">
        <f t="shared" si="0"/>
        <v>42.087149597557598</v>
      </c>
      <c r="H13" s="19">
        <f t="shared" si="1"/>
        <v>0.16429251831194716</v>
      </c>
    </row>
    <row r="14" spans="1:8">
      <c r="A14" s="68">
        <v>6</v>
      </c>
      <c r="B14" s="66">
        <v>8.6666666666666661</v>
      </c>
      <c r="C14" s="16">
        <v>2</v>
      </c>
      <c r="D14" s="19">
        <v>1.2</v>
      </c>
      <c r="E14" s="19">
        <v>1.2010000000000001</v>
      </c>
      <c r="F14" s="19">
        <v>1.1930000000000001</v>
      </c>
      <c r="G14" s="16">
        <f t="shared" si="0"/>
        <v>39.900083263946712</v>
      </c>
      <c r="H14" s="19">
        <f t="shared" si="1"/>
        <v>0.14517565174157043</v>
      </c>
    </row>
    <row r="15" spans="1:8">
      <c r="A15" s="68">
        <v>7</v>
      </c>
      <c r="B15" s="66">
        <v>10</v>
      </c>
      <c r="C15" s="16">
        <v>2</v>
      </c>
      <c r="D15" s="19">
        <v>1.181</v>
      </c>
      <c r="E15" s="19">
        <v>1.177</v>
      </c>
      <c r="F15" s="19">
        <v>1.161</v>
      </c>
      <c r="G15" s="16">
        <f t="shared" si="0"/>
        <v>39.067443796835974</v>
      </c>
      <c r="H15" s="19">
        <f t="shared" si="1"/>
        <v>0.35247311388037877</v>
      </c>
    </row>
    <row r="16" spans="1:8">
      <c r="A16" s="68">
        <v>8</v>
      </c>
      <c r="B16" s="66">
        <v>11.333333333333334</v>
      </c>
      <c r="C16" s="16">
        <v>2</v>
      </c>
      <c r="D16" s="19">
        <v>1.0940000000000001</v>
      </c>
      <c r="E16" s="19">
        <v>1.1000000000000001</v>
      </c>
      <c r="F16" s="19">
        <v>1.095</v>
      </c>
      <c r="G16" s="16">
        <f t="shared" si="0"/>
        <v>36.514016097696363</v>
      </c>
      <c r="H16" s="19">
        <f t="shared" si="1"/>
        <v>0.10706245640847109</v>
      </c>
    </row>
    <row r="17" spans="1:8">
      <c r="A17" s="68">
        <v>9</v>
      </c>
      <c r="B17" s="66">
        <v>12.666666666666666</v>
      </c>
      <c r="C17" s="16">
        <v>2</v>
      </c>
      <c r="D17" s="19">
        <v>1.0269999999999999</v>
      </c>
      <c r="E17" s="19">
        <v>1.0209999999999999</v>
      </c>
      <c r="F17" s="19">
        <v>1.0129999999999999</v>
      </c>
      <c r="G17" s="16">
        <f t="shared" si="0"/>
        <v>33.982792117679708</v>
      </c>
      <c r="H17" s="19">
        <f t="shared" si="1"/>
        <v>0.23393069670502914</v>
      </c>
    </row>
    <row r="18" spans="1:8">
      <c r="A18" s="68">
        <v>10</v>
      </c>
      <c r="B18" s="66">
        <v>14</v>
      </c>
      <c r="C18" s="16">
        <v>2</v>
      </c>
      <c r="D18" s="19">
        <v>0.97799999999999998</v>
      </c>
      <c r="E18" s="19">
        <v>0.998</v>
      </c>
      <c r="F18" s="19">
        <v>0.97199999999999998</v>
      </c>
      <c r="G18" s="16">
        <f t="shared" ref="G18:G23" si="2">(C18*1000*AVERAGE(D18:F18))/$B$2</f>
        <v>32.728281987232869</v>
      </c>
      <c r="H18" s="19">
        <f t="shared" ref="H18:H23" si="3">(C18*1000*STDEV(D18:F18))/$B$2</f>
        <v>0.45341277505772204</v>
      </c>
    </row>
    <row r="19" spans="1:8">
      <c r="A19" s="68">
        <v>11</v>
      </c>
      <c r="B19" s="66">
        <v>15.333333333333334</v>
      </c>
      <c r="C19" s="16">
        <v>2</v>
      </c>
      <c r="D19" s="19">
        <v>0.95899999999999996</v>
      </c>
      <c r="E19" s="19">
        <v>0.96699999999999997</v>
      </c>
      <c r="F19" s="19">
        <v>0.96799999999999997</v>
      </c>
      <c r="G19" s="16">
        <f t="shared" si="2"/>
        <v>32.128781570913127</v>
      </c>
      <c r="H19" s="19">
        <f t="shared" si="3"/>
        <v>0.16429251831194844</v>
      </c>
    </row>
    <row r="20" spans="1:8">
      <c r="A20" s="68">
        <v>12</v>
      </c>
      <c r="B20" s="66">
        <v>16.666666666666668</v>
      </c>
      <c r="C20" s="16">
        <v>2</v>
      </c>
      <c r="D20" s="19">
        <v>0.95399999999999996</v>
      </c>
      <c r="E20" s="19">
        <v>0.96399999999999997</v>
      </c>
      <c r="F20" s="19">
        <v>0.96699999999999997</v>
      </c>
      <c r="G20" s="16">
        <f t="shared" si="2"/>
        <v>32.028864834859839</v>
      </c>
      <c r="H20" s="19">
        <f t="shared" si="3"/>
        <v>0.22670638752886102</v>
      </c>
    </row>
    <row r="21" spans="1:8">
      <c r="A21" s="68">
        <v>13</v>
      </c>
      <c r="B21" s="66">
        <v>18</v>
      </c>
      <c r="C21" s="16">
        <v>2</v>
      </c>
      <c r="D21" s="19">
        <v>0.94399999999999995</v>
      </c>
      <c r="E21" s="19">
        <v>0.94499999999999995</v>
      </c>
      <c r="F21" s="19">
        <v>0.94699999999999995</v>
      </c>
      <c r="G21" s="16">
        <f t="shared" si="2"/>
        <v>31.484873716347487</v>
      </c>
      <c r="H21" s="19">
        <f t="shared" si="3"/>
        <v>5.0875111795235572E-2</v>
      </c>
    </row>
    <row r="22" spans="1:8">
      <c r="A22" s="68">
        <v>14</v>
      </c>
      <c r="B22" s="66">
        <v>24</v>
      </c>
      <c r="C22" s="16">
        <v>2</v>
      </c>
      <c r="D22" s="19">
        <v>0.91900000000000004</v>
      </c>
      <c r="E22" s="19">
        <v>0.93799999999999994</v>
      </c>
      <c r="F22" s="19">
        <v>0.93600000000000005</v>
      </c>
      <c r="G22" s="16">
        <f t="shared" si="2"/>
        <v>31.007493755203999</v>
      </c>
      <c r="H22" s="19">
        <f t="shared" si="3"/>
        <v>0.34772044992208229</v>
      </c>
    </row>
    <row r="23" spans="1:8">
      <c r="A23" s="68">
        <v>15</v>
      </c>
      <c r="B23" s="66">
        <v>30</v>
      </c>
      <c r="C23" s="16">
        <v>2</v>
      </c>
      <c r="D23" s="19">
        <v>0.98199999999999998</v>
      </c>
      <c r="E23" s="19">
        <v>0.97899999999999998</v>
      </c>
      <c r="F23" s="19">
        <v>0.97499999999999998</v>
      </c>
      <c r="G23" s="16">
        <f t="shared" si="2"/>
        <v>32.595059672495147</v>
      </c>
      <c r="H23" s="19">
        <f t="shared" si="3"/>
        <v>0.11696534835251457</v>
      </c>
    </row>
    <row r="24" spans="1:8">
      <c r="A24" s="68">
        <v>16</v>
      </c>
      <c r="B24" s="66">
        <v>48</v>
      </c>
      <c r="C24" s="16">
        <v>2</v>
      </c>
      <c r="D24" s="19">
        <v>0.91200000000000003</v>
      </c>
      <c r="E24" s="19">
        <v>0.93799999999999994</v>
      </c>
      <c r="F24" s="19">
        <v>0.94</v>
      </c>
      <c r="G24" s="16">
        <f t="shared" ref="G24" si="4">(C24*1000*AVERAGE(D24:F24))/$B$2</f>
        <v>30.974188176519569</v>
      </c>
      <c r="H24" s="19">
        <f t="shared" ref="H24" si="5">(C24*1000*STDEV(D24:F24))/$B$2</f>
        <v>0.52024977025189867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57" t="s">
        <v>67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57" t="s">
        <v>66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82">
        <v>7.0000000000000001E-3</v>
      </c>
      <c r="E7" s="83">
        <v>6.0000000000000001E-3</v>
      </c>
      <c r="F7" s="83">
        <v>3.0000000000000001E-3</v>
      </c>
      <c r="G7" s="16">
        <f>(C7*1000*AVERAGE(D7:F7))/$B$2</f>
        <v>0.12106079521809858</v>
      </c>
      <c r="H7" s="19">
        <f>(C7*1000*STDEV(D7:F7))/$B$2</f>
        <v>4.72515264888465E-2</v>
      </c>
    </row>
    <row r="8" spans="1:8">
      <c r="A8" s="68">
        <v>0</v>
      </c>
      <c r="B8" s="66">
        <v>0.16666666666666666</v>
      </c>
      <c r="C8" s="16">
        <v>2</v>
      </c>
      <c r="D8" s="56">
        <v>9.5000000000000001E-2</v>
      </c>
      <c r="E8" s="57">
        <v>9.2999999999999999E-2</v>
      </c>
      <c r="F8" s="57">
        <v>9.6000000000000002E-2</v>
      </c>
      <c r="G8" s="16">
        <f>(C8*1000*AVERAGE(D8:F8))/$B$2</f>
        <v>2.14882911512125</v>
      </c>
      <c r="H8" s="19">
        <f t="shared" ref="H8:H17" si="0">(C8*1000*STDEV(D8:F8))/$B$2</f>
        <v>3.4673141111155326E-2</v>
      </c>
    </row>
    <row r="9" spans="1:8">
      <c r="A9" s="68">
        <v>1</v>
      </c>
      <c r="B9" s="66">
        <v>2</v>
      </c>
      <c r="C9" s="16">
        <v>2</v>
      </c>
      <c r="D9" s="56">
        <v>0.13800000000000001</v>
      </c>
      <c r="E9" s="57">
        <v>0.13200000000000001</v>
      </c>
      <c r="F9" s="57">
        <v>0.13200000000000001</v>
      </c>
      <c r="G9" s="16">
        <f t="shared" ref="G9:G17" si="1">(C9*1000*AVERAGE(D9:F9))/$B$2</f>
        <v>3.0416524798547271</v>
      </c>
      <c r="H9" s="19">
        <f t="shared" si="0"/>
        <v>7.8631293045914388E-2</v>
      </c>
    </row>
    <row r="10" spans="1:8">
      <c r="A10" s="68">
        <v>2</v>
      </c>
      <c r="B10" s="66">
        <v>3.3333333333333335</v>
      </c>
      <c r="C10" s="16">
        <v>2</v>
      </c>
      <c r="D10" s="55">
        <v>0.186</v>
      </c>
      <c r="E10" s="55">
        <v>0.184</v>
      </c>
      <c r="F10" s="55">
        <v>0.186</v>
      </c>
      <c r="G10" s="16">
        <f t="shared" si="1"/>
        <v>4.2068626338289263</v>
      </c>
      <c r="H10" s="19">
        <f t="shared" si="0"/>
        <v>2.6210431015304791E-2</v>
      </c>
    </row>
    <row r="11" spans="1:8">
      <c r="A11" s="68">
        <v>3</v>
      </c>
      <c r="B11" s="66">
        <v>4.666666666666667</v>
      </c>
      <c r="C11" s="16">
        <v>2</v>
      </c>
      <c r="D11" s="55">
        <v>0.29299999999999998</v>
      </c>
      <c r="E11" s="55">
        <v>0.29299999999999998</v>
      </c>
      <c r="F11" s="55">
        <v>0.29199999999999998</v>
      </c>
      <c r="G11" s="16">
        <f t="shared" si="1"/>
        <v>6.6432111375931591</v>
      </c>
      <c r="H11" s="19">
        <f t="shared" si="0"/>
        <v>1.3105215507652396E-2</v>
      </c>
    </row>
    <row r="12" spans="1:8">
      <c r="A12" s="68">
        <v>4</v>
      </c>
      <c r="B12" s="66">
        <v>6</v>
      </c>
      <c r="C12" s="16">
        <v>2</v>
      </c>
      <c r="D12" s="55">
        <v>0.46800000000000003</v>
      </c>
      <c r="E12" s="55">
        <v>0.48499999999999999</v>
      </c>
      <c r="F12" s="55">
        <v>0.48099999999999998</v>
      </c>
      <c r="G12" s="16">
        <f t="shared" si="1"/>
        <v>10.850073771422087</v>
      </c>
      <c r="H12" s="19">
        <f t="shared" si="0"/>
        <v>0.20175222828999129</v>
      </c>
    </row>
    <row r="13" spans="1:8">
      <c r="A13" s="68">
        <v>5</v>
      </c>
      <c r="B13" s="66">
        <v>7.333333333333333</v>
      </c>
      <c r="C13" s="16">
        <v>2</v>
      </c>
      <c r="D13" s="58">
        <v>0.745</v>
      </c>
      <c r="E13" s="58">
        <v>0.748</v>
      </c>
      <c r="F13" s="58">
        <v>0.747</v>
      </c>
      <c r="G13" s="16">
        <f t="shared" si="1"/>
        <v>16.948511330533801</v>
      </c>
      <c r="H13" s="19">
        <f t="shared" si="0"/>
        <v>3.4673141111155333E-2</v>
      </c>
    </row>
    <row r="14" spans="1:8">
      <c r="A14" s="68">
        <v>6</v>
      </c>
      <c r="B14" s="66">
        <v>8.6666666666666661</v>
      </c>
      <c r="C14" s="16">
        <v>2</v>
      </c>
      <c r="D14" s="58">
        <v>1.0189999999999999</v>
      </c>
      <c r="E14" s="58">
        <v>1.024</v>
      </c>
      <c r="F14" s="58">
        <v>1.0229999999999999</v>
      </c>
      <c r="G14" s="16">
        <f t="shared" si="1"/>
        <v>23.198274883668141</v>
      </c>
      <c r="H14" s="19">
        <f t="shared" si="0"/>
        <v>6.0055642062527184E-2</v>
      </c>
    </row>
    <row r="15" spans="1:8">
      <c r="A15" s="68">
        <v>7</v>
      </c>
      <c r="B15" s="66">
        <v>10</v>
      </c>
      <c r="C15" s="16">
        <v>2</v>
      </c>
      <c r="D15" s="58">
        <v>1.3380000000000001</v>
      </c>
      <c r="E15" s="58">
        <v>1.3320000000000001</v>
      </c>
      <c r="F15" s="58">
        <v>1.321</v>
      </c>
      <c r="G15" s="16">
        <f t="shared" si="1"/>
        <v>30.197102107214466</v>
      </c>
      <c r="H15" s="19">
        <f t="shared" si="0"/>
        <v>0.1957026013903479</v>
      </c>
    </row>
    <row r="16" spans="1:8">
      <c r="A16" s="68">
        <v>8</v>
      </c>
      <c r="B16" s="66">
        <v>11.333333333333334</v>
      </c>
      <c r="C16" s="16">
        <v>2</v>
      </c>
      <c r="D16" s="58">
        <v>1.514</v>
      </c>
      <c r="E16" s="58">
        <v>1.5209999999999999</v>
      </c>
      <c r="F16" s="58">
        <v>1.5209999999999999</v>
      </c>
      <c r="G16" s="16">
        <f t="shared" si="1"/>
        <v>34.47206143835357</v>
      </c>
      <c r="H16" s="19">
        <f t="shared" si="0"/>
        <v>9.1736508553565299E-2</v>
      </c>
    </row>
    <row r="17" spans="1:8">
      <c r="A17" s="68">
        <v>9</v>
      </c>
      <c r="B17" s="66">
        <v>12.666666666666666</v>
      </c>
      <c r="C17" s="16">
        <v>2</v>
      </c>
      <c r="D17" s="58">
        <v>1.708</v>
      </c>
      <c r="E17" s="58">
        <v>1.7</v>
      </c>
      <c r="F17" s="58">
        <v>1.6950000000000001</v>
      </c>
      <c r="G17" s="16">
        <f t="shared" si="1"/>
        <v>38.610827374872315</v>
      </c>
      <c r="H17" s="19">
        <f t="shared" si="0"/>
        <v>0.14884663543983556</v>
      </c>
    </row>
    <row r="18" spans="1:8">
      <c r="A18" s="68">
        <v>10</v>
      </c>
      <c r="B18" s="66">
        <v>14</v>
      </c>
      <c r="C18" s="16">
        <v>2</v>
      </c>
      <c r="D18" s="58">
        <v>1.8759999999999999</v>
      </c>
      <c r="E18" s="58">
        <v>1.9</v>
      </c>
      <c r="F18" s="58">
        <v>1.86</v>
      </c>
      <c r="G18" s="16">
        <f t="shared" ref="G18:G23" si="2">(C18*1000*AVERAGE(D18:F18))/$B$2</f>
        <v>42.643665115575232</v>
      </c>
      <c r="H18" s="19">
        <f t="shared" ref="H18:H23" si="3">(C18*1000*STDEV(D18:F18))/$B$2</f>
        <v>0.45699448024942868</v>
      </c>
    </row>
    <row r="19" spans="1:8">
      <c r="A19" s="68">
        <v>11</v>
      </c>
      <c r="B19" s="66">
        <v>15.333333333333334</v>
      </c>
      <c r="C19" s="16">
        <v>2</v>
      </c>
      <c r="D19" s="58">
        <v>2.0779999999999998</v>
      </c>
      <c r="E19" s="58">
        <v>2.0910000000000002</v>
      </c>
      <c r="F19" s="58">
        <v>2.077</v>
      </c>
      <c r="G19" s="16">
        <f t="shared" si="2"/>
        <v>47.259107933265248</v>
      </c>
      <c r="H19" s="19">
        <f t="shared" si="3"/>
        <v>0.17728406936572053</v>
      </c>
    </row>
    <row r="20" spans="1:8">
      <c r="A20" s="68">
        <v>12</v>
      </c>
      <c r="B20" s="66">
        <v>16.666666666666668</v>
      </c>
      <c r="C20" s="16">
        <v>2</v>
      </c>
      <c r="D20" s="58">
        <v>2.2210000000000001</v>
      </c>
      <c r="E20" s="58">
        <v>2.2330000000000001</v>
      </c>
      <c r="F20" s="58">
        <v>2.254</v>
      </c>
      <c r="G20" s="16">
        <f t="shared" si="2"/>
        <v>50.754738395187836</v>
      </c>
      <c r="H20" s="19">
        <f t="shared" si="3"/>
        <v>0.37914636451004474</v>
      </c>
    </row>
    <row r="21" spans="1:8">
      <c r="A21" s="68">
        <v>13</v>
      </c>
      <c r="B21" s="66">
        <v>18</v>
      </c>
      <c r="C21" s="16">
        <v>2</v>
      </c>
      <c r="D21" s="58">
        <v>2.343</v>
      </c>
      <c r="E21" s="58">
        <v>2.3450000000000002</v>
      </c>
      <c r="F21" s="58">
        <v>2.3420000000000001</v>
      </c>
      <c r="G21" s="16">
        <f t="shared" si="2"/>
        <v>53.191086898952079</v>
      </c>
      <c r="H21" s="19">
        <f t="shared" si="3"/>
        <v>3.4673141111156977E-2</v>
      </c>
    </row>
    <row r="22" spans="1:8">
      <c r="A22" s="68">
        <v>14</v>
      </c>
      <c r="B22" s="66">
        <v>24</v>
      </c>
      <c r="C22" s="16">
        <v>2</v>
      </c>
      <c r="D22" s="58">
        <v>2.3370000000000002</v>
      </c>
      <c r="E22" s="58">
        <v>2.3780000000000001</v>
      </c>
      <c r="F22" s="58">
        <v>2.3780000000000001</v>
      </c>
      <c r="G22" s="16">
        <f t="shared" si="2"/>
        <v>53.667763780123323</v>
      </c>
      <c r="H22" s="19">
        <f t="shared" si="3"/>
        <v>0.5373138358137467</v>
      </c>
    </row>
    <row r="23" spans="1:8">
      <c r="A23" s="68">
        <v>15</v>
      </c>
      <c r="B23" s="66">
        <v>30</v>
      </c>
      <c r="C23" s="16">
        <v>2</v>
      </c>
      <c r="D23" s="58">
        <v>2.5230000000000001</v>
      </c>
      <c r="E23" s="58">
        <v>2.5190000000000001</v>
      </c>
      <c r="F23" s="58">
        <v>2.5070000000000001</v>
      </c>
      <c r="G23" s="16">
        <f t="shared" si="2"/>
        <v>57.117996443839147</v>
      </c>
      <c r="H23" s="19">
        <f t="shared" si="3"/>
        <v>0.18900610595538622</v>
      </c>
    </row>
    <row r="24" spans="1:8">
      <c r="A24" s="68">
        <v>16</v>
      </c>
      <c r="B24" s="66">
        <v>48</v>
      </c>
      <c r="C24" s="16">
        <v>2</v>
      </c>
      <c r="D24" s="58">
        <v>2.5110000000000001</v>
      </c>
      <c r="E24" s="58">
        <v>2.6040000000000001</v>
      </c>
      <c r="F24" s="58">
        <v>2.5950000000000002</v>
      </c>
      <c r="G24" s="16">
        <f t="shared" ref="G24" si="4">(C24*1000*AVERAGE(D24:F24))/$B$2</f>
        <v>58.336170695721265</v>
      </c>
      <c r="H24" s="19">
        <f t="shared" ref="H24" si="5">(C24*1000*STDEV(D24:F24))/$B$2</f>
        <v>1.164300860581742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0" t="s">
        <v>4</v>
      </c>
      <c r="B1" s="130" t="s">
        <v>117</v>
      </c>
      <c r="C1" s="130" t="s">
        <v>117</v>
      </c>
      <c r="D1" s="130" t="s">
        <v>5</v>
      </c>
      <c r="E1" s="4" t="s">
        <v>7</v>
      </c>
      <c r="F1" s="4" t="s">
        <v>9</v>
      </c>
      <c r="G1" s="129" t="s">
        <v>11</v>
      </c>
      <c r="H1" s="129" t="s">
        <v>12</v>
      </c>
      <c r="I1" s="4" t="s">
        <v>13</v>
      </c>
      <c r="J1" s="4" t="s">
        <v>16</v>
      </c>
      <c r="K1" s="4" t="s">
        <v>16</v>
      </c>
    </row>
    <row r="2" spans="1:11">
      <c r="A2" s="131"/>
      <c r="B2" s="131"/>
      <c r="C2" s="131"/>
      <c r="D2" s="131"/>
      <c r="E2" s="5" t="s">
        <v>8</v>
      </c>
      <c r="F2" s="5" t="s">
        <v>10</v>
      </c>
      <c r="G2" s="129"/>
      <c r="H2" s="129"/>
      <c r="I2" s="5" t="s">
        <v>14</v>
      </c>
      <c r="J2" s="5" t="s">
        <v>17</v>
      </c>
      <c r="K2" s="5" t="s">
        <v>143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53</v>
      </c>
      <c r="F3" s="1">
        <f>E3</f>
        <v>53</v>
      </c>
      <c r="G3" s="1">
        <v>9</v>
      </c>
      <c r="H3" s="1">
        <v>0</v>
      </c>
      <c r="I3" s="1">
        <f>$F$22+G3+H3</f>
        <v>1509</v>
      </c>
      <c r="J3" s="13">
        <f>F3*1500/I3</f>
        <v>52.683896620278333</v>
      </c>
      <c r="K3" s="13">
        <f>$F$23-J3</f>
        <v>1597.3161033797217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>
        <v>45</v>
      </c>
      <c r="F4" s="1">
        <f>E4+F3</f>
        <v>98</v>
      </c>
      <c r="G4" s="40">
        <v>11</v>
      </c>
      <c r="H4" s="40">
        <v>0</v>
      </c>
      <c r="I4" s="1">
        <f t="shared" ref="I4:I20" si="1">$F$23-F3+G4+H4</f>
        <v>1608</v>
      </c>
      <c r="J4" s="13">
        <f>E4*K3/I4</f>
        <v>44.701010355775793</v>
      </c>
      <c r="K4" s="13">
        <f>K3-J4</f>
        <v>1552.615093023946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46</v>
      </c>
      <c r="F5" s="1">
        <f t="shared" ref="F5:F18" si="2">E5+F4</f>
        <v>144</v>
      </c>
      <c r="G5" s="40">
        <v>13</v>
      </c>
      <c r="H5" s="40">
        <v>0</v>
      </c>
      <c r="I5" s="40">
        <f t="shared" si="1"/>
        <v>1565</v>
      </c>
      <c r="J5" s="13">
        <f t="shared" ref="J5:J13" si="3">E5*K4/I5</f>
        <v>45.635970785368379</v>
      </c>
      <c r="K5" s="13">
        <f>K4-J5</f>
        <v>1506.9791222385777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45</v>
      </c>
      <c r="F6" s="1">
        <f t="shared" si="2"/>
        <v>189</v>
      </c>
      <c r="G6" s="40">
        <v>16</v>
      </c>
      <c r="H6" s="40">
        <v>0</v>
      </c>
      <c r="I6" s="40">
        <f t="shared" si="1"/>
        <v>1522</v>
      </c>
      <c r="J6" s="13">
        <f>E6*K5/I6</f>
        <v>44.555887319800263</v>
      </c>
      <c r="K6" s="13">
        <f t="shared" ref="K6:K13" si="4">K5-J6</f>
        <v>1462.4232349187773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40</v>
      </c>
      <c r="F7" s="1">
        <f t="shared" si="2"/>
        <v>229</v>
      </c>
      <c r="G7" s="40">
        <v>20</v>
      </c>
      <c r="H7" s="40">
        <v>0</v>
      </c>
      <c r="I7" s="40">
        <f t="shared" si="1"/>
        <v>1481</v>
      </c>
      <c r="J7" s="13">
        <f>E7*K6/I7</f>
        <v>39.498264278697562</v>
      </c>
      <c r="K7" s="13">
        <f>K6-J7</f>
        <v>1422.9249706400797</v>
      </c>
    </row>
    <row r="8" spans="1:11">
      <c r="A8" s="1">
        <v>4</v>
      </c>
      <c r="B8" s="32">
        <v>80</v>
      </c>
      <c r="C8" s="32">
        <f t="shared" ref="C8:C18" si="5">C7+B8</f>
        <v>360</v>
      </c>
      <c r="D8" s="13">
        <f t="shared" si="0"/>
        <v>6</v>
      </c>
      <c r="E8" s="1">
        <v>37</v>
      </c>
      <c r="F8" s="1">
        <f t="shared" si="2"/>
        <v>266</v>
      </c>
      <c r="G8" s="40">
        <v>27</v>
      </c>
      <c r="H8" s="40">
        <v>0</v>
      </c>
      <c r="I8" s="40">
        <f t="shared" si="1"/>
        <v>1448</v>
      </c>
      <c r="J8" s="13">
        <f t="shared" si="3"/>
        <v>36.359270658620815</v>
      </c>
      <c r="K8" s="13">
        <f t="shared" si="4"/>
        <v>1386.5656999814589</v>
      </c>
    </row>
    <row r="9" spans="1:11">
      <c r="A9" s="1">
        <v>5</v>
      </c>
      <c r="B9" s="32">
        <v>80</v>
      </c>
      <c r="C9" s="32">
        <f t="shared" si="5"/>
        <v>440</v>
      </c>
      <c r="D9" s="13">
        <f t="shared" si="0"/>
        <v>7.333333333333333</v>
      </c>
      <c r="E9" s="1">
        <v>47</v>
      </c>
      <c r="F9" s="1">
        <f t="shared" si="2"/>
        <v>313</v>
      </c>
      <c r="G9" s="40">
        <v>35</v>
      </c>
      <c r="H9" s="40">
        <v>0</v>
      </c>
      <c r="I9" s="40">
        <f t="shared" si="1"/>
        <v>1419</v>
      </c>
      <c r="J9" s="13">
        <f t="shared" si="3"/>
        <v>45.925713811929931</v>
      </c>
      <c r="K9" s="13">
        <f t="shared" si="4"/>
        <v>1340.639986169529</v>
      </c>
    </row>
    <row r="10" spans="1:11">
      <c r="A10" s="1">
        <v>6</v>
      </c>
      <c r="B10" s="32">
        <v>80</v>
      </c>
      <c r="C10" s="32">
        <f t="shared" si="5"/>
        <v>520</v>
      </c>
      <c r="D10" s="13">
        <f t="shared" si="0"/>
        <v>8.6666666666666661</v>
      </c>
      <c r="E10" s="1">
        <v>38</v>
      </c>
      <c r="F10" s="1">
        <f t="shared" si="2"/>
        <v>351</v>
      </c>
      <c r="G10" s="40">
        <v>41</v>
      </c>
      <c r="H10" s="40">
        <v>0</v>
      </c>
      <c r="I10" s="40">
        <f t="shared" si="1"/>
        <v>1378</v>
      </c>
      <c r="J10" s="13">
        <f t="shared" si="3"/>
        <v>36.969752884210529</v>
      </c>
      <c r="K10" s="13">
        <f t="shared" si="4"/>
        <v>1303.6702332853185</v>
      </c>
    </row>
    <row r="11" spans="1:11">
      <c r="A11" s="1">
        <v>7</v>
      </c>
      <c r="B11" s="32">
        <v>80</v>
      </c>
      <c r="C11" s="32">
        <f t="shared" si="5"/>
        <v>600</v>
      </c>
      <c r="D11" s="13">
        <f t="shared" si="0"/>
        <v>10</v>
      </c>
      <c r="E11" s="1">
        <v>45</v>
      </c>
      <c r="F11" s="1">
        <f t="shared" si="2"/>
        <v>396</v>
      </c>
      <c r="G11" s="40">
        <v>46</v>
      </c>
      <c r="H11" s="40">
        <v>0</v>
      </c>
      <c r="I11" s="40">
        <f t="shared" si="1"/>
        <v>1345</v>
      </c>
      <c r="J11" s="13">
        <f t="shared" si="3"/>
        <v>43.61721970099579</v>
      </c>
      <c r="K11" s="13">
        <f t="shared" si="4"/>
        <v>1260.0530135843228</v>
      </c>
    </row>
    <row r="12" spans="1:11">
      <c r="A12" s="1">
        <v>8</v>
      </c>
      <c r="B12" s="32">
        <v>80</v>
      </c>
      <c r="C12" s="32">
        <f t="shared" si="5"/>
        <v>680</v>
      </c>
      <c r="D12" s="13">
        <f t="shared" si="0"/>
        <v>11.333333333333334</v>
      </c>
      <c r="E12" s="1">
        <v>43</v>
      </c>
      <c r="F12" s="1">
        <f t="shared" si="2"/>
        <v>439</v>
      </c>
      <c r="G12" s="40">
        <v>50</v>
      </c>
      <c r="H12" s="40">
        <v>0</v>
      </c>
      <c r="I12" s="40">
        <f t="shared" si="1"/>
        <v>1304</v>
      </c>
      <c r="J12" s="13">
        <f t="shared" si="3"/>
        <v>41.550827901937019</v>
      </c>
      <c r="K12" s="13">
        <f t="shared" si="4"/>
        <v>1218.5021856823857</v>
      </c>
    </row>
    <row r="13" spans="1:11">
      <c r="A13" s="1">
        <v>9</v>
      </c>
      <c r="B13" s="32">
        <v>80</v>
      </c>
      <c r="C13" s="32">
        <f t="shared" si="5"/>
        <v>760</v>
      </c>
      <c r="D13" s="13">
        <f t="shared" si="0"/>
        <v>12.666666666666666</v>
      </c>
      <c r="E13" s="1">
        <v>50</v>
      </c>
      <c r="F13" s="1">
        <f t="shared" si="2"/>
        <v>489</v>
      </c>
      <c r="G13" s="40">
        <v>53</v>
      </c>
      <c r="H13" s="40">
        <v>0</v>
      </c>
      <c r="I13" s="40">
        <f t="shared" si="1"/>
        <v>1264</v>
      </c>
      <c r="J13" s="13">
        <f t="shared" si="3"/>
        <v>48.200244686803231</v>
      </c>
      <c r="K13" s="13">
        <f t="shared" si="4"/>
        <v>1170.3019409955825</v>
      </c>
    </row>
    <row r="14" spans="1:11">
      <c r="A14" s="37">
        <v>10</v>
      </c>
      <c r="B14" s="32">
        <v>80</v>
      </c>
      <c r="C14" s="32">
        <f t="shared" si="5"/>
        <v>840</v>
      </c>
      <c r="D14" s="13">
        <f t="shared" si="0"/>
        <v>14</v>
      </c>
      <c r="E14" s="3">
        <v>45</v>
      </c>
      <c r="F14" s="37">
        <f t="shared" si="2"/>
        <v>534</v>
      </c>
      <c r="G14" s="40">
        <v>56</v>
      </c>
      <c r="H14" s="40">
        <v>0</v>
      </c>
      <c r="I14" s="40">
        <f t="shared" si="1"/>
        <v>1217</v>
      </c>
      <c r="J14" s="13">
        <f t="shared" ref="J14:J19" si="6">E14*K13/I14</f>
        <v>43.273284588990315</v>
      </c>
      <c r="K14" s="13">
        <f t="shared" ref="K14:K19" si="7">K13-J14</f>
        <v>1127.0286564065923</v>
      </c>
    </row>
    <row r="15" spans="1:11">
      <c r="A15" s="37">
        <v>11</v>
      </c>
      <c r="B15" s="32">
        <v>80</v>
      </c>
      <c r="C15" s="32">
        <f t="shared" si="5"/>
        <v>920</v>
      </c>
      <c r="D15" s="13">
        <f t="shared" si="0"/>
        <v>15.333333333333334</v>
      </c>
      <c r="E15" s="37">
        <v>45</v>
      </c>
      <c r="F15" s="37">
        <f t="shared" si="2"/>
        <v>579</v>
      </c>
      <c r="G15" s="40">
        <v>59</v>
      </c>
      <c r="H15" s="40">
        <v>0</v>
      </c>
      <c r="I15" s="40">
        <f t="shared" si="1"/>
        <v>1175</v>
      </c>
      <c r="J15" s="13">
        <f t="shared" si="6"/>
        <v>43.162799607060983</v>
      </c>
      <c r="K15" s="13">
        <f t="shared" si="7"/>
        <v>1083.8658567995312</v>
      </c>
    </row>
    <row r="16" spans="1:11">
      <c r="A16" s="37">
        <v>12</v>
      </c>
      <c r="B16" s="32">
        <v>80</v>
      </c>
      <c r="C16" s="32">
        <f t="shared" si="5"/>
        <v>1000</v>
      </c>
      <c r="D16" s="13">
        <f t="shared" si="0"/>
        <v>16.666666666666668</v>
      </c>
      <c r="E16" s="37">
        <v>47</v>
      </c>
      <c r="F16" s="37">
        <f t="shared" si="2"/>
        <v>626</v>
      </c>
      <c r="G16" s="40">
        <v>61</v>
      </c>
      <c r="H16" s="40">
        <v>0</v>
      </c>
      <c r="I16" s="40">
        <f t="shared" si="1"/>
        <v>1132</v>
      </c>
      <c r="J16" s="13">
        <f t="shared" si="6"/>
        <v>45.001497587966405</v>
      </c>
      <c r="K16" s="13">
        <f t="shared" si="7"/>
        <v>1038.8643592115648</v>
      </c>
    </row>
    <row r="17" spans="1:11">
      <c r="A17" s="37">
        <v>13</v>
      </c>
      <c r="B17" s="32">
        <v>80</v>
      </c>
      <c r="C17" s="32">
        <f t="shared" si="5"/>
        <v>1080</v>
      </c>
      <c r="D17" s="13">
        <f t="shared" si="0"/>
        <v>18</v>
      </c>
      <c r="E17" s="37">
        <v>46</v>
      </c>
      <c r="F17" s="37">
        <f t="shared" si="2"/>
        <v>672</v>
      </c>
      <c r="G17" s="40">
        <v>64</v>
      </c>
      <c r="H17" s="40">
        <v>0</v>
      </c>
      <c r="I17" s="40">
        <f t="shared" si="1"/>
        <v>1088</v>
      </c>
      <c r="J17" s="13">
        <f t="shared" si="6"/>
        <v>43.922574010783073</v>
      </c>
      <c r="K17" s="13">
        <f t="shared" si="7"/>
        <v>994.94178520078174</v>
      </c>
    </row>
    <row r="18" spans="1:11">
      <c r="A18" s="37">
        <v>14</v>
      </c>
      <c r="B18" s="32">
        <v>360</v>
      </c>
      <c r="C18" s="32">
        <f t="shared" si="5"/>
        <v>1440</v>
      </c>
      <c r="D18" s="13">
        <f t="shared" si="0"/>
        <v>24</v>
      </c>
      <c r="E18" s="37">
        <v>57</v>
      </c>
      <c r="F18" s="37">
        <f t="shared" si="2"/>
        <v>729</v>
      </c>
      <c r="G18" s="40">
        <v>64</v>
      </c>
      <c r="H18" s="40">
        <v>9</v>
      </c>
      <c r="I18" s="40">
        <f t="shared" si="1"/>
        <v>1051</v>
      </c>
      <c r="J18" s="13">
        <f t="shared" si="6"/>
        <v>53.959735258272651</v>
      </c>
      <c r="K18" s="13">
        <f t="shared" si="7"/>
        <v>940.98204994250909</v>
      </c>
    </row>
    <row r="19" spans="1:11">
      <c r="A19" s="37">
        <v>15</v>
      </c>
      <c r="B19" s="32">
        <v>360</v>
      </c>
      <c r="C19" s="32">
        <f>C18+B19</f>
        <v>1800</v>
      </c>
      <c r="D19" s="13">
        <f t="shared" si="0"/>
        <v>30</v>
      </c>
      <c r="E19" s="37">
        <v>50</v>
      </c>
      <c r="F19" s="37">
        <f>E19+F18</f>
        <v>779</v>
      </c>
      <c r="G19" s="40">
        <v>64</v>
      </c>
      <c r="H19" s="40">
        <v>9</v>
      </c>
      <c r="I19" s="40">
        <f t="shared" si="1"/>
        <v>994</v>
      </c>
      <c r="J19" s="13">
        <f t="shared" si="6"/>
        <v>47.333101103747943</v>
      </c>
      <c r="K19" s="13">
        <f t="shared" si="7"/>
        <v>893.64894883876116</v>
      </c>
    </row>
    <row r="20" spans="1:11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50</v>
      </c>
      <c r="F20" s="40">
        <f t="shared" ref="F20" si="8">E20+F19</f>
        <v>829</v>
      </c>
      <c r="G20" s="40">
        <v>64</v>
      </c>
      <c r="H20" s="40">
        <v>9</v>
      </c>
      <c r="I20" s="40">
        <f t="shared" si="1"/>
        <v>944</v>
      </c>
      <c r="J20" s="13">
        <f t="shared" ref="J20" si="9">E20*K19/I20</f>
        <v>47.333101103747943</v>
      </c>
      <c r="K20" s="13">
        <f t="shared" ref="K20" si="10">K19-J20</f>
        <v>846.31584773501322</v>
      </c>
    </row>
    <row r="22" spans="1:11">
      <c r="A22" s="126" t="s">
        <v>15</v>
      </c>
      <c r="B22" s="127"/>
      <c r="C22" s="127"/>
      <c r="D22" s="127"/>
      <c r="E22" s="128"/>
      <c r="F22" s="1">
        <v>1500</v>
      </c>
    </row>
    <row r="23" spans="1:11">
      <c r="A23" s="126" t="s">
        <v>15</v>
      </c>
      <c r="B23" s="127"/>
      <c r="C23" s="127"/>
      <c r="D23" s="127"/>
      <c r="E23" s="128"/>
      <c r="F23" s="40">
        <v>1650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57" t="s">
        <v>42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42">
        <v>1.7999999999999999E-2</v>
      </c>
      <c r="E7" s="42">
        <v>1.7999999999999999E-2</v>
      </c>
      <c r="F7" s="42">
        <v>1.7000000000000001E-2</v>
      </c>
      <c r="G7" s="16">
        <f>(C7*1000*AVERAGE(D7:F7))/$B$2</f>
        <v>0.39224393132030788</v>
      </c>
      <c r="H7" s="19">
        <f>(C7*1000*STDEV(D7:F7))/$B$2</f>
        <v>1.2818611660515638E-2</v>
      </c>
    </row>
    <row r="8" spans="1:8">
      <c r="A8" s="68">
        <v>0</v>
      </c>
      <c r="B8" s="66">
        <v>0.16666666666666666</v>
      </c>
      <c r="C8" s="16">
        <v>2</v>
      </c>
      <c r="D8" s="42">
        <v>2.8000000000000001E-2</v>
      </c>
      <c r="E8" s="42">
        <v>0.03</v>
      </c>
      <c r="F8" s="42">
        <v>2.5999999999999999E-2</v>
      </c>
      <c r="G8" s="16">
        <f t="shared" ref="G8:G23" si="0">(C8*1000*AVERAGE(D8:F8))/$B$2</f>
        <v>0.6216696269982237</v>
      </c>
      <c r="H8" s="19">
        <f t="shared" ref="H8:H23" si="1">(C8*1000*STDEV(D8:F8))/$B$2</f>
        <v>4.4404973357015987E-2</v>
      </c>
    </row>
    <row r="9" spans="1:8">
      <c r="A9" s="68">
        <v>1</v>
      </c>
      <c r="B9" s="66">
        <v>2</v>
      </c>
      <c r="C9" s="16">
        <v>2</v>
      </c>
      <c r="D9" s="42">
        <v>2.5999999999999999E-2</v>
      </c>
      <c r="E9" s="42">
        <v>2.9000000000000001E-2</v>
      </c>
      <c r="F9" s="42">
        <v>2.5999999999999999E-2</v>
      </c>
      <c r="G9" s="16">
        <f t="shared" si="0"/>
        <v>0.59946714031971582</v>
      </c>
      <c r="H9" s="19">
        <f t="shared" si="1"/>
        <v>3.8455834981547053E-2</v>
      </c>
    </row>
    <row r="10" spans="1:8">
      <c r="A10" s="68">
        <v>2</v>
      </c>
      <c r="B10" s="66">
        <v>3.3333333333333335</v>
      </c>
      <c r="C10" s="16">
        <v>2</v>
      </c>
      <c r="D10" s="55">
        <v>2.8000000000000001E-2</v>
      </c>
      <c r="E10" s="55">
        <v>2.9000000000000001E-2</v>
      </c>
      <c r="F10" s="55">
        <v>2.8000000000000001E-2</v>
      </c>
      <c r="G10" s="16">
        <f t="shared" si="0"/>
        <v>0.62907045589105981</v>
      </c>
      <c r="H10" s="19">
        <f t="shared" si="1"/>
        <v>1.2818611660515679E-2</v>
      </c>
    </row>
    <row r="11" spans="1:8">
      <c r="A11" s="68">
        <v>3</v>
      </c>
      <c r="B11" s="66">
        <v>4.666666666666667</v>
      </c>
      <c r="C11" s="16">
        <v>2</v>
      </c>
      <c r="D11" s="55">
        <v>3.2000000000000001E-2</v>
      </c>
      <c r="E11" s="55">
        <v>0.03</v>
      </c>
      <c r="F11" s="55">
        <v>3.2000000000000001E-2</v>
      </c>
      <c r="G11" s="16">
        <f t="shared" si="0"/>
        <v>0.69567791592658379</v>
      </c>
      <c r="H11" s="19">
        <f t="shared" si="1"/>
        <v>2.5637223321031358E-2</v>
      </c>
    </row>
    <row r="12" spans="1:8">
      <c r="A12" s="68">
        <v>4</v>
      </c>
      <c r="B12" s="66">
        <v>6</v>
      </c>
      <c r="C12" s="16">
        <v>2</v>
      </c>
      <c r="D12" s="55">
        <v>2.5000000000000001E-2</v>
      </c>
      <c r="E12" s="55">
        <v>2.5999999999999999E-2</v>
      </c>
      <c r="F12" s="55">
        <v>2.5999999999999999E-2</v>
      </c>
      <c r="G12" s="16">
        <f t="shared" si="0"/>
        <v>0.56986382474837183</v>
      </c>
      <c r="H12" s="19">
        <f t="shared" si="1"/>
        <v>1.2818611660515638E-2</v>
      </c>
    </row>
    <row r="13" spans="1:8">
      <c r="A13" s="68">
        <v>5</v>
      </c>
      <c r="B13" s="66">
        <v>7.333333333333333</v>
      </c>
      <c r="C13" s="16">
        <v>2</v>
      </c>
      <c r="D13" s="55">
        <v>2.7E-2</v>
      </c>
      <c r="E13" s="55">
        <v>2.4E-2</v>
      </c>
      <c r="F13" s="55">
        <v>2.7E-2</v>
      </c>
      <c r="G13" s="16">
        <f t="shared" si="0"/>
        <v>0.57726465364120783</v>
      </c>
      <c r="H13" s="19">
        <f t="shared" si="1"/>
        <v>3.8455834981546998E-2</v>
      </c>
    </row>
    <row r="14" spans="1:8">
      <c r="A14" s="68">
        <v>6</v>
      </c>
      <c r="B14" s="66">
        <v>8.6666666666666661</v>
      </c>
      <c r="C14" s="16">
        <v>2</v>
      </c>
      <c r="D14" s="55">
        <v>2.9000000000000001E-2</v>
      </c>
      <c r="E14" s="55">
        <v>2.5999999999999999E-2</v>
      </c>
      <c r="F14" s="55">
        <v>2.7E-2</v>
      </c>
      <c r="G14" s="16">
        <f t="shared" si="0"/>
        <v>0.60686796921255182</v>
      </c>
      <c r="H14" s="19">
        <f t="shared" si="1"/>
        <v>3.3914858606837212E-2</v>
      </c>
    </row>
    <row r="15" spans="1:8">
      <c r="A15" s="68">
        <v>7</v>
      </c>
      <c r="B15" s="66">
        <v>10</v>
      </c>
      <c r="C15" s="16">
        <v>2</v>
      </c>
      <c r="D15" s="55">
        <v>3.1E-2</v>
      </c>
      <c r="E15" s="55">
        <v>3.5000000000000003E-2</v>
      </c>
      <c r="F15" s="55">
        <v>3.2000000000000001E-2</v>
      </c>
      <c r="G15" s="16">
        <f t="shared" si="0"/>
        <v>0.72528123149792789</v>
      </c>
      <c r="H15" s="19">
        <f t="shared" si="1"/>
        <v>4.6218161622249877E-2</v>
      </c>
    </row>
    <row r="16" spans="1:8">
      <c r="A16" s="68">
        <v>8</v>
      </c>
      <c r="B16" s="66">
        <v>11.333333333333334</v>
      </c>
      <c r="C16" s="16">
        <v>2</v>
      </c>
      <c r="D16" s="55">
        <v>3.1E-2</v>
      </c>
      <c r="E16" s="55">
        <v>3.3000000000000002E-2</v>
      </c>
      <c r="F16" s="55">
        <v>3.2000000000000001E-2</v>
      </c>
      <c r="G16" s="16">
        <f t="shared" si="0"/>
        <v>0.71047957371225579</v>
      </c>
      <c r="H16" s="19">
        <f t="shared" si="1"/>
        <v>2.2202486678508014E-2</v>
      </c>
    </row>
    <row r="17" spans="1:8">
      <c r="A17" s="68">
        <v>9</v>
      </c>
      <c r="B17" s="66">
        <v>12.666666666666666</v>
      </c>
      <c r="C17" s="16">
        <v>2</v>
      </c>
      <c r="D17" s="55">
        <v>3.6999999999999998E-2</v>
      </c>
      <c r="E17" s="55">
        <v>3.6999999999999998E-2</v>
      </c>
      <c r="F17" s="55">
        <v>3.3000000000000002E-2</v>
      </c>
      <c r="G17" s="16">
        <f t="shared" si="0"/>
        <v>0.79188869153345176</v>
      </c>
      <c r="H17" s="19">
        <f t="shared" si="1"/>
        <v>5.127444664206264E-2</v>
      </c>
    </row>
    <row r="18" spans="1:8">
      <c r="A18" s="68">
        <v>10</v>
      </c>
      <c r="B18" s="66">
        <v>14</v>
      </c>
      <c r="C18" s="16">
        <v>2</v>
      </c>
      <c r="D18" s="42">
        <v>3.7999999999999999E-2</v>
      </c>
      <c r="E18" s="42">
        <v>3.7999999999999999E-2</v>
      </c>
      <c r="F18" s="42">
        <v>3.7999999999999999E-2</v>
      </c>
      <c r="G18" s="16">
        <f t="shared" si="0"/>
        <v>0.84369449378330375</v>
      </c>
      <c r="H18" s="19">
        <f t="shared" si="1"/>
        <v>0</v>
      </c>
    </row>
    <row r="19" spans="1:8">
      <c r="A19" s="68">
        <v>11</v>
      </c>
      <c r="B19" s="66">
        <v>15.333333333333334</v>
      </c>
      <c r="C19" s="16">
        <v>2</v>
      </c>
      <c r="D19" s="55">
        <v>4.4999999999999998E-2</v>
      </c>
      <c r="E19" s="55">
        <v>4.5999999999999999E-2</v>
      </c>
      <c r="F19" s="55">
        <v>4.5999999999999999E-2</v>
      </c>
      <c r="G19" s="16">
        <f t="shared" si="0"/>
        <v>1.0139135583185317</v>
      </c>
      <c r="H19" s="19">
        <f t="shared" si="1"/>
        <v>1.2818611660515681E-2</v>
      </c>
    </row>
    <row r="20" spans="1:8">
      <c r="A20" s="68">
        <v>12</v>
      </c>
      <c r="B20" s="66">
        <v>16.666666666666668</v>
      </c>
      <c r="C20" s="16">
        <v>2</v>
      </c>
      <c r="D20" s="55">
        <v>5.0999999999999997E-2</v>
      </c>
      <c r="E20" s="55">
        <v>5.1999999999999998E-2</v>
      </c>
      <c r="F20" s="55">
        <v>5.3999999999999999E-2</v>
      </c>
      <c r="G20" s="16">
        <f t="shared" si="0"/>
        <v>1.1619301361752516</v>
      </c>
      <c r="H20" s="19">
        <f t="shared" si="1"/>
        <v>3.3914858606837212E-2</v>
      </c>
    </row>
    <row r="21" spans="1:8">
      <c r="A21" s="68">
        <v>13</v>
      </c>
      <c r="B21" s="66">
        <v>18</v>
      </c>
      <c r="C21" s="16">
        <v>2</v>
      </c>
      <c r="D21" s="55">
        <v>5.6000000000000001E-2</v>
      </c>
      <c r="E21" s="55">
        <v>5.5E-2</v>
      </c>
      <c r="F21" s="55">
        <v>5.6000000000000001E-2</v>
      </c>
      <c r="G21" s="16">
        <f t="shared" si="0"/>
        <v>1.2359384251036116</v>
      </c>
      <c r="H21" s="19">
        <f t="shared" si="1"/>
        <v>1.2818611660515681E-2</v>
      </c>
    </row>
    <row r="22" spans="1:8">
      <c r="A22" s="68">
        <v>14</v>
      </c>
      <c r="B22" s="66">
        <v>24</v>
      </c>
      <c r="C22" s="16">
        <v>2</v>
      </c>
      <c r="D22" s="55">
        <v>8.4000000000000005E-2</v>
      </c>
      <c r="E22" s="55">
        <v>8.6999999999999994E-2</v>
      </c>
      <c r="F22" s="55">
        <v>8.5999999999999993E-2</v>
      </c>
      <c r="G22" s="16">
        <f t="shared" si="0"/>
        <v>1.9020130254588514</v>
      </c>
      <c r="H22" s="19">
        <f t="shared" si="1"/>
        <v>3.3914858606837045E-2</v>
      </c>
    </row>
    <row r="23" spans="1:8">
      <c r="A23" s="68">
        <v>15</v>
      </c>
      <c r="B23" s="66">
        <v>30</v>
      </c>
      <c r="C23" s="16">
        <v>2</v>
      </c>
      <c r="D23" s="55">
        <v>0.1</v>
      </c>
      <c r="E23" s="55">
        <v>0.1</v>
      </c>
      <c r="F23" s="55">
        <v>9.8000000000000004E-2</v>
      </c>
      <c r="G23" s="16">
        <f t="shared" si="0"/>
        <v>2.2054470100651273</v>
      </c>
      <c r="H23" s="19">
        <f t="shared" si="1"/>
        <v>2.5637223321031362E-2</v>
      </c>
    </row>
    <row r="24" spans="1:8">
      <c r="A24" s="68">
        <v>16</v>
      </c>
      <c r="B24" s="66">
        <v>48</v>
      </c>
      <c r="C24" s="16">
        <v>2</v>
      </c>
      <c r="D24" s="55">
        <v>0.106</v>
      </c>
      <c r="E24" s="55">
        <v>0.112</v>
      </c>
      <c r="F24" s="55">
        <v>0.112</v>
      </c>
      <c r="G24" s="16">
        <f t="shared" ref="G24" si="2">(C24*1000*AVERAGE(D24:F24))/$B$2</f>
        <v>2.4422735346358793</v>
      </c>
      <c r="H24" s="19">
        <f t="shared" ref="H24" si="3">(C24*1000*STDEV(D24:F24))/$B$2</f>
        <v>7.6911669963094106E-2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57" t="s">
        <v>44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C25" sqref="C25"/>
    </sheetView>
  </sheetViews>
  <sheetFormatPr baseColWidth="10" defaultColWidth="8.83203125" defaultRowHeight="14" x14ac:dyDescent="0"/>
  <cols>
    <col min="1" max="1" width="30.5" customWidth="1"/>
  </cols>
  <sheetData>
    <row r="1" spans="1:5">
      <c r="B1" s="30" t="s">
        <v>78</v>
      </c>
      <c r="C1" s="30" t="s">
        <v>79</v>
      </c>
    </row>
    <row r="2" spans="1:5">
      <c r="A2" s="30" t="s">
        <v>146</v>
      </c>
      <c r="B2" s="31">
        <f>Metabolites!H4-Metabolites!H20</f>
        <v>49.235509012145343</v>
      </c>
      <c r="C2" s="31">
        <f>Metabolites!I4+Metabolites!I20</f>
        <v>0.2000174394728102</v>
      </c>
    </row>
    <row r="3" spans="1:5">
      <c r="A3" s="30" t="s">
        <v>123</v>
      </c>
      <c r="B3" s="31">
        <f>Metabolites!P4-Metabolites!P20</f>
        <v>16.10907772580638</v>
      </c>
      <c r="C3" s="31">
        <f>Metabolites!Q4+Metabolites!Q20</f>
        <v>0.79211235642541467</v>
      </c>
    </row>
    <row r="4" spans="1:5">
      <c r="A4" s="30" t="s">
        <v>124</v>
      </c>
      <c r="B4" s="31">
        <f>Metabolites!T20-Metabolites!T4</f>
        <v>9.5008926634144295</v>
      </c>
      <c r="C4" s="31">
        <f>Metabolites!U4+Metabolites!U20</f>
        <v>0.23849317116365432</v>
      </c>
    </row>
    <row r="5" spans="1:5">
      <c r="A5" s="30" t="s">
        <v>125</v>
      </c>
      <c r="B5" s="31">
        <f>Metabolites!L20-Metabolites!L4</f>
        <v>1.9540513066154177</v>
      </c>
      <c r="C5" s="31">
        <f>Metabolites!M20+Metabolites!M4</f>
        <v>0.12594710331342809</v>
      </c>
    </row>
    <row r="6" spans="1:5">
      <c r="A6" s="30" t="s">
        <v>126</v>
      </c>
      <c r="B6" s="31">
        <f>Metabolites!L41-Metabolites!L25</f>
        <v>59.459815970024394</v>
      </c>
      <c r="C6" s="31">
        <f>Metabolites!M41+Metabolites!M25</f>
        <v>1.2648063672724499</v>
      </c>
    </row>
    <row r="7" spans="1:5">
      <c r="A7" s="30" t="s">
        <v>80</v>
      </c>
      <c r="B7" s="31">
        <f>'H2'!G101</f>
        <v>102.3816396289517</v>
      </c>
    </row>
    <row r="8" spans="1:5">
      <c r="A8" s="30" t="s">
        <v>81</v>
      </c>
      <c r="B8" s="31">
        <f>'CO2'!G101</f>
        <v>82.826019139650413</v>
      </c>
    </row>
    <row r="9" spans="1:5">
      <c r="A9" s="30" t="s">
        <v>127</v>
      </c>
      <c r="B9" s="31">
        <f>Calculation!G20*1.5/1000</f>
        <v>9.6000000000000002E-2</v>
      </c>
    </row>
    <row r="10" spans="1:5" ht="16">
      <c r="A10" s="30" t="s">
        <v>128</v>
      </c>
      <c r="B10" s="31">
        <f>Calculation!H20*1.5/1000</f>
        <v>1.35E-2</v>
      </c>
    </row>
    <row r="12" spans="1:5">
      <c r="A12" s="30" t="s">
        <v>82</v>
      </c>
      <c r="B12" s="70">
        <f>((4*$B$6)+(3*$B$5)+($B$4)+(B8))/((6*$B$2)+(2*$B$3))</f>
        <v>1.0256297929941145</v>
      </c>
    </row>
    <row r="14" spans="1:5">
      <c r="A14" s="61"/>
      <c r="B14" s="61"/>
      <c r="C14" s="61" t="s">
        <v>129</v>
      </c>
      <c r="D14" s="61" t="s">
        <v>130</v>
      </c>
    </row>
    <row r="15" spans="1:5">
      <c r="A15" s="61" t="s">
        <v>162</v>
      </c>
      <c r="B15" s="61" t="s">
        <v>131</v>
      </c>
      <c r="C15" s="62">
        <f>B2</f>
        <v>49.235509012145343</v>
      </c>
      <c r="D15" s="62">
        <f>B2</f>
        <v>49.235509012145343</v>
      </c>
      <c r="E15" s="61"/>
    </row>
    <row r="16" spans="1:5">
      <c r="A16" s="61" t="s">
        <v>132</v>
      </c>
      <c r="B16" s="61" t="s">
        <v>133</v>
      </c>
      <c r="C16" s="62">
        <f>2*C15</f>
        <v>98.471018024290686</v>
      </c>
      <c r="D16" s="62">
        <f>2*B2</f>
        <v>98.471018024290686</v>
      </c>
      <c r="E16" s="61"/>
    </row>
    <row r="17" spans="1:5">
      <c r="A17" s="61" t="s">
        <v>134</v>
      </c>
      <c r="B17" s="61" t="s">
        <v>135</v>
      </c>
      <c r="C17" s="62">
        <f>B5</f>
        <v>1.9540513066154177</v>
      </c>
      <c r="D17" s="62">
        <f>B5</f>
        <v>1.9540513066154177</v>
      </c>
      <c r="E17" s="61"/>
    </row>
    <row r="18" spans="1:5">
      <c r="A18" s="61" t="s">
        <v>136</v>
      </c>
      <c r="B18" s="61" t="s">
        <v>137</v>
      </c>
      <c r="C18" s="62">
        <f>B4</f>
        <v>9.5008926634144295</v>
      </c>
      <c r="D18" s="62">
        <f>B4</f>
        <v>9.5008926634144295</v>
      </c>
      <c r="E18" s="61"/>
    </row>
    <row r="19" spans="1:5">
      <c r="A19" s="61" t="s">
        <v>163</v>
      </c>
      <c r="B19" s="61" t="s">
        <v>138</v>
      </c>
      <c r="C19" s="79">
        <f>C16-C17-C18</f>
        <v>87.016074054260841</v>
      </c>
      <c r="D19" s="79">
        <f>B8</f>
        <v>82.826019139650413</v>
      </c>
      <c r="E19" s="61"/>
    </row>
    <row r="20" spans="1:5">
      <c r="A20" s="61" t="s">
        <v>160</v>
      </c>
      <c r="B20" s="61" t="s">
        <v>160</v>
      </c>
      <c r="C20" s="69">
        <f>C16-C17</f>
        <v>96.516966717675274</v>
      </c>
      <c r="D20" s="69"/>
      <c r="E20" s="61"/>
    </row>
    <row r="21" spans="1:5">
      <c r="A21" s="61" t="s">
        <v>164</v>
      </c>
      <c r="B21" s="61" t="s">
        <v>139</v>
      </c>
      <c r="C21" s="62">
        <f>B3</f>
        <v>16.10907772580638</v>
      </c>
      <c r="D21" s="62">
        <f>B3</f>
        <v>16.10907772580638</v>
      </c>
      <c r="E21" s="61"/>
    </row>
    <row r="22" spans="1:5">
      <c r="A22" s="61" t="s">
        <v>165</v>
      </c>
      <c r="B22" s="61" t="s">
        <v>141</v>
      </c>
      <c r="C22" s="62">
        <f>C16-C17+C21</f>
        <v>112.62604444348165</v>
      </c>
      <c r="D22" s="62">
        <f>B6</f>
        <v>59.459815970024394</v>
      </c>
      <c r="E22" s="61"/>
    </row>
    <row r="23" spans="1:5">
      <c r="A23" s="61" t="s">
        <v>166</v>
      </c>
      <c r="B23" s="61" t="s">
        <v>142</v>
      </c>
      <c r="C23" s="79">
        <f>C22/2</f>
        <v>56.313022221740823</v>
      </c>
      <c r="D23" s="79">
        <f>B6</f>
        <v>59.459815970024394</v>
      </c>
      <c r="E23" s="61"/>
    </row>
    <row r="24" spans="1:5">
      <c r="A24" t="s">
        <v>156</v>
      </c>
      <c r="B24" t="s">
        <v>157</v>
      </c>
      <c r="C24" s="31">
        <f>C20-C21</f>
        <v>80.407888991868901</v>
      </c>
      <c r="D24" s="31"/>
      <c r="E24" s="61"/>
    </row>
    <row r="25" spans="1:5">
      <c r="A25" t="s">
        <v>158</v>
      </c>
      <c r="B25" t="s">
        <v>159</v>
      </c>
      <c r="C25" s="78">
        <f>C24-C18</f>
        <v>70.906996328454468</v>
      </c>
      <c r="D25" s="78">
        <f>B7</f>
        <v>102.3816396289517</v>
      </c>
      <c r="E25" s="61"/>
    </row>
    <row r="26" spans="1:5">
      <c r="A26" s="61"/>
      <c r="B26" s="61"/>
      <c r="C26" s="61"/>
      <c r="D26" s="61"/>
      <c r="E26" s="61"/>
    </row>
    <row r="27" spans="1:5">
      <c r="A27" s="61"/>
      <c r="B27" s="61"/>
      <c r="C27" s="61"/>
      <c r="D27" s="61"/>
      <c r="E27" s="61"/>
    </row>
    <row r="28" spans="1:5">
      <c r="A28" s="61"/>
      <c r="B28" s="61"/>
      <c r="C28" s="61"/>
      <c r="D28" s="61"/>
      <c r="E28" s="61"/>
    </row>
    <row r="29" spans="1:5">
      <c r="C29" s="61"/>
      <c r="D29" s="61"/>
      <c r="E29" s="6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0" t="s">
        <v>4</v>
      </c>
      <c r="B1" s="130" t="s">
        <v>117</v>
      </c>
      <c r="C1" s="130" t="s">
        <v>117</v>
      </c>
      <c r="D1" s="130" t="s">
        <v>5</v>
      </c>
      <c r="E1" s="135" t="s">
        <v>18</v>
      </c>
      <c r="F1" s="135"/>
      <c r="G1" s="135"/>
      <c r="H1" s="135"/>
      <c r="I1" s="135" t="s">
        <v>20</v>
      </c>
      <c r="J1" s="135"/>
      <c r="K1" s="135"/>
      <c r="L1" s="135"/>
      <c r="M1" s="135" t="s">
        <v>21</v>
      </c>
      <c r="N1" s="135"/>
      <c r="O1" s="135"/>
      <c r="P1" s="135"/>
      <c r="Q1" s="38" t="s">
        <v>22</v>
      </c>
      <c r="R1" s="38" t="s">
        <v>22</v>
      </c>
      <c r="S1" s="38" t="s">
        <v>22</v>
      </c>
    </row>
    <row r="2" spans="1:19">
      <c r="A2" s="131"/>
      <c r="B2" s="131"/>
      <c r="C2" s="131"/>
      <c r="D2" s="131"/>
      <c r="E2" s="41" t="s">
        <v>19</v>
      </c>
      <c r="F2" s="41" t="s">
        <v>68</v>
      </c>
      <c r="G2" s="41" t="s">
        <v>118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Q3" s="132"/>
      <c r="R3" s="133"/>
      <c r="S3" s="134"/>
    </row>
    <row r="4" spans="1:19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65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65">
        <v>4</v>
      </c>
      <c r="B8" s="32">
        <v>80</v>
      </c>
      <c r="C8" s="32">
        <f t="shared" ref="C8:C18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65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65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65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65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65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65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65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65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65">
        <v>13</v>
      </c>
      <c r="B17" s="32">
        <v>80</v>
      </c>
      <c r="C17" s="32">
        <f t="shared" si="2"/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65">
        <v>14</v>
      </c>
      <c r="B18" s="32">
        <v>360</v>
      </c>
      <c r="C18" s="32">
        <f t="shared" si="2"/>
        <v>1440</v>
      </c>
      <c r="D18" s="13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workbookViewId="0">
      <selection activeCell="W4" sqref="W4:W20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0" t="s">
        <v>4</v>
      </c>
      <c r="B1" s="130" t="s">
        <v>117</v>
      </c>
      <c r="C1" s="130" t="s">
        <v>117</v>
      </c>
      <c r="D1" s="130" t="s">
        <v>5</v>
      </c>
      <c r="E1" s="129" t="s">
        <v>119</v>
      </c>
      <c r="F1" s="129"/>
      <c r="G1" s="129"/>
      <c r="H1" s="129"/>
      <c r="I1" s="129" t="s">
        <v>120</v>
      </c>
      <c r="J1" s="129"/>
      <c r="K1" s="129"/>
      <c r="L1" s="129"/>
      <c r="M1" s="129" t="s">
        <v>121</v>
      </c>
      <c r="N1" s="129"/>
      <c r="O1" s="129"/>
      <c r="P1" s="129"/>
      <c r="Q1" s="24" t="s">
        <v>122</v>
      </c>
      <c r="R1" s="24" t="s">
        <v>122</v>
      </c>
      <c r="S1" s="24" t="s">
        <v>122</v>
      </c>
      <c r="T1" s="59" t="s">
        <v>122</v>
      </c>
      <c r="U1" s="74" t="s">
        <v>119</v>
      </c>
      <c r="V1" s="74" t="s">
        <v>120</v>
      </c>
      <c r="W1" s="74" t="s">
        <v>121</v>
      </c>
      <c r="X1" s="74" t="s">
        <v>122</v>
      </c>
    </row>
    <row r="2" spans="1:24">
      <c r="A2" s="131"/>
      <c r="B2" s="131"/>
      <c r="C2" s="131"/>
      <c r="D2" s="131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60" t="s">
        <v>140</v>
      </c>
      <c r="U2" s="75" t="s">
        <v>150</v>
      </c>
      <c r="V2" s="75" t="s">
        <v>150</v>
      </c>
      <c r="W2" s="75" t="s">
        <v>150</v>
      </c>
      <c r="X2" s="75" t="s">
        <v>151</v>
      </c>
    </row>
    <row r="3" spans="1:24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3" t="s">
        <v>101</v>
      </c>
      <c r="F3" s="43" t="s">
        <v>101</v>
      </c>
      <c r="G3" s="43" t="s">
        <v>101</v>
      </c>
      <c r="H3" s="44" t="s">
        <v>101</v>
      </c>
      <c r="I3" s="43" t="s">
        <v>101</v>
      </c>
      <c r="J3" s="43" t="s">
        <v>101</v>
      </c>
      <c r="K3" s="43" t="s">
        <v>101</v>
      </c>
      <c r="L3" s="44" t="s">
        <v>101</v>
      </c>
      <c r="M3" s="43" t="s">
        <v>101</v>
      </c>
      <c r="N3" s="43" t="s">
        <v>101</v>
      </c>
      <c r="O3" s="43" t="s">
        <v>101</v>
      </c>
      <c r="P3" s="44" t="s">
        <v>101</v>
      </c>
      <c r="Q3" s="136" t="s">
        <v>101</v>
      </c>
      <c r="R3" s="137"/>
      <c r="S3" s="138"/>
      <c r="T3" s="73"/>
      <c r="U3" s="44" t="s">
        <v>101</v>
      </c>
      <c r="V3" s="44" t="s">
        <v>101</v>
      </c>
      <c r="W3" s="44" t="s">
        <v>101</v>
      </c>
      <c r="X3" s="44" t="s">
        <v>101</v>
      </c>
    </row>
    <row r="4" spans="1:24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32">
        <v>2</v>
      </c>
      <c r="F4" s="32">
        <v>8836</v>
      </c>
      <c r="G4" s="32">
        <v>7</v>
      </c>
      <c r="H4" s="44">
        <f>('Flow cytometer'!F4/'Flow cytometer'!G4)*POWER(10,'Flow cytometer'!E4+2)*10.2</f>
        <v>128753142.85714284</v>
      </c>
      <c r="I4" s="32">
        <v>2</v>
      </c>
      <c r="J4" s="32">
        <v>9344</v>
      </c>
      <c r="K4" s="32">
        <v>7</v>
      </c>
      <c r="L4" s="44">
        <f>('Flow cytometer'!J4/'Flow cytometer'!K4)*POWER(10,'Flow cytometer'!I4+2)*10.2</f>
        <v>136155428.57142857</v>
      </c>
      <c r="M4" s="32">
        <v>2</v>
      </c>
      <c r="N4" s="32">
        <v>9672</v>
      </c>
      <c r="O4" s="32">
        <v>7</v>
      </c>
      <c r="P4" s="44">
        <f>('Flow cytometer'!N4/'Flow cytometer'!O4)*POWER(10,'Flow cytometer'!M4+2)*10.2</f>
        <v>140934857.14285713</v>
      </c>
      <c r="Q4" s="47">
        <f>AVERAGE(H4,L4,P4)*Calculation!I4/Calculation!K3</f>
        <v>136185991.77333462</v>
      </c>
      <c r="R4" s="48">
        <f>STDEV(H4,L4,P4)*Calculation!I4/Calculation!K3</f>
        <v>6178790.7710676873</v>
      </c>
      <c r="S4" s="49">
        <f>LOG(Q4)</f>
        <v>8.1341324379114308</v>
      </c>
      <c r="T4" s="72">
        <f>LN(Q4)</f>
        <v>18.729532095974175</v>
      </c>
      <c r="U4" s="49">
        <f>LOG(H4)</f>
        <v>8.1097578389470577</v>
      </c>
      <c r="V4" s="49">
        <f>LOG(L4)</f>
        <v>8.1340349615159848</v>
      </c>
      <c r="W4" s="49">
        <f>LOG(P4)</f>
        <v>8.1490184196003757</v>
      </c>
      <c r="X4" s="49">
        <f xml:space="preserve"> STDEV(U4:W4)*Calculation!I4/Calculation!K3</f>
        <v>1.9945294001132537E-2</v>
      </c>
    </row>
    <row r="5" spans="1:24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32">
        <v>2</v>
      </c>
      <c r="F5" s="32">
        <v>13442</v>
      </c>
      <c r="G5" s="32">
        <v>7</v>
      </c>
      <c r="H5" s="44">
        <f>('Flow cytometer'!F5/'Flow cytometer'!G5)*POWER(10,'Flow cytometer'!E5+2)*10.2</f>
        <v>195869142.85714284</v>
      </c>
      <c r="I5" s="32">
        <v>2</v>
      </c>
      <c r="J5" s="32">
        <v>11462</v>
      </c>
      <c r="K5" s="32">
        <v>7</v>
      </c>
      <c r="L5" s="44">
        <f>('Flow cytometer'!J5/'Flow cytometer'!K5)*POWER(10,'Flow cytometer'!I5+2)*10.2</f>
        <v>167017714.28571427</v>
      </c>
      <c r="M5" s="32">
        <v>2</v>
      </c>
      <c r="N5" s="32">
        <v>14113</v>
      </c>
      <c r="O5" s="32">
        <v>7</v>
      </c>
      <c r="P5" s="44">
        <f>('Flow cytometer'!N5/'Flow cytometer'!O5)*POWER(10,'Flow cytometer'!M5+2)*10.2</f>
        <v>205646571.4285714</v>
      </c>
      <c r="Q5" s="47">
        <f>AVERAGE(H5,L5,P5)*Calculation!I5/Calculation!K4</f>
        <v>191022836.18394163</v>
      </c>
      <c r="R5" s="48">
        <f>STDEV(H5,L5,P5)*Calculation!I5/Calculation!K4</f>
        <v>20244161.423903685</v>
      </c>
      <c r="S5" s="49">
        <f t="shared" ref="S5:S19" si="1">LOG(Q5)</f>
        <v>8.2810852889013358</v>
      </c>
      <c r="T5" s="49">
        <f t="shared" ref="T5:T19" si="2">LN(Q5)</f>
        <v>19.067903540036507</v>
      </c>
      <c r="U5" s="49">
        <f t="shared" ref="U5:U20" si="3">LOG(H5)</f>
        <v>8.2919660228124208</v>
      </c>
      <c r="V5" s="49">
        <f t="shared" ref="V5:V20" si="4">LOG(L5)</f>
        <v>8.222762535869391</v>
      </c>
      <c r="W5" s="49">
        <f t="shared" ref="W5:W20" si="5">LOG(P5)</f>
        <v>8.3131214732808143</v>
      </c>
      <c r="X5" s="49">
        <f xml:space="preserve"> STDEV(U5:W5)*Calculation!I5/Calculation!K4</f>
        <v>4.7637637237541886E-2</v>
      </c>
    </row>
    <row r="6" spans="1:24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32">
        <v>2</v>
      </c>
      <c r="F6" s="32">
        <v>28901</v>
      </c>
      <c r="G6" s="32">
        <v>7</v>
      </c>
      <c r="H6" s="44">
        <f>('Flow cytometer'!F6/'Flow cytometer'!G6)*POWER(10,'Flow cytometer'!E6+2)*10.2</f>
        <v>421128857.14285707</v>
      </c>
      <c r="I6" s="32">
        <v>2</v>
      </c>
      <c r="J6" s="32">
        <v>28879</v>
      </c>
      <c r="K6" s="32">
        <v>7</v>
      </c>
      <c r="L6" s="44">
        <f>('Flow cytometer'!J6/'Flow cytometer'!K6)*POWER(10,'Flow cytometer'!I6+2)*10.2</f>
        <v>420808285.71428567</v>
      </c>
      <c r="M6" s="32">
        <v>2</v>
      </c>
      <c r="N6" s="32">
        <v>29483</v>
      </c>
      <c r="O6" s="32">
        <v>7</v>
      </c>
      <c r="P6" s="44">
        <f>('Flow cytometer'!N6/'Flow cytometer'!O6)*POWER(10,'Flow cytometer'!M6+2)*10.2</f>
        <v>429609428.5714286</v>
      </c>
      <c r="Q6" s="47">
        <f>AVERAGE(H6,L6,P6)*Calculation!I6/Calculation!K5</f>
        <v>428073588.44703335</v>
      </c>
      <c r="R6" s="48">
        <f>STDEV(H6,L6,P6)*Calculation!I6/Calculation!K5</f>
        <v>5041127.1961862156</v>
      </c>
      <c r="S6" s="49">
        <f t="shared" si="1"/>
        <v>8.6315184332873383</v>
      </c>
      <c r="T6" s="49">
        <f t="shared" si="2"/>
        <v>19.874805674390746</v>
      </c>
      <c r="U6" s="49">
        <f t="shared" si="3"/>
        <v>8.6244150017349472</v>
      </c>
      <c r="V6" s="49">
        <f t="shared" si="4"/>
        <v>8.6240842824873312</v>
      </c>
      <c r="W6" s="49">
        <f t="shared" si="5"/>
        <v>8.6330738041896602</v>
      </c>
      <c r="X6" s="49">
        <f xml:space="preserve"> STDEV(U6:W6)*Calculation!I6/Calculation!K5</f>
        <v>5.1481229385460965E-3</v>
      </c>
    </row>
    <row r="7" spans="1:24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32">
        <v>3</v>
      </c>
      <c r="F7" s="32">
        <v>3873</v>
      </c>
      <c r="G7" s="32">
        <v>7</v>
      </c>
      <c r="H7" s="44">
        <f>('Flow cytometer'!F7/'Flow cytometer'!G7)*POWER(10,'Flow cytometer'!E7+2)*10.2</f>
        <v>564351428.57142854</v>
      </c>
      <c r="I7" s="32">
        <v>3</v>
      </c>
      <c r="J7" s="32">
        <v>4326</v>
      </c>
      <c r="K7" s="32">
        <v>7</v>
      </c>
      <c r="L7" s="44">
        <f>('Flow cytometer'!J7/'Flow cytometer'!K7)*POWER(10,'Flow cytometer'!I7+2)*10.2</f>
        <v>630360000</v>
      </c>
      <c r="M7" s="32">
        <v>3</v>
      </c>
      <c r="N7" s="32">
        <v>4593</v>
      </c>
      <c r="O7" s="32">
        <v>7</v>
      </c>
      <c r="P7" s="44">
        <f>('Flow cytometer'!N7/'Flow cytometer'!O7)*POWER(10,'Flow cytometer'!M7+2)*10.2</f>
        <v>669265714.28571415</v>
      </c>
      <c r="Q7" s="47">
        <f>AVERAGE(H7,L7,P7)*Calculation!I7/Calculation!K6</f>
        <v>629218246.04916751</v>
      </c>
      <c r="R7" s="48">
        <f>STDEV(H7,L7,P7)*Calculation!I7/Calculation!K6</f>
        <v>53711117.553040795</v>
      </c>
      <c r="S7" s="49">
        <f t="shared" si="1"/>
        <v>8.7988013077903737</v>
      </c>
      <c r="T7" s="49">
        <f t="shared" si="2"/>
        <v>20.259988727534626</v>
      </c>
      <c r="U7" s="49">
        <f t="shared" si="3"/>
        <v>8.7515496287337431</v>
      </c>
      <c r="V7" s="49">
        <f t="shared" si="4"/>
        <v>8.7995886468507329</v>
      </c>
      <c r="W7" s="49">
        <f t="shared" si="5"/>
        <v>8.825598577165584</v>
      </c>
      <c r="X7" s="49">
        <f xml:space="preserve"> STDEV(U7:W7)*Calculation!I7/Calculation!K6</f>
        <v>3.8043829511591694E-2</v>
      </c>
    </row>
    <row r="8" spans="1:24">
      <c r="A8" s="65">
        <v>4</v>
      </c>
      <c r="B8" s="32">
        <v>80</v>
      </c>
      <c r="C8" s="32">
        <f t="shared" ref="C8:C18" si="6">C7+B8</f>
        <v>360</v>
      </c>
      <c r="D8" s="13">
        <f t="shared" si="0"/>
        <v>6</v>
      </c>
      <c r="E8" s="32">
        <v>3</v>
      </c>
      <c r="F8" s="32">
        <v>7978</v>
      </c>
      <c r="G8" s="32">
        <v>7</v>
      </c>
      <c r="H8" s="44">
        <f>('Flow cytometer'!F8/'Flow cytometer'!G8)*POWER(10,'Flow cytometer'!E8+2)*10.2</f>
        <v>1162508571.4285715</v>
      </c>
      <c r="I8" s="32">
        <v>3</v>
      </c>
      <c r="J8" s="32">
        <v>8922</v>
      </c>
      <c r="K8" s="32">
        <v>7</v>
      </c>
      <c r="L8" s="44">
        <f>('Flow cytometer'!J8/'Flow cytometer'!K8)*POWER(10,'Flow cytometer'!I8+2)*10.2</f>
        <v>1300062857.1428571</v>
      </c>
      <c r="M8" s="32">
        <v>3</v>
      </c>
      <c r="N8" s="32">
        <v>8801</v>
      </c>
      <c r="O8" s="32">
        <v>7</v>
      </c>
      <c r="P8" s="44">
        <f>('Flow cytometer'!N8/'Flow cytometer'!O8)*POWER(10,'Flow cytometer'!M8+2)*10.2</f>
        <v>1282431428.5714283</v>
      </c>
      <c r="Q8" s="47">
        <f>AVERAGE(H8,L8,P8)*Calculation!I8/Calculation!K7</f>
        <v>1270332647.8986249</v>
      </c>
      <c r="R8" s="48">
        <f>STDEV(H8,L8,P8)*Calculation!I8/Calculation!K7</f>
        <v>76167213.045189127</v>
      </c>
      <c r="S8" s="49">
        <f t="shared" si="1"/>
        <v>9.1039174597198418</v>
      </c>
      <c r="T8" s="49">
        <f t="shared" si="2"/>
        <v>20.96254463059913</v>
      </c>
      <c r="U8" s="49">
        <f t="shared" si="3"/>
        <v>9.0653961637214824</v>
      </c>
      <c r="V8" s="49">
        <f t="shared" si="4"/>
        <v>9.1139643506532586</v>
      </c>
      <c r="W8" s="49">
        <f t="shared" si="5"/>
        <v>9.1080341527396413</v>
      </c>
      <c r="X8" s="49">
        <f xml:space="preserve"> STDEV(U8:W8)*Calculation!I8/Calculation!K7</f>
        <v>2.6962296299613431E-2</v>
      </c>
    </row>
    <row r="9" spans="1:24">
      <c r="A9" s="65">
        <v>5</v>
      </c>
      <c r="B9" s="32">
        <v>80</v>
      </c>
      <c r="C9" s="32">
        <f t="shared" si="6"/>
        <v>440</v>
      </c>
      <c r="D9" s="13">
        <f t="shared" si="0"/>
        <v>7.333333333333333</v>
      </c>
      <c r="E9" s="32">
        <v>3</v>
      </c>
      <c r="F9" s="32">
        <v>13344</v>
      </c>
      <c r="G9" s="32">
        <v>7</v>
      </c>
      <c r="H9" s="44">
        <f>('Flow cytometer'!F9/'Flow cytometer'!G9)*POWER(10,'Flow cytometer'!E9+2)*10.2</f>
        <v>1944411428.5714285</v>
      </c>
      <c r="I9" s="32">
        <v>3</v>
      </c>
      <c r="J9" s="32">
        <v>12949</v>
      </c>
      <c r="K9" s="32">
        <v>7</v>
      </c>
      <c r="L9" s="44">
        <f>('Flow cytometer'!J9/'Flow cytometer'!K9)*POWER(10,'Flow cytometer'!I9+2)*10.2</f>
        <v>1886854285.7142856</v>
      </c>
      <c r="M9" s="32">
        <v>3</v>
      </c>
      <c r="N9" s="32">
        <v>13220</v>
      </c>
      <c r="O9" s="32">
        <v>7</v>
      </c>
      <c r="P9" s="44">
        <f>('Flow cytometer'!N9/'Flow cytometer'!O9)*POWER(10,'Flow cytometer'!M9+2)*10.2</f>
        <v>1926342857.1428571</v>
      </c>
      <c r="Q9" s="47">
        <f>AVERAGE(H9,L9,P9)*Calculation!I9/Calculation!K8</f>
        <v>1964096511.4903181</v>
      </c>
      <c r="R9" s="48">
        <f>STDEV(H9,L9,P9)*Calculation!I9/Calculation!K8</f>
        <v>30123914.655535787</v>
      </c>
      <c r="S9" s="49">
        <f t="shared" si="1"/>
        <v>9.2931628242746971</v>
      </c>
      <c r="T9" s="49">
        <f t="shared" si="2"/>
        <v>21.398298185941361</v>
      </c>
      <c r="U9" s="49">
        <f t="shared" si="3"/>
        <v>9.2887881650413249</v>
      </c>
      <c r="V9" s="49">
        <f t="shared" si="4"/>
        <v>9.2757383626166003</v>
      </c>
      <c r="W9" s="49">
        <f t="shared" si="5"/>
        <v>9.284733586897282</v>
      </c>
      <c r="X9" s="49">
        <f xml:space="preserve"> STDEV(U9:W9)*Calculation!I9/Calculation!K8</f>
        <v>6.8351926318618705E-3</v>
      </c>
    </row>
    <row r="10" spans="1:24">
      <c r="A10" s="65">
        <v>6</v>
      </c>
      <c r="B10" s="32">
        <v>80</v>
      </c>
      <c r="C10" s="32">
        <f t="shared" si="6"/>
        <v>520</v>
      </c>
      <c r="D10" s="13">
        <f t="shared" si="0"/>
        <v>8.6666666666666661</v>
      </c>
      <c r="E10" s="32">
        <v>3</v>
      </c>
      <c r="F10" s="32">
        <v>16934</v>
      </c>
      <c r="G10" s="32">
        <v>7</v>
      </c>
      <c r="H10" s="44">
        <f>('Flow cytometer'!F10/'Flow cytometer'!G10)*POWER(10,'Flow cytometer'!E10+2)*10.2</f>
        <v>2467525714.2857141</v>
      </c>
      <c r="I10" s="32">
        <v>3</v>
      </c>
      <c r="J10" s="32">
        <v>16095</v>
      </c>
      <c r="K10" s="32">
        <v>7</v>
      </c>
      <c r="L10" s="44">
        <f>('Flow cytometer'!J10/'Flow cytometer'!K10)*POWER(10,'Flow cytometer'!I10+2)*10.2</f>
        <v>2345271428.5714283</v>
      </c>
      <c r="M10" s="32">
        <v>3</v>
      </c>
      <c r="N10" s="32">
        <v>15741</v>
      </c>
      <c r="O10" s="32">
        <v>7</v>
      </c>
      <c r="P10" s="44">
        <f>('Flow cytometer'!N10/'Flow cytometer'!O10)*POWER(10,'Flow cytometer'!M10+2)*10.2</f>
        <v>2293688571.4285712</v>
      </c>
      <c r="Q10" s="47">
        <f>AVERAGE(H10,L10,P10)*Calculation!I10/Calculation!K9</f>
        <v>2434841422.8305697</v>
      </c>
      <c r="R10" s="48">
        <f>STDEV(H10,L10,P10)*Calculation!I10/Calculation!K9</f>
        <v>91768705.536874563</v>
      </c>
      <c r="S10" s="49">
        <f t="shared" si="1"/>
        <v>9.3864706815949006</v>
      </c>
      <c r="T10" s="49">
        <f t="shared" si="2"/>
        <v>21.613147467266078</v>
      </c>
      <c r="U10" s="49">
        <f t="shared" si="3"/>
        <v>9.3922616871832965</v>
      </c>
      <c r="V10" s="49">
        <f t="shared" si="4"/>
        <v>9.370193112769293</v>
      </c>
      <c r="W10" s="49">
        <f t="shared" si="5"/>
        <v>9.3605344506656625</v>
      </c>
      <c r="X10" s="49">
        <f xml:space="preserve"> STDEV(U10:W10)*Calculation!I10/Calculation!K9</f>
        <v>1.6716302003531452E-2</v>
      </c>
    </row>
    <row r="11" spans="1:24">
      <c r="A11" s="65">
        <v>7</v>
      </c>
      <c r="B11" s="32">
        <v>80</v>
      </c>
      <c r="C11" s="32">
        <f t="shared" si="6"/>
        <v>600</v>
      </c>
      <c r="D11" s="13">
        <f t="shared" si="0"/>
        <v>10</v>
      </c>
      <c r="E11" s="32">
        <v>3</v>
      </c>
      <c r="F11" s="32">
        <v>20555</v>
      </c>
      <c r="G11" s="32">
        <v>7</v>
      </c>
      <c r="H11" s="44">
        <f>('Flow cytometer'!F11/'Flow cytometer'!G11)*POWER(10,'Flow cytometer'!E11+2)*10.2</f>
        <v>2995157142.8571424</v>
      </c>
      <c r="I11" s="32">
        <v>3</v>
      </c>
      <c r="J11" s="32">
        <v>19941</v>
      </c>
      <c r="K11" s="32">
        <v>7</v>
      </c>
      <c r="L11" s="44">
        <f>('Flow cytometer'!J11/'Flow cytometer'!K11)*POWER(10,'Flow cytometer'!I11+2)*10.2</f>
        <v>2905688571.4285717</v>
      </c>
      <c r="M11" s="32">
        <v>3</v>
      </c>
      <c r="N11" s="32">
        <v>20796</v>
      </c>
      <c r="O11" s="32">
        <v>7</v>
      </c>
      <c r="P11" s="44">
        <f>('Flow cytometer'!N11/'Flow cytometer'!O11)*POWER(10,'Flow cytometer'!M11+2)*10.2</f>
        <v>3030274285.7142854</v>
      </c>
      <c r="Q11" s="47">
        <f>AVERAGE(H11,L11,P11)*Calculation!I11/Calculation!K10</f>
        <v>3071419978.5856943</v>
      </c>
      <c r="R11" s="48">
        <f>STDEV(H11,L11,P11)*Calculation!I11/Calculation!K10</f>
        <v>66274935.175164282</v>
      </c>
      <c r="S11" s="49">
        <f t="shared" si="1"/>
        <v>9.4873392048871033</v>
      </c>
      <c r="T11" s="49">
        <f t="shared" si="2"/>
        <v>21.845405825351026</v>
      </c>
      <c r="U11" s="49">
        <f t="shared" si="3"/>
        <v>9.4764196128640297</v>
      </c>
      <c r="V11" s="49">
        <f t="shared" si="4"/>
        <v>9.4632490652414631</v>
      </c>
      <c r="W11" s="49">
        <f t="shared" si="5"/>
        <v>9.4814819405092017</v>
      </c>
      <c r="X11" s="49">
        <f xml:space="preserve"> STDEV(U11:W11)*Calculation!I11/Calculation!K10</f>
        <v>9.7105108070820751E-3</v>
      </c>
    </row>
    <row r="12" spans="1:24">
      <c r="A12" s="65">
        <v>8</v>
      </c>
      <c r="B12" s="32">
        <v>80</v>
      </c>
      <c r="C12" s="32">
        <f t="shared" si="6"/>
        <v>680</v>
      </c>
      <c r="D12" s="13">
        <f t="shared" si="0"/>
        <v>11.333333333333334</v>
      </c>
      <c r="E12" s="32">
        <v>3</v>
      </c>
      <c r="F12" s="32">
        <v>26462</v>
      </c>
      <c r="G12" s="32">
        <v>7</v>
      </c>
      <c r="H12" s="44">
        <f>('Flow cytometer'!F12/'Flow cytometer'!G12)*POWER(10,'Flow cytometer'!E12+2)*10.2</f>
        <v>3855891428.5714278</v>
      </c>
      <c r="I12" s="32">
        <v>3</v>
      </c>
      <c r="J12" s="32">
        <v>27739</v>
      </c>
      <c r="K12" s="32">
        <v>7</v>
      </c>
      <c r="L12" s="44">
        <f>('Flow cytometer'!J12/'Flow cytometer'!K12)*POWER(10,'Flow cytometer'!I12+2)*10.2</f>
        <v>4041968571.4285712</v>
      </c>
      <c r="M12" s="32">
        <v>3</v>
      </c>
      <c r="N12" s="32">
        <v>26554</v>
      </c>
      <c r="O12" s="32">
        <v>7</v>
      </c>
      <c r="P12" s="44">
        <f>('Flow cytometer'!N12/'Flow cytometer'!O12)*POWER(10,'Flow cytometer'!M12+2)*10.2</f>
        <v>3869297142.8571424</v>
      </c>
      <c r="Q12" s="47">
        <f>AVERAGE(H12,L12,P12)*Calculation!I12/Calculation!K11</f>
        <v>4059187126.4837766</v>
      </c>
      <c r="R12" s="48">
        <f>STDEV(H12,L12,P12)*Calculation!I12/Calculation!K11</f>
        <v>107397972.59166095</v>
      </c>
      <c r="S12" s="49">
        <f t="shared" si="1"/>
        <v>9.608439072535834</v>
      </c>
      <c r="T12" s="49">
        <f t="shared" si="2"/>
        <v>22.124248575362543</v>
      </c>
      <c r="U12" s="49">
        <f t="shared" si="3"/>
        <v>9.5861247968500489</v>
      </c>
      <c r="V12" s="49">
        <f t="shared" si="4"/>
        <v>9.6065929323093666</v>
      </c>
      <c r="W12" s="49">
        <f t="shared" si="5"/>
        <v>9.5876320826672163</v>
      </c>
      <c r="X12" s="49">
        <f xml:space="preserve"> STDEV(U12:W12)*Calculation!I12/Calculation!K11</f>
        <v>1.180493678586364E-2</v>
      </c>
    </row>
    <row r="13" spans="1:24">
      <c r="A13" s="65">
        <v>9</v>
      </c>
      <c r="B13" s="32">
        <v>80</v>
      </c>
      <c r="C13" s="32">
        <f t="shared" si="6"/>
        <v>760</v>
      </c>
      <c r="D13" s="13">
        <f t="shared" si="0"/>
        <v>12.666666666666666</v>
      </c>
      <c r="E13" s="32">
        <v>4</v>
      </c>
      <c r="F13" s="32">
        <v>2384</v>
      </c>
      <c r="G13" s="32">
        <v>7</v>
      </c>
      <c r="H13" s="44">
        <f>('Flow cytometer'!F13/'Flow cytometer'!G13)*POWER(10,'Flow cytometer'!E13+2)*10.2</f>
        <v>3473828571.4285707</v>
      </c>
      <c r="I13" s="32">
        <v>4</v>
      </c>
      <c r="J13" s="32">
        <v>3302</v>
      </c>
      <c r="K13" s="32">
        <v>7</v>
      </c>
      <c r="L13" s="44">
        <f>('Flow cytometer'!J13/'Flow cytometer'!K13)*POWER(10,'Flow cytometer'!I13+2)*10.2</f>
        <v>4811485714.2857141</v>
      </c>
      <c r="M13" s="32">
        <v>4</v>
      </c>
      <c r="N13" s="32">
        <v>3023</v>
      </c>
      <c r="O13" s="32">
        <v>7</v>
      </c>
      <c r="P13" s="44">
        <f>('Flow cytometer'!N13/'Flow cytometer'!O13)*POWER(10,'Flow cytometer'!M13+2)*10.2</f>
        <v>4404942857.1428566</v>
      </c>
      <c r="Q13" s="47">
        <f>AVERAGE(H13,L13,P13)*Calculation!I13/Calculation!K12</f>
        <v>4388033444.4068394</v>
      </c>
      <c r="R13" s="48">
        <f>STDEV(H13,L13,P13)*Calculation!I13/Calculation!K12</f>
        <v>711362768.16138852</v>
      </c>
      <c r="S13" s="49">
        <f t="shared" si="1"/>
        <v>9.642269928990638</v>
      </c>
      <c r="T13" s="49">
        <f t="shared" si="2"/>
        <v>22.2021470011186</v>
      </c>
      <c r="U13" s="49">
        <f t="shared" si="3"/>
        <v>9.5408083828158592</v>
      </c>
      <c r="V13" s="49">
        <f t="shared" si="4"/>
        <v>9.6822792006744347</v>
      </c>
      <c r="W13" s="49">
        <f t="shared" si="5"/>
        <v>9.6439402789254771</v>
      </c>
      <c r="X13" s="49">
        <f xml:space="preserve"> STDEV(U13:W13)*Calculation!I13/Calculation!K12</f>
        <v>7.5898512480056288E-2</v>
      </c>
    </row>
    <row r="14" spans="1:24">
      <c r="A14" s="65">
        <v>10</v>
      </c>
      <c r="B14" s="32">
        <v>80</v>
      </c>
      <c r="C14" s="32">
        <f t="shared" si="6"/>
        <v>840</v>
      </c>
      <c r="D14" s="13">
        <f t="shared" si="0"/>
        <v>14</v>
      </c>
      <c r="E14" s="32">
        <v>4</v>
      </c>
      <c r="F14" s="32">
        <v>3466</v>
      </c>
      <c r="G14" s="32">
        <v>7</v>
      </c>
      <c r="H14" s="44">
        <f>('Flow cytometer'!F14/'Flow cytometer'!G14)*POWER(10,'Flow cytometer'!E14+2)*10.2</f>
        <v>5050457142.8571434</v>
      </c>
      <c r="I14" s="32">
        <v>4</v>
      </c>
      <c r="J14" s="32">
        <v>3543</v>
      </c>
      <c r="K14" s="32">
        <v>7</v>
      </c>
      <c r="L14" s="44">
        <f>('Flow cytometer'!J14/'Flow cytometer'!K14)*POWER(10,'Flow cytometer'!I14+2)*10.2</f>
        <v>5162657142.8571434</v>
      </c>
      <c r="M14" s="32">
        <v>4</v>
      </c>
      <c r="N14" s="32">
        <v>4449</v>
      </c>
      <c r="O14" s="32">
        <v>7</v>
      </c>
      <c r="P14" s="44">
        <f>('Flow cytometer'!N14/'Flow cytometer'!O14)*POWER(10,'Flow cytometer'!M14+2)*10.2</f>
        <v>6482828571.4285707</v>
      </c>
      <c r="Q14" s="47">
        <f>AVERAGE(H14,L14,P14)*Calculation!I14/Calculation!K13</f>
        <v>5787384647.0360184</v>
      </c>
      <c r="R14" s="48">
        <f>STDEV(H14,L14,P14)*Calculation!I14/Calculation!K13</f>
        <v>828353752.5393337</v>
      </c>
      <c r="S14" s="49">
        <f t="shared" si="1"/>
        <v>9.7624823478437222</v>
      </c>
      <c r="T14" s="49">
        <f t="shared" si="2"/>
        <v>22.478946324762468</v>
      </c>
      <c r="U14" s="49">
        <f t="shared" si="3"/>
        <v>9.7033306901255596</v>
      </c>
      <c r="V14" s="49">
        <f t="shared" si="4"/>
        <v>9.7128732840808372</v>
      </c>
      <c r="W14" s="49">
        <f t="shared" si="5"/>
        <v>9.811764537495705</v>
      </c>
      <c r="X14" s="49">
        <f xml:space="preserve"> STDEV(U14:W14)*Calculation!I14/Calculation!K13</f>
        <v>6.2435217553765826E-2</v>
      </c>
    </row>
    <row r="15" spans="1:24">
      <c r="A15" s="65">
        <v>11</v>
      </c>
      <c r="B15" s="32">
        <v>80</v>
      </c>
      <c r="C15" s="32">
        <f t="shared" si="6"/>
        <v>920</v>
      </c>
      <c r="D15" s="13">
        <f t="shared" si="0"/>
        <v>15.333333333333334</v>
      </c>
      <c r="E15" s="32">
        <v>4</v>
      </c>
      <c r="F15" s="32">
        <v>3467</v>
      </c>
      <c r="G15" s="32">
        <v>7</v>
      </c>
      <c r="H15" s="44">
        <f>('Flow cytometer'!F15/'Flow cytometer'!G15)*POWER(10,'Flow cytometer'!E15+2)*10.2</f>
        <v>5051914285.7142849</v>
      </c>
      <c r="I15" s="32">
        <v>4</v>
      </c>
      <c r="J15" s="32">
        <v>4359</v>
      </c>
      <c r="K15" s="32">
        <v>7</v>
      </c>
      <c r="L15" s="44">
        <f>('Flow cytometer'!J15/'Flow cytometer'!K15)*POWER(10,'Flow cytometer'!I15+2)*10.2</f>
        <v>6351685714.2857132</v>
      </c>
      <c r="M15" s="32">
        <v>4</v>
      </c>
      <c r="N15" s="32">
        <v>3512</v>
      </c>
      <c r="O15" s="32">
        <v>7</v>
      </c>
      <c r="P15" s="44">
        <f>('Flow cytometer'!N15/'Flow cytometer'!O15)*POWER(10,'Flow cytometer'!M15+2)*10.2</f>
        <v>5117485714.2857141</v>
      </c>
      <c r="Q15" s="47">
        <f>AVERAGE(H15,L15,P15)*Calculation!I15/Calculation!K14</f>
        <v>5741432158.4864368</v>
      </c>
      <c r="R15" s="48">
        <f>STDEV(H15,L15,P15)*Calculation!I15/Calculation!K14</f>
        <v>763395818.61391842</v>
      </c>
      <c r="S15" s="49">
        <f t="shared" si="1"/>
        <v>9.7590202375107626</v>
      </c>
      <c r="T15" s="49">
        <f t="shared" si="2"/>
        <v>22.470974521119494</v>
      </c>
      <c r="U15" s="49">
        <f t="shared" si="3"/>
        <v>9.7034559734040577</v>
      </c>
      <c r="V15" s="49">
        <f t="shared" si="4"/>
        <v>9.8028890007653438</v>
      </c>
      <c r="W15" s="49">
        <f t="shared" si="5"/>
        <v>9.7090566389817266</v>
      </c>
      <c r="X15" s="49">
        <f xml:space="preserve"> STDEV(U15:W15)*Calculation!I15/Calculation!K14</f>
        <v>5.8238845497559699E-2</v>
      </c>
    </row>
    <row r="16" spans="1:24">
      <c r="A16" s="65">
        <v>12</v>
      </c>
      <c r="B16" s="32">
        <v>80</v>
      </c>
      <c r="C16" s="32">
        <f t="shared" si="6"/>
        <v>1000</v>
      </c>
      <c r="D16" s="13">
        <f t="shared" si="0"/>
        <v>16.666666666666668</v>
      </c>
      <c r="E16" s="32">
        <v>4</v>
      </c>
      <c r="F16" s="32">
        <v>3645</v>
      </c>
      <c r="G16" s="32">
        <v>7</v>
      </c>
      <c r="H16" s="44">
        <f>('Flow cytometer'!F16/'Flow cytometer'!G16)*POWER(10,'Flow cytometer'!E16+2)*10.2</f>
        <v>5311285714.2857132</v>
      </c>
      <c r="I16" s="32">
        <v>4</v>
      </c>
      <c r="J16" s="32">
        <v>3765</v>
      </c>
      <c r="K16" s="32">
        <v>7</v>
      </c>
      <c r="L16" s="44">
        <f>('Flow cytometer'!J16/'Flow cytometer'!K16)*POWER(10,'Flow cytometer'!I16+2)*10.2</f>
        <v>5486142857.1428576</v>
      </c>
      <c r="M16" s="32">
        <v>4</v>
      </c>
      <c r="N16" s="32">
        <v>3785</v>
      </c>
      <c r="O16" s="32">
        <v>7</v>
      </c>
      <c r="P16" s="44">
        <f>('Flow cytometer'!N16/'Flow cytometer'!O16)*POWER(10,'Flow cytometer'!M16+2)*10.2</f>
        <v>5515285714.2857132</v>
      </c>
      <c r="Q16" s="47">
        <f>AVERAGE(H16,L16,P16)*Calculation!I16/Calculation!K15</f>
        <v>5679052272.5002937</v>
      </c>
      <c r="R16" s="48">
        <f>STDEV(H16,L16,P16)*Calculation!I16/Calculation!K15</f>
        <v>115232933.79736678</v>
      </c>
      <c r="S16" s="49">
        <f t="shared" si="1"/>
        <v>9.7542758661396931</v>
      </c>
      <c r="T16" s="49">
        <f t="shared" si="2"/>
        <v>22.46005020232484</v>
      </c>
      <c r="U16" s="49">
        <f t="shared" si="3"/>
        <v>9.7251996644016536</v>
      </c>
      <c r="V16" s="49">
        <f t="shared" si="4"/>
        <v>9.7392671122843808</v>
      </c>
      <c r="W16" s="49">
        <f t="shared" si="5"/>
        <v>9.7415680155837521</v>
      </c>
      <c r="X16" s="49">
        <f xml:space="preserve"> STDEV(U16:W16)*Calculation!I16/Calculation!K15</f>
        <v>9.2545755279315762E-3</v>
      </c>
    </row>
    <row r="17" spans="1:24">
      <c r="A17" s="65">
        <v>13</v>
      </c>
      <c r="B17" s="32">
        <v>80</v>
      </c>
      <c r="C17" s="32">
        <f t="shared" si="6"/>
        <v>1080</v>
      </c>
      <c r="D17" s="13">
        <f t="shared" si="0"/>
        <v>18</v>
      </c>
      <c r="E17" s="32">
        <v>4</v>
      </c>
      <c r="F17" s="32">
        <v>6574</v>
      </c>
      <c r="G17" s="32">
        <v>7</v>
      </c>
      <c r="H17" s="44">
        <f>('Flow cytometer'!F17/'Flow cytometer'!G17)*POWER(10,'Flow cytometer'!E17+2)*10.2</f>
        <v>9579257142.8571415</v>
      </c>
      <c r="I17" s="32">
        <v>4</v>
      </c>
      <c r="J17" s="32">
        <v>7564</v>
      </c>
      <c r="K17" s="32">
        <v>7</v>
      </c>
      <c r="L17" s="44">
        <f>('Flow cytometer'!J17/'Flow cytometer'!K17)*POWER(10,'Flow cytometer'!I17+2)*10.2</f>
        <v>11021828571.428574</v>
      </c>
      <c r="M17" s="32">
        <v>4</v>
      </c>
      <c r="N17" s="32">
        <v>7322</v>
      </c>
      <c r="O17" s="32">
        <v>7</v>
      </c>
      <c r="P17" s="44">
        <f>('Flow cytometer'!N17/'Flow cytometer'!O17)*POWER(10,'Flow cytometer'!M17+2)*10.2</f>
        <v>10669200000</v>
      </c>
      <c r="Q17" s="47">
        <f>AVERAGE(H17,L17,P17)*Calculation!I17/Calculation!K16</f>
        <v>10916430220.323647</v>
      </c>
      <c r="R17" s="48">
        <f>STDEV(H17,L17,P17)*Calculation!I17/Calculation!K16</f>
        <v>787603740.83834875</v>
      </c>
      <c r="S17" s="49">
        <f t="shared" si="1"/>
        <v>10.03808064303219</v>
      </c>
      <c r="T17" s="49">
        <f t="shared" si="2"/>
        <v>23.113534850918004</v>
      </c>
      <c r="U17" s="49">
        <f t="shared" si="3"/>
        <v>9.9813318314932662</v>
      </c>
      <c r="V17" s="49">
        <f t="shared" si="4"/>
        <v>10.042253651920664</v>
      </c>
      <c r="W17" s="49">
        <f t="shared" si="5"/>
        <v>10.028131856293173</v>
      </c>
      <c r="X17" s="49">
        <f xml:space="preserve"> STDEV(U17:W17)*Calculation!I17/Calculation!K16</f>
        <v>3.3396408391834442E-2</v>
      </c>
    </row>
    <row r="18" spans="1:24">
      <c r="A18" s="65">
        <v>14</v>
      </c>
      <c r="B18" s="32">
        <v>360</v>
      </c>
      <c r="C18" s="32">
        <f t="shared" si="6"/>
        <v>1440</v>
      </c>
      <c r="D18" s="13">
        <f t="shared" si="0"/>
        <v>24</v>
      </c>
      <c r="E18" s="32">
        <v>4</v>
      </c>
      <c r="F18" s="32">
        <v>4711</v>
      </c>
      <c r="G18" s="32">
        <v>7</v>
      </c>
      <c r="H18" s="44">
        <f>('Flow cytometer'!F18/'Flow cytometer'!G18)*POWER(10,'Flow cytometer'!E18+2)*10.2</f>
        <v>6864599999.999999</v>
      </c>
      <c r="I18" s="32">
        <v>4</v>
      </c>
      <c r="J18" s="32">
        <v>4641</v>
      </c>
      <c r="K18" s="32">
        <v>7</v>
      </c>
      <c r="L18" s="44">
        <f>('Flow cytometer'!J18/'Flow cytometer'!K18)*POWER(10,'Flow cytometer'!I18+2)*10.2</f>
        <v>6762600000</v>
      </c>
      <c r="M18" s="32">
        <v>4</v>
      </c>
      <c r="N18" s="32">
        <v>4931</v>
      </c>
      <c r="O18" s="32">
        <v>7</v>
      </c>
      <c r="P18" s="44">
        <f>('Flow cytometer'!N18/'Flow cytometer'!O18)*POWER(10,'Flow cytometer'!M18+2)*10.2</f>
        <v>7185171428.5714283</v>
      </c>
      <c r="Q18" s="47">
        <f>AVERAGE(H18,L18,P18)*Calculation!I18/Calculation!K17</f>
        <v>7328335753.5048752</v>
      </c>
      <c r="R18" s="48">
        <f>STDEV(H18,L18,P18)*Calculation!I18/Calculation!K17</f>
        <v>232929727.36227769</v>
      </c>
      <c r="S18" s="49">
        <f t="shared" si="1"/>
        <v>9.8650053586611666</v>
      </c>
      <c r="T18" s="49">
        <f t="shared" si="2"/>
        <v>22.715014281159583</v>
      </c>
      <c r="U18" s="49">
        <f t="shared" si="3"/>
        <v>9.836615235985894</v>
      </c>
      <c r="V18" s="49">
        <f t="shared" si="4"/>
        <v>9.8301137001666898</v>
      </c>
      <c r="W18" s="49">
        <f t="shared" si="5"/>
        <v>9.8564371342787993</v>
      </c>
      <c r="X18" s="49">
        <f xml:space="preserve"> STDEV(U18:W18)*Calculation!I18/Calculation!K17</f>
        <v>1.4484495544325644E-2</v>
      </c>
    </row>
    <row r="19" spans="1:24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32">
        <v>4</v>
      </c>
      <c r="F19" s="32">
        <v>4711</v>
      </c>
      <c r="G19" s="32">
        <v>7</v>
      </c>
      <c r="H19" s="44">
        <f>('Flow cytometer'!F19/'Flow cytometer'!G19)*POWER(10,'Flow cytometer'!E19+2)*10.2</f>
        <v>6864599999.999999</v>
      </c>
      <c r="I19" s="32">
        <v>4</v>
      </c>
      <c r="J19" s="32">
        <v>4641</v>
      </c>
      <c r="K19" s="32">
        <v>7</v>
      </c>
      <c r="L19" s="44">
        <f>('Flow cytometer'!J19/'Flow cytometer'!K19)*POWER(10,'Flow cytometer'!I19+2)*10.2</f>
        <v>6762600000</v>
      </c>
      <c r="M19" s="32">
        <v>4</v>
      </c>
      <c r="N19" s="32">
        <v>4931</v>
      </c>
      <c r="O19" s="32">
        <v>7</v>
      </c>
      <c r="P19" s="44">
        <f>('Flow cytometer'!N19/'Flow cytometer'!O19)*POWER(10,'Flow cytometer'!M19+2)*10.2</f>
        <v>7185171428.5714283</v>
      </c>
      <c r="Q19" s="47">
        <f>AVERAGE(H19,L19,P19)*Calculation!I19/Calculation!K18</f>
        <v>7328335753.5048761</v>
      </c>
      <c r="R19" s="48">
        <f>STDEV(H19,L19,P19)*Calculation!I19/Calculation!K18</f>
        <v>232929727.36227769</v>
      </c>
      <c r="S19" s="49">
        <f t="shared" si="1"/>
        <v>9.8650053586611666</v>
      </c>
      <c r="T19" s="49">
        <f t="shared" si="2"/>
        <v>22.715014281159583</v>
      </c>
      <c r="U19" s="49">
        <f t="shared" si="3"/>
        <v>9.836615235985894</v>
      </c>
      <c r="V19" s="49">
        <f t="shared" si="4"/>
        <v>9.8301137001666898</v>
      </c>
      <c r="W19" s="49">
        <f t="shared" si="5"/>
        <v>9.8564371342787993</v>
      </c>
      <c r="X19" s="49">
        <f xml:space="preserve"> STDEV(U19:W19)*Calculation!I19/Calculation!K18</f>
        <v>1.4484495544325644E-2</v>
      </c>
    </row>
    <row r="20" spans="1:24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32">
        <v>4</v>
      </c>
      <c r="F20" s="32">
        <v>6431</v>
      </c>
      <c r="G20" s="32">
        <v>7</v>
      </c>
      <c r="H20" s="44">
        <f>('Flow cytometer'!F20/'Flow cytometer'!G20)*POWER(10,'Flow cytometer'!E20+2)*10.2</f>
        <v>9370885714.2857132</v>
      </c>
      <c r="I20" s="32">
        <v>4</v>
      </c>
      <c r="J20" s="32">
        <v>7290</v>
      </c>
      <c r="K20" s="32">
        <v>7</v>
      </c>
      <c r="L20" s="44">
        <f>('Flow cytometer'!J20/'Flow cytometer'!K20)*POWER(10,'Flow cytometer'!I20+2)*10.2</f>
        <v>10622571428.571426</v>
      </c>
      <c r="M20" s="32">
        <v>4</v>
      </c>
      <c r="N20" s="32">
        <v>6744</v>
      </c>
      <c r="O20" s="32">
        <v>7</v>
      </c>
      <c r="P20" s="44">
        <f>('Flow cytometer'!N20/'Flow cytometer'!O20)*POWER(10,'Flow cytometer'!M20+2)*10.2</f>
        <v>9826971428.5714283</v>
      </c>
      <c r="Q20" s="47">
        <f>AVERAGE(H20,L20,P20)*Calculation!I20/Calculation!K19</f>
        <v>10500202422.143616</v>
      </c>
      <c r="R20" s="48">
        <f>STDEV(H20,L20,P20)*Calculation!I20/Calculation!K19</f>
        <v>669162459.26936507</v>
      </c>
      <c r="S20" s="49">
        <f t="shared" ref="S20" si="7">LOG(Q20)</f>
        <v>10.021197671448283</v>
      </c>
      <c r="T20" s="49">
        <f t="shared" ref="T20" si="8">LN(Q20)</f>
        <v>23.074660372223455</v>
      </c>
      <c r="U20" s="49">
        <f t="shared" si="3"/>
        <v>9.9717806413304277</v>
      </c>
      <c r="V20" s="49">
        <f t="shared" si="4"/>
        <v>10.026229660065635</v>
      </c>
      <c r="W20" s="49">
        <f t="shared" si="5"/>
        <v>9.9924196933643472</v>
      </c>
      <c r="X20" s="49">
        <f xml:space="preserve"> STDEV(U20:W20)*Calculation!I20/Calculation!K19</f>
        <v>2.9037527855038669E-2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17" workbookViewId="0">
      <selection activeCell="G13" sqref="G13"/>
    </sheetView>
  </sheetViews>
  <sheetFormatPr baseColWidth="10" defaultColWidth="8.83203125" defaultRowHeight="14" x14ac:dyDescent="0"/>
  <cols>
    <col min="1" max="2" width="8.83203125" style="84"/>
    <col min="3" max="3" width="9.83203125" style="84" customWidth="1"/>
    <col min="4" max="17" width="8.83203125" style="84"/>
    <col min="18" max="18" width="13.83203125" style="84" bestFit="1" customWidth="1"/>
    <col min="19" max="16384" width="8.83203125" style="84"/>
  </cols>
  <sheetData>
    <row r="1" spans="2:18">
      <c r="B1" s="142" t="s">
        <v>4</v>
      </c>
      <c r="C1" s="144" t="s">
        <v>185</v>
      </c>
      <c r="D1" s="145" t="s">
        <v>18</v>
      </c>
      <c r="E1" s="145"/>
      <c r="F1" s="145"/>
      <c r="G1" s="145"/>
      <c r="H1" s="145" t="s">
        <v>20</v>
      </c>
      <c r="I1" s="145"/>
      <c r="J1" s="145"/>
      <c r="K1" s="145"/>
      <c r="L1" s="145" t="s">
        <v>21</v>
      </c>
      <c r="M1" s="145"/>
      <c r="N1" s="145"/>
      <c r="O1" s="145"/>
      <c r="P1" s="85" t="s">
        <v>22</v>
      </c>
      <c r="Q1" s="85" t="s">
        <v>22</v>
      </c>
      <c r="R1" s="85" t="s">
        <v>22</v>
      </c>
    </row>
    <row r="2" spans="2:18">
      <c r="B2" s="143"/>
      <c r="C2" s="143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</row>
    <row r="3" spans="2:18"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39"/>
      <c r="Q3" s="140"/>
      <c r="R3" s="141"/>
    </row>
    <row r="4" spans="2:18">
      <c r="B4" s="91" t="s">
        <v>187</v>
      </c>
      <c r="C4" s="92">
        <v>500</v>
      </c>
      <c r="D4" s="92">
        <v>3</v>
      </c>
      <c r="E4" s="92">
        <v>14133</v>
      </c>
      <c r="F4" s="92">
        <v>7</v>
      </c>
      <c r="G4" s="90">
        <f>(E4/F4)*(10.2)*POWER(10,D4+2)</f>
        <v>2059380000</v>
      </c>
      <c r="H4" s="92">
        <v>3</v>
      </c>
      <c r="I4" s="92">
        <v>15082</v>
      </c>
      <c r="J4" s="92">
        <v>7</v>
      </c>
      <c r="K4" s="90">
        <f t="shared" ref="K4:K18" si="0">(I4/J4)*(10.2)*POWER(10,H4+2)</f>
        <v>2197662857.1428571</v>
      </c>
      <c r="L4" s="92">
        <v>3</v>
      </c>
      <c r="M4" s="92">
        <v>15922</v>
      </c>
      <c r="N4" s="92">
        <v>7</v>
      </c>
      <c r="O4" s="90">
        <f t="shared" ref="O4:O19" si="1">(M4/N4)*(10.2)*POWER(10,L4+2)</f>
        <v>2320062857.1428571</v>
      </c>
      <c r="P4" s="93">
        <f t="shared" ref="P4:P19" si="2">AVERAGE(O4,K4,G4)</f>
        <v>2192368571.4285712</v>
      </c>
      <c r="Q4" s="93">
        <f t="shared" ref="Q4:Q19" si="3">STDEV(O4,K4,G4)</f>
        <v>130422046.05801573</v>
      </c>
      <c r="R4" s="94">
        <f>LOG(P4)</f>
        <v>9.3409135676416426</v>
      </c>
    </row>
    <row r="5" spans="2:18">
      <c r="B5" s="91" t="s">
        <v>188</v>
      </c>
      <c r="C5" s="92">
        <v>500</v>
      </c>
      <c r="D5" s="92">
        <v>2</v>
      </c>
      <c r="E5" s="92">
        <v>16544</v>
      </c>
      <c r="F5" s="92">
        <v>7</v>
      </c>
      <c r="G5" s="90">
        <f t="shared" ref="G5:G19" si="4">(E5/F5)*(10.2)*POWER(10,D5+2)</f>
        <v>241069714.2857143</v>
      </c>
      <c r="H5" s="92">
        <v>2</v>
      </c>
      <c r="I5" s="92">
        <v>15924</v>
      </c>
      <c r="J5" s="92">
        <v>7</v>
      </c>
      <c r="K5" s="90">
        <f t="shared" si="0"/>
        <v>232035428.57142854</v>
      </c>
      <c r="L5" s="92">
        <v>2</v>
      </c>
      <c r="M5" s="92">
        <v>15173</v>
      </c>
      <c r="N5" s="92">
        <v>7</v>
      </c>
      <c r="O5" s="90">
        <f t="shared" si="1"/>
        <v>221092285.71428567</v>
      </c>
      <c r="P5" s="93">
        <f t="shared" si="2"/>
        <v>231399142.85714284</v>
      </c>
      <c r="Q5" s="93">
        <f t="shared" si="3"/>
        <v>10003902.124385577</v>
      </c>
      <c r="R5" s="94">
        <f t="shared" ref="R5:R19" si="5">LOG(P5)</f>
        <v>8.3643617459160655</v>
      </c>
    </row>
    <row r="6" spans="2:18">
      <c r="B6" s="91" t="s">
        <v>189</v>
      </c>
      <c r="C6" s="92">
        <v>500</v>
      </c>
      <c r="D6" s="92">
        <v>1</v>
      </c>
      <c r="E6" s="92">
        <v>18107</v>
      </c>
      <c r="F6" s="92">
        <v>7</v>
      </c>
      <c r="G6" s="90">
        <f t="shared" si="4"/>
        <v>26384485.714285713</v>
      </c>
      <c r="H6" s="92">
        <v>1</v>
      </c>
      <c r="I6" s="92">
        <v>18423</v>
      </c>
      <c r="J6" s="92">
        <v>7</v>
      </c>
      <c r="K6" s="90">
        <f t="shared" si="0"/>
        <v>26844942.857142854</v>
      </c>
      <c r="L6" s="92">
        <v>1</v>
      </c>
      <c r="M6" s="92">
        <v>17005</v>
      </c>
      <c r="N6" s="92">
        <v>7</v>
      </c>
      <c r="O6" s="90">
        <f t="shared" si="1"/>
        <v>24778714.285714284</v>
      </c>
      <c r="P6" s="93">
        <f t="shared" si="2"/>
        <v>26002714.285714284</v>
      </c>
      <c r="Q6" s="93">
        <f t="shared" si="3"/>
        <v>1084729.0883451225</v>
      </c>
      <c r="R6" s="94">
        <f t="shared" si="5"/>
        <v>7.4150186840393397</v>
      </c>
    </row>
    <row r="7" spans="2:18">
      <c r="B7" s="91" t="s">
        <v>190</v>
      </c>
      <c r="C7" s="92">
        <v>500</v>
      </c>
      <c r="D7" s="92">
        <v>1</v>
      </c>
      <c r="E7" s="92">
        <v>1825</v>
      </c>
      <c r="F7" s="92">
        <v>7</v>
      </c>
      <c r="G7" s="90">
        <f t="shared" si="4"/>
        <v>2659285.7142857141</v>
      </c>
      <c r="H7" s="92">
        <v>1</v>
      </c>
      <c r="I7" s="92">
        <v>1808</v>
      </c>
      <c r="J7" s="92">
        <v>7</v>
      </c>
      <c r="K7" s="90">
        <f t="shared" si="0"/>
        <v>2634514.2857142854</v>
      </c>
      <c r="L7" s="92">
        <v>1</v>
      </c>
      <c r="M7" s="92">
        <v>1822</v>
      </c>
      <c r="N7" s="92">
        <v>7</v>
      </c>
      <c r="O7" s="90">
        <f t="shared" si="1"/>
        <v>2654914.2857142854</v>
      </c>
      <c r="P7" s="93">
        <f t="shared" si="2"/>
        <v>2649571.4285714286</v>
      </c>
      <c r="Q7" s="93">
        <f t="shared" si="3"/>
        <v>13221.78165770719</v>
      </c>
      <c r="R7" s="94">
        <f t="shared" si="5"/>
        <v>6.4231756319523594</v>
      </c>
    </row>
    <row r="8" spans="2:18">
      <c r="B8" s="91" t="s">
        <v>191</v>
      </c>
      <c r="C8" s="92">
        <v>500</v>
      </c>
      <c r="D8" s="92">
        <v>0</v>
      </c>
      <c r="E8" s="92">
        <v>2306</v>
      </c>
      <c r="F8" s="92">
        <v>7</v>
      </c>
      <c r="G8" s="90">
        <f t="shared" si="4"/>
        <v>336017.14285714284</v>
      </c>
      <c r="H8" s="92">
        <v>0</v>
      </c>
      <c r="I8" s="92">
        <v>2052</v>
      </c>
      <c r="J8" s="92">
        <v>7</v>
      </c>
      <c r="K8" s="90">
        <f t="shared" si="0"/>
        <v>299005.71428571432</v>
      </c>
      <c r="L8" s="92">
        <v>0</v>
      </c>
      <c r="M8" s="92">
        <v>2049</v>
      </c>
      <c r="N8" s="92">
        <v>7</v>
      </c>
      <c r="O8" s="90">
        <f t="shared" si="1"/>
        <v>298568.57142857142</v>
      </c>
      <c r="P8" s="93">
        <f t="shared" si="2"/>
        <v>311197.14285714284</v>
      </c>
      <c r="Q8" s="93">
        <f t="shared" si="3"/>
        <v>21495.861775453133</v>
      </c>
      <c r="R8" s="94">
        <f t="shared" si="5"/>
        <v>5.4930356010198587</v>
      </c>
    </row>
    <row r="9" spans="2:18">
      <c r="B9" s="91" t="s">
        <v>192</v>
      </c>
      <c r="C9" s="92">
        <v>1000</v>
      </c>
      <c r="D9" s="92">
        <v>3</v>
      </c>
      <c r="E9" s="92">
        <v>13995</v>
      </c>
      <c r="F9" s="92">
        <v>7</v>
      </c>
      <c r="G9" s="90">
        <f t="shared" si="4"/>
        <v>2039271428.5714283</v>
      </c>
      <c r="H9" s="92">
        <v>3</v>
      </c>
      <c r="I9" s="92">
        <v>13769</v>
      </c>
      <c r="J9" s="92">
        <v>7</v>
      </c>
      <c r="K9" s="90">
        <f t="shared" si="0"/>
        <v>2006339999.9999998</v>
      </c>
      <c r="L9" s="92">
        <v>3</v>
      </c>
      <c r="M9" s="92">
        <v>15093</v>
      </c>
      <c r="N9" s="92">
        <v>7</v>
      </c>
      <c r="O9" s="90">
        <f t="shared" si="1"/>
        <v>2199265714.2857146</v>
      </c>
      <c r="P9" s="93">
        <f t="shared" si="2"/>
        <v>2081625714.2857141</v>
      </c>
      <c r="Q9" s="93">
        <f t="shared" si="3"/>
        <v>103201244.89045103</v>
      </c>
      <c r="R9" s="94">
        <f t="shared" si="5"/>
        <v>9.3184026440827186</v>
      </c>
    </row>
    <row r="10" spans="2:18">
      <c r="B10" s="91" t="s">
        <v>193</v>
      </c>
      <c r="C10" s="92">
        <v>900</v>
      </c>
      <c r="D10" s="92">
        <v>3</v>
      </c>
      <c r="E10" s="92">
        <v>6387</v>
      </c>
      <c r="F10" s="92">
        <v>7</v>
      </c>
      <c r="G10" s="90">
        <f t="shared" si="4"/>
        <v>930677142.85714281</v>
      </c>
      <c r="H10" s="92">
        <v>3</v>
      </c>
      <c r="I10" s="92">
        <v>7378</v>
      </c>
      <c r="J10" s="92">
        <v>7</v>
      </c>
      <c r="K10" s="90">
        <f t="shared" si="0"/>
        <v>1075080000</v>
      </c>
      <c r="L10" s="92">
        <v>3</v>
      </c>
      <c r="M10" s="92">
        <v>6564</v>
      </c>
      <c r="N10" s="92">
        <v>7</v>
      </c>
      <c r="O10" s="90">
        <f t="shared" si="1"/>
        <v>956468571.42857134</v>
      </c>
      <c r="P10" s="93">
        <f t="shared" si="2"/>
        <v>987408571.42857134</v>
      </c>
      <c r="Q10" s="93">
        <f t="shared" si="3"/>
        <v>77013044.270143658</v>
      </c>
      <c r="R10" s="94">
        <f t="shared" si="5"/>
        <v>8.9944968928936131</v>
      </c>
    </row>
    <row r="11" spans="2:18">
      <c r="B11" s="91" t="s">
        <v>194</v>
      </c>
      <c r="C11" s="92">
        <v>900</v>
      </c>
      <c r="D11" s="92">
        <v>3</v>
      </c>
      <c r="E11" s="92">
        <v>3341</v>
      </c>
      <c r="F11" s="92">
        <v>7</v>
      </c>
      <c r="G11" s="90">
        <f t="shared" si="4"/>
        <v>486831428.5714286</v>
      </c>
      <c r="H11" s="92">
        <v>3</v>
      </c>
      <c r="I11" s="92">
        <v>3712</v>
      </c>
      <c r="J11" s="92">
        <v>7</v>
      </c>
      <c r="K11" s="90">
        <f t="shared" si="0"/>
        <v>540891428.57142866</v>
      </c>
      <c r="L11" s="92">
        <v>3</v>
      </c>
      <c r="M11" s="92">
        <v>3690</v>
      </c>
      <c r="N11" s="92">
        <v>7</v>
      </c>
      <c r="O11" s="90">
        <f t="shared" si="1"/>
        <v>537685714.28571427</v>
      </c>
      <c r="P11" s="93">
        <f t="shared" si="2"/>
        <v>521802857.14285713</v>
      </c>
      <c r="Q11" s="93">
        <f t="shared" si="3"/>
        <v>30328530.516088422</v>
      </c>
      <c r="R11" s="94">
        <f t="shared" si="5"/>
        <v>8.7175064527595634</v>
      </c>
    </row>
    <row r="12" spans="2:18">
      <c r="B12" s="91" t="s">
        <v>195</v>
      </c>
      <c r="C12" s="92">
        <v>900</v>
      </c>
      <c r="D12" s="92">
        <v>2</v>
      </c>
      <c r="E12" s="92">
        <v>19134</v>
      </c>
      <c r="F12" s="92">
        <v>7</v>
      </c>
      <c r="G12" s="90">
        <f>(E12/F12)*(10.2)*POWER(10,D12+2)</f>
        <v>278809714.28571427</v>
      </c>
      <c r="H12" s="92">
        <v>2</v>
      </c>
      <c r="I12" s="92">
        <v>18838</v>
      </c>
      <c r="J12" s="92">
        <v>7</v>
      </c>
      <c r="K12" s="90">
        <f t="shared" si="0"/>
        <v>274496571.42857146</v>
      </c>
      <c r="L12" s="92">
        <v>2</v>
      </c>
      <c r="M12" s="92">
        <v>18096</v>
      </c>
      <c r="N12" s="92">
        <v>7</v>
      </c>
      <c r="O12" s="90">
        <f t="shared" si="1"/>
        <v>263684571.42857143</v>
      </c>
      <c r="P12" s="93">
        <f t="shared" si="2"/>
        <v>272330285.71428573</v>
      </c>
      <c r="Q12" s="93">
        <f t="shared" si="3"/>
        <v>7791795.8109272597</v>
      </c>
      <c r="R12" s="94">
        <f t="shared" si="5"/>
        <v>8.4350959416969342</v>
      </c>
    </row>
    <row r="13" spans="2:18">
      <c r="B13" s="91" t="s">
        <v>196</v>
      </c>
      <c r="C13" s="92">
        <v>900</v>
      </c>
      <c r="D13" s="92">
        <v>2</v>
      </c>
      <c r="E13" s="92">
        <v>9224</v>
      </c>
      <c r="F13" s="92">
        <v>7</v>
      </c>
      <c r="G13" s="90">
        <f t="shared" si="4"/>
        <v>134406857.14285713</v>
      </c>
      <c r="H13" s="92">
        <v>2</v>
      </c>
      <c r="I13" s="92">
        <v>9341</v>
      </c>
      <c r="J13" s="92">
        <v>7</v>
      </c>
      <c r="K13" s="90">
        <f t="shared" si="0"/>
        <v>136111714.28571427</v>
      </c>
      <c r="L13" s="92">
        <v>2</v>
      </c>
      <c r="M13" s="92">
        <v>9173</v>
      </c>
      <c r="N13" s="92">
        <v>7</v>
      </c>
      <c r="O13" s="90">
        <f t="shared" si="1"/>
        <v>133663714.28571427</v>
      </c>
      <c r="P13" s="93">
        <f t="shared" si="2"/>
        <v>134727428.57142857</v>
      </c>
      <c r="Q13" s="93">
        <f t="shared" si="3"/>
        <v>1255089.8496172463</v>
      </c>
      <c r="R13" s="94">
        <f t="shared" si="5"/>
        <v>8.1294560208497231</v>
      </c>
    </row>
    <row r="14" spans="2:18">
      <c r="B14" s="91" t="s">
        <v>197</v>
      </c>
      <c r="C14" s="92">
        <v>900</v>
      </c>
      <c r="D14" s="92">
        <v>2</v>
      </c>
      <c r="E14" s="92">
        <v>4238</v>
      </c>
      <c r="F14" s="92">
        <v>7</v>
      </c>
      <c r="G14" s="90">
        <f t="shared" si="4"/>
        <v>61753714.285714284</v>
      </c>
      <c r="H14" s="92">
        <v>2</v>
      </c>
      <c r="I14" s="92">
        <v>4832</v>
      </c>
      <c r="J14" s="92">
        <v>7</v>
      </c>
      <c r="K14" s="90">
        <f t="shared" si="0"/>
        <v>70409142.857142866</v>
      </c>
      <c r="L14" s="92">
        <v>2</v>
      </c>
      <c r="M14" s="92">
        <v>4770</v>
      </c>
      <c r="N14" s="92">
        <v>7</v>
      </c>
      <c r="O14" s="90">
        <f t="shared" si="1"/>
        <v>69505714.285714284</v>
      </c>
      <c r="P14" s="93">
        <f t="shared" si="2"/>
        <v>67222857.142857134</v>
      </c>
      <c r="Q14" s="93">
        <f t="shared" si="3"/>
        <v>4757907.9950957391</v>
      </c>
      <c r="R14" s="94">
        <f t="shared" si="5"/>
        <v>7.8275169671487372</v>
      </c>
    </row>
    <row r="15" spans="2:18">
      <c r="B15" s="91" t="s">
        <v>198</v>
      </c>
      <c r="C15" s="92">
        <v>900</v>
      </c>
      <c r="D15" s="92">
        <v>1</v>
      </c>
      <c r="E15" s="92">
        <v>22411</v>
      </c>
      <c r="F15" s="92">
        <v>7</v>
      </c>
      <c r="G15" s="90">
        <f t="shared" si="4"/>
        <v>32656028.571428567</v>
      </c>
      <c r="H15" s="92">
        <v>1</v>
      </c>
      <c r="I15" s="92">
        <v>23826</v>
      </c>
      <c r="J15" s="92">
        <v>7</v>
      </c>
      <c r="K15" s="90">
        <f t="shared" si="0"/>
        <v>34717885.714285716</v>
      </c>
      <c r="L15" s="92">
        <v>1</v>
      </c>
      <c r="M15" s="92">
        <v>24471</v>
      </c>
      <c r="N15" s="92">
        <v>7</v>
      </c>
      <c r="O15" s="90">
        <f t="shared" si="1"/>
        <v>35657742.857142851</v>
      </c>
      <c r="P15" s="93">
        <f t="shared" si="2"/>
        <v>34343885.714285709</v>
      </c>
      <c r="Q15" s="93">
        <f t="shared" si="3"/>
        <v>1535408.4678890193</v>
      </c>
      <c r="R15" s="94">
        <f t="shared" si="5"/>
        <v>7.5358494302775298</v>
      </c>
    </row>
    <row r="16" spans="2:18">
      <c r="B16" s="91" t="s">
        <v>199</v>
      </c>
      <c r="C16" s="92">
        <v>900</v>
      </c>
      <c r="D16" s="92">
        <v>1</v>
      </c>
      <c r="E16" s="92">
        <v>12012</v>
      </c>
      <c r="F16" s="92">
        <v>7</v>
      </c>
      <c r="G16" s="90">
        <f t="shared" si="4"/>
        <v>17503199.999999996</v>
      </c>
      <c r="H16" s="92">
        <v>1</v>
      </c>
      <c r="I16" s="92">
        <v>12668</v>
      </c>
      <c r="J16" s="92">
        <v>7</v>
      </c>
      <c r="K16" s="90">
        <f t="shared" si="0"/>
        <v>18459085.714285713</v>
      </c>
      <c r="L16" s="92">
        <v>1</v>
      </c>
      <c r="M16" s="92">
        <v>11470</v>
      </c>
      <c r="N16" s="92">
        <v>7</v>
      </c>
      <c r="O16" s="90">
        <f t="shared" si="1"/>
        <v>16713428.571428573</v>
      </c>
      <c r="P16" s="93">
        <f t="shared" si="2"/>
        <v>17558571.428571429</v>
      </c>
      <c r="Q16" s="93">
        <f t="shared" si="3"/>
        <v>874144.84579420183</v>
      </c>
      <c r="R16" s="94">
        <f t="shared" si="5"/>
        <v>7.2444891786585481</v>
      </c>
    </row>
    <row r="17" spans="2:18">
      <c r="B17" s="91" t="s">
        <v>200</v>
      </c>
      <c r="C17" s="92">
        <v>900</v>
      </c>
      <c r="D17" s="92">
        <v>1</v>
      </c>
      <c r="E17" s="92">
        <v>5750</v>
      </c>
      <c r="F17" s="92">
        <v>7</v>
      </c>
      <c r="G17" s="90">
        <f t="shared" si="4"/>
        <v>8378571.4285714272</v>
      </c>
      <c r="H17" s="92">
        <v>1</v>
      </c>
      <c r="I17" s="92">
        <v>5481</v>
      </c>
      <c r="J17" s="92">
        <v>7</v>
      </c>
      <c r="K17" s="90">
        <f t="shared" si="0"/>
        <v>7986599.9999999991</v>
      </c>
      <c r="L17" s="92">
        <v>1</v>
      </c>
      <c r="M17" s="92">
        <v>5831</v>
      </c>
      <c r="N17" s="92">
        <v>7</v>
      </c>
      <c r="O17" s="90">
        <f t="shared" si="1"/>
        <v>8496599.9999999981</v>
      </c>
      <c r="P17" s="93">
        <f t="shared" si="2"/>
        <v>8287257.1428571418</v>
      </c>
      <c r="Q17" s="93">
        <f t="shared" si="3"/>
        <v>266980.75601367303</v>
      </c>
      <c r="R17" s="94">
        <f t="shared" si="5"/>
        <v>6.9184108146481318</v>
      </c>
    </row>
    <row r="18" spans="2:18">
      <c r="B18" s="91" t="s">
        <v>201</v>
      </c>
      <c r="C18" s="92">
        <v>900</v>
      </c>
      <c r="D18" s="92">
        <v>1</v>
      </c>
      <c r="E18" s="92">
        <v>2868</v>
      </c>
      <c r="F18" s="92">
        <v>7</v>
      </c>
      <c r="G18" s="90">
        <f t="shared" si="4"/>
        <v>4179085.7142857141</v>
      </c>
      <c r="H18" s="92">
        <v>1</v>
      </c>
      <c r="I18" s="92">
        <v>2835</v>
      </c>
      <c r="J18" s="92">
        <v>7</v>
      </c>
      <c r="K18" s="90">
        <f t="shared" si="0"/>
        <v>4131000</v>
      </c>
      <c r="L18" s="92">
        <v>1</v>
      </c>
      <c r="M18" s="92">
        <v>2976</v>
      </c>
      <c r="N18" s="92">
        <v>7</v>
      </c>
      <c r="O18" s="90">
        <f t="shared" si="1"/>
        <v>4336457.1428571427</v>
      </c>
      <c r="P18" s="93">
        <f t="shared" si="2"/>
        <v>4215514.2857142854</v>
      </c>
      <c r="Q18" s="93">
        <f t="shared" si="3"/>
        <v>107463.6682790979</v>
      </c>
      <c r="R18" s="94">
        <f t="shared" si="5"/>
        <v>6.6248505653956435</v>
      </c>
    </row>
    <row r="19" spans="2:18">
      <c r="B19" s="91" t="s">
        <v>202</v>
      </c>
      <c r="C19" s="92">
        <v>900</v>
      </c>
      <c r="D19" s="92">
        <v>0</v>
      </c>
      <c r="E19" s="92">
        <v>10096</v>
      </c>
      <c r="F19" s="92">
        <v>7</v>
      </c>
      <c r="G19" s="90">
        <f t="shared" si="4"/>
        <v>1471131.4285714284</v>
      </c>
      <c r="H19" s="92">
        <v>0</v>
      </c>
      <c r="I19" s="92">
        <v>8923</v>
      </c>
      <c r="J19" s="92">
        <v>7</v>
      </c>
      <c r="K19" s="90">
        <f>(I19/J19)*(10.2)*POWER(10,H19+2)</f>
        <v>1300208.5714285716</v>
      </c>
      <c r="L19" s="92">
        <v>0</v>
      </c>
      <c r="M19" s="92">
        <v>8050</v>
      </c>
      <c r="N19" s="92">
        <v>7</v>
      </c>
      <c r="O19" s="90">
        <f t="shared" si="1"/>
        <v>1173000</v>
      </c>
      <c r="P19" s="93">
        <f t="shared" si="2"/>
        <v>1314780</v>
      </c>
      <c r="Q19" s="93">
        <f t="shared" si="3"/>
        <v>149598.9039848533</v>
      </c>
      <c r="R19" s="94">
        <f t="shared" si="5"/>
        <v>6.118853089115321</v>
      </c>
    </row>
    <row r="20" spans="2:18" ht="15" thickBot="1"/>
    <row r="21" spans="2:18" ht="55" customHeight="1" thickBot="1">
      <c r="B21" s="96" t="s">
        <v>4</v>
      </c>
      <c r="C21" s="96" t="s">
        <v>203</v>
      </c>
      <c r="D21" s="96" t="s">
        <v>204</v>
      </c>
      <c r="E21" s="96" t="s">
        <v>205</v>
      </c>
      <c r="F21" s="96" t="s">
        <v>206</v>
      </c>
      <c r="G21" s="97" t="s">
        <v>207</v>
      </c>
      <c r="H21" s="98" t="s">
        <v>208</v>
      </c>
      <c r="I21" s="98" t="s">
        <v>222</v>
      </c>
      <c r="J21" s="98" t="s">
        <v>223</v>
      </c>
      <c r="K21" s="98" t="s">
        <v>224</v>
      </c>
      <c r="L21" s="98" t="s">
        <v>225</v>
      </c>
      <c r="M21" s="95" t="s">
        <v>213</v>
      </c>
    </row>
    <row r="23" spans="2:18">
      <c r="B23" s="91" t="s">
        <v>187</v>
      </c>
      <c r="C23" s="99">
        <v>16.382114410400391</v>
      </c>
      <c r="D23" s="99">
        <v>16.2430419921875</v>
      </c>
      <c r="E23" s="99">
        <v>16.416009902954102</v>
      </c>
      <c r="F23" s="99">
        <f>AVERAGE(C23:E23)</f>
        <v>16.347055435180664</v>
      </c>
      <c r="G23" s="84">
        <f>15*180/4*1000/900</f>
        <v>750</v>
      </c>
      <c r="H23" s="84">
        <f>LOG(G23)/LOG(2)</f>
        <v>9.5507467853832431</v>
      </c>
      <c r="I23" s="92">
        <f>C23-H23</f>
        <v>6.8313676250171476</v>
      </c>
      <c r="J23" s="92">
        <f>D23-H23</f>
        <v>6.6922952068042569</v>
      </c>
      <c r="K23" s="92">
        <f>E23-H23</f>
        <v>6.8652631175708585</v>
      </c>
      <c r="L23" s="104">
        <f>AVERAGE(I23:K23)</f>
        <v>6.796308649797421</v>
      </c>
    </row>
    <row r="24" spans="2:18">
      <c r="B24" s="91" t="s">
        <v>188</v>
      </c>
      <c r="C24" s="99">
        <v>20.246736526489258</v>
      </c>
      <c r="D24" s="99">
        <v>20.337041854858398</v>
      </c>
      <c r="E24" s="99">
        <v>20.223323822021484</v>
      </c>
      <c r="F24" s="99">
        <f t="shared" ref="F24:F38" si="6">AVERAGE(C24:E24)</f>
        <v>20.269034067789715</v>
      </c>
      <c r="G24" s="84">
        <f t="shared" ref="G24:G26" si="7">15*180/4*1000/900</f>
        <v>750</v>
      </c>
      <c r="H24" s="84">
        <f t="shared" ref="H24:H38" si="8">LOG(G24)/LOG(2)</f>
        <v>9.5507467853832431</v>
      </c>
      <c r="I24" s="92">
        <f t="shared" ref="I24:I38" si="9">C24-H24</f>
        <v>10.695989741106015</v>
      </c>
      <c r="J24" s="92">
        <f t="shared" ref="J24:J38" si="10">D24-H24</f>
        <v>10.786295069475155</v>
      </c>
      <c r="K24" s="92">
        <f t="shared" ref="K24:K38" si="11">E24-H24</f>
        <v>10.672577036638241</v>
      </c>
      <c r="L24" s="104">
        <f t="shared" ref="L24:L38" si="12">AVERAGE(I24:K24)</f>
        <v>10.71828728240647</v>
      </c>
    </row>
    <row r="25" spans="2:18">
      <c r="B25" s="91" t="s">
        <v>189</v>
      </c>
      <c r="C25" s="99">
        <v>23.471084594726562</v>
      </c>
      <c r="D25" s="99">
        <v>23.434993743896484</v>
      </c>
      <c r="E25" s="99">
        <v>23.65556526184082</v>
      </c>
      <c r="F25" s="99">
        <f t="shared" si="6"/>
        <v>23.520547866821289</v>
      </c>
      <c r="G25" s="84">
        <f t="shared" si="7"/>
        <v>750</v>
      </c>
      <c r="H25" s="84">
        <f t="shared" si="8"/>
        <v>9.5507467853832431</v>
      </c>
      <c r="I25" s="92">
        <f t="shared" si="9"/>
        <v>13.920337809343319</v>
      </c>
      <c r="J25" s="92">
        <f t="shared" si="10"/>
        <v>13.884246958513241</v>
      </c>
      <c r="K25" s="92">
        <f t="shared" si="11"/>
        <v>14.104818476457577</v>
      </c>
      <c r="L25" s="104">
        <f t="shared" si="12"/>
        <v>13.969801081438044</v>
      </c>
    </row>
    <row r="26" spans="2:18">
      <c r="B26" s="91" t="s">
        <v>190</v>
      </c>
      <c r="C26" s="99">
        <v>27.687118530273438</v>
      </c>
      <c r="D26" s="99">
        <v>27.683933258056641</v>
      </c>
      <c r="E26" s="99">
        <v>27.721792221069336</v>
      </c>
      <c r="F26" s="99">
        <f t="shared" si="6"/>
        <v>27.697614669799805</v>
      </c>
      <c r="G26" s="84">
        <f t="shared" si="7"/>
        <v>750</v>
      </c>
      <c r="H26" s="84">
        <f t="shared" si="8"/>
        <v>9.5507467853832431</v>
      </c>
      <c r="I26" s="92">
        <f t="shared" si="9"/>
        <v>18.136371744890194</v>
      </c>
      <c r="J26" s="92">
        <f t="shared" si="10"/>
        <v>18.133186472673398</v>
      </c>
      <c r="K26" s="92">
        <f t="shared" si="11"/>
        <v>18.171045435686093</v>
      </c>
      <c r="L26" s="104">
        <f t="shared" si="12"/>
        <v>18.146867884416562</v>
      </c>
    </row>
    <row r="27" spans="2:18">
      <c r="B27" s="91" t="s">
        <v>191</v>
      </c>
      <c r="C27" s="99">
        <v>31.580327987670898</v>
      </c>
      <c r="D27" s="99">
        <v>31.876550674438477</v>
      </c>
      <c r="E27" s="99">
        <v>31.972114562988281</v>
      </c>
      <c r="F27" s="99">
        <f t="shared" si="6"/>
        <v>31.809664408365887</v>
      </c>
      <c r="G27" s="84">
        <f>15*180/4*1000/900</f>
        <v>750</v>
      </c>
      <c r="H27" s="84">
        <f>LOG(G27)/LOG(2)</f>
        <v>9.5507467853832431</v>
      </c>
      <c r="I27" s="92">
        <f t="shared" si="9"/>
        <v>22.029581202287655</v>
      </c>
      <c r="J27" s="92">
        <f t="shared" si="10"/>
        <v>22.325803889055233</v>
      </c>
      <c r="K27" s="92">
        <f t="shared" si="11"/>
        <v>22.421367777605038</v>
      </c>
      <c r="L27" s="104">
        <f t="shared" si="12"/>
        <v>22.25891762298264</v>
      </c>
    </row>
    <row r="28" spans="2:18">
      <c r="B28" s="91" t="s">
        <v>192</v>
      </c>
      <c r="C28" s="99">
        <v>16.648801803588867</v>
      </c>
      <c r="D28" s="99">
        <v>17.485513687133789</v>
      </c>
      <c r="E28" s="99">
        <v>16.725131988525391</v>
      </c>
      <c r="F28" s="99">
        <f t="shared" si="6"/>
        <v>16.953149159749348</v>
      </c>
      <c r="G28" s="84">
        <f>15*180/4*1000/1000</f>
        <v>675</v>
      </c>
      <c r="H28" s="84">
        <f t="shared" si="8"/>
        <v>9.3987436919381935</v>
      </c>
      <c r="I28" s="92">
        <f t="shared" si="9"/>
        <v>7.2500581116506737</v>
      </c>
      <c r="J28" s="92">
        <f t="shared" si="10"/>
        <v>8.0867699951955956</v>
      </c>
      <c r="K28" s="92">
        <f t="shared" si="11"/>
        <v>7.3263882965871971</v>
      </c>
      <c r="L28" s="104">
        <f t="shared" si="12"/>
        <v>7.5544054678111552</v>
      </c>
    </row>
    <row r="29" spans="2:18">
      <c r="B29" s="91" t="s">
        <v>193</v>
      </c>
      <c r="C29" s="99">
        <v>19.15205192565918</v>
      </c>
      <c r="D29" s="99">
        <v>18.957448959350586</v>
      </c>
      <c r="E29" s="99">
        <v>18.855649948120117</v>
      </c>
      <c r="F29" s="99">
        <f t="shared" si="6"/>
        <v>18.988383611043293</v>
      </c>
      <c r="G29" s="84">
        <f>15*180/4*1000/500</f>
        <v>1350</v>
      </c>
      <c r="H29" s="84">
        <f t="shared" si="8"/>
        <v>10.398743691938193</v>
      </c>
      <c r="I29" s="92">
        <f t="shared" si="9"/>
        <v>8.7533082337209862</v>
      </c>
      <c r="J29" s="92">
        <f t="shared" si="10"/>
        <v>8.5587052674123925</v>
      </c>
      <c r="K29" s="92">
        <f t="shared" si="11"/>
        <v>8.4569062561819237</v>
      </c>
      <c r="L29" s="104">
        <f t="shared" si="12"/>
        <v>8.5896399191051014</v>
      </c>
    </row>
    <row r="30" spans="2:18">
      <c r="B30" s="91" t="s">
        <v>194</v>
      </c>
      <c r="C30" s="99">
        <v>19.934587478637695</v>
      </c>
      <c r="D30" s="99">
        <v>19.768661499023438</v>
      </c>
      <c r="E30" s="99">
        <v>19.823604583740234</v>
      </c>
      <c r="F30" s="99">
        <f t="shared" si="6"/>
        <v>19.842284520467121</v>
      </c>
      <c r="G30" s="84">
        <f t="shared" ref="G30:G38" si="13">15*180/4*1000/500</f>
        <v>1350</v>
      </c>
      <c r="H30" s="84">
        <f t="shared" si="8"/>
        <v>10.398743691938193</v>
      </c>
      <c r="I30" s="92">
        <f t="shared" si="9"/>
        <v>9.5358437866995018</v>
      </c>
      <c r="J30" s="92">
        <f t="shared" si="10"/>
        <v>9.369917807085244</v>
      </c>
      <c r="K30" s="92">
        <f t="shared" si="11"/>
        <v>9.4248608918020409</v>
      </c>
      <c r="L30" s="104">
        <f t="shared" si="12"/>
        <v>9.4435408285289295</v>
      </c>
    </row>
    <row r="31" spans="2:18">
      <c r="B31" s="91" t="s">
        <v>195</v>
      </c>
      <c r="C31" s="99">
        <v>20.650510787963867</v>
      </c>
      <c r="D31" s="99">
        <v>20.447122573852539</v>
      </c>
      <c r="E31" s="99">
        <v>20.447004318237305</v>
      </c>
      <c r="F31" s="99">
        <f t="shared" si="6"/>
        <v>20.51487922668457</v>
      </c>
      <c r="G31" s="84">
        <f t="shared" si="13"/>
        <v>1350</v>
      </c>
      <c r="H31" s="84">
        <f t="shared" si="8"/>
        <v>10.398743691938193</v>
      </c>
      <c r="I31" s="92">
        <f t="shared" si="9"/>
        <v>10.251767096025674</v>
      </c>
      <c r="J31" s="92">
        <f t="shared" si="10"/>
        <v>10.048378881914346</v>
      </c>
      <c r="K31" s="92">
        <f t="shared" si="11"/>
        <v>10.048260626299111</v>
      </c>
      <c r="L31" s="104">
        <f t="shared" si="12"/>
        <v>10.116135534746377</v>
      </c>
    </row>
    <row r="32" spans="2:18">
      <c r="B32" s="91" t="s">
        <v>196</v>
      </c>
      <c r="C32" s="99">
        <v>21.825428009033203</v>
      </c>
      <c r="D32" s="99">
        <v>21.617404937744141</v>
      </c>
      <c r="E32" s="99">
        <v>21.863065719604492</v>
      </c>
      <c r="F32" s="99">
        <f t="shared" si="6"/>
        <v>21.768632888793945</v>
      </c>
      <c r="G32" s="84">
        <f t="shared" si="13"/>
        <v>1350</v>
      </c>
      <c r="H32" s="84">
        <f t="shared" si="8"/>
        <v>10.398743691938193</v>
      </c>
      <c r="I32" s="92">
        <f t="shared" si="9"/>
        <v>11.42668431709501</v>
      </c>
      <c r="J32" s="92">
        <f t="shared" si="10"/>
        <v>11.218661245805947</v>
      </c>
      <c r="K32" s="92">
        <f t="shared" si="11"/>
        <v>11.464322027666299</v>
      </c>
      <c r="L32" s="104">
        <f t="shared" si="12"/>
        <v>11.369889196855752</v>
      </c>
    </row>
    <row r="33" spans="2:12">
      <c r="B33" s="91" t="s">
        <v>197</v>
      </c>
      <c r="C33" s="99">
        <v>22.909189224243164</v>
      </c>
      <c r="D33" s="99">
        <v>22.986705780029297</v>
      </c>
      <c r="E33" s="99">
        <v>23.151363372802734</v>
      </c>
      <c r="F33" s="99">
        <f t="shared" si="6"/>
        <v>23.015752792358398</v>
      </c>
      <c r="G33" s="84">
        <f>15*180/4*1000/500</f>
        <v>1350</v>
      </c>
      <c r="H33" s="84">
        <f t="shared" si="8"/>
        <v>10.398743691938193</v>
      </c>
      <c r="I33" s="92">
        <f t="shared" si="9"/>
        <v>12.510445532304971</v>
      </c>
      <c r="J33" s="92">
        <f t="shared" si="10"/>
        <v>12.587962088091103</v>
      </c>
      <c r="K33" s="92">
        <f t="shared" si="11"/>
        <v>12.752619680864541</v>
      </c>
      <c r="L33" s="104">
        <f t="shared" si="12"/>
        <v>12.617009100420205</v>
      </c>
    </row>
    <row r="34" spans="2:12">
      <c r="B34" s="91" t="s">
        <v>198</v>
      </c>
      <c r="C34" s="99">
        <v>24.431295394897461</v>
      </c>
      <c r="D34" s="99">
        <v>24.009675979614258</v>
      </c>
      <c r="E34" s="99">
        <v>23.951196670532227</v>
      </c>
      <c r="F34" s="99">
        <f t="shared" si="6"/>
        <v>24.130722681681316</v>
      </c>
      <c r="G34" s="84">
        <f t="shared" si="13"/>
        <v>1350</v>
      </c>
      <c r="H34" s="84">
        <f t="shared" si="8"/>
        <v>10.398743691938193</v>
      </c>
      <c r="I34" s="92">
        <f t="shared" si="9"/>
        <v>14.032551702959267</v>
      </c>
      <c r="J34" s="92">
        <f t="shared" si="10"/>
        <v>13.610932287676064</v>
      </c>
      <c r="K34" s="92">
        <f t="shared" si="11"/>
        <v>13.552452978594033</v>
      </c>
      <c r="L34" s="104">
        <f t="shared" si="12"/>
        <v>13.731978989743121</v>
      </c>
    </row>
    <row r="35" spans="2:12">
      <c r="B35" s="91" t="s">
        <v>199</v>
      </c>
      <c r="C35" s="99">
        <v>25.132335662841797</v>
      </c>
      <c r="D35" s="99">
        <v>24.967596054077148</v>
      </c>
      <c r="E35" s="99">
        <v>25.03386116027832</v>
      </c>
      <c r="F35" s="99">
        <f t="shared" si="6"/>
        <v>25.044597625732422</v>
      </c>
      <c r="G35" s="84">
        <f t="shared" si="13"/>
        <v>1350</v>
      </c>
      <c r="H35" s="84">
        <f t="shared" si="8"/>
        <v>10.398743691938193</v>
      </c>
      <c r="I35" s="92">
        <f t="shared" si="9"/>
        <v>14.733591970903603</v>
      </c>
      <c r="J35" s="92">
        <f t="shared" si="10"/>
        <v>14.568852362138955</v>
      </c>
      <c r="K35" s="92">
        <f t="shared" si="11"/>
        <v>14.635117468340127</v>
      </c>
      <c r="L35" s="104">
        <f t="shared" si="12"/>
        <v>14.645853933794228</v>
      </c>
    </row>
    <row r="36" spans="2:12">
      <c r="B36" s="91" t="s">
        <v>200</v>
      </c>
      <c r="C36" s="99">
        <v>26.708147048950195</v>
      </c>
      <c r="D36" s="99">
        <v>26.763067245483398</v>
      </c>
      <c r="E36" s="99"/>
      <c r="F36" s="99">
        <f t="shared" si="6"/>
        <v>26.735607147216797</v>
      </c>
      <c r="G36" s="84">
        <f t="shared" si="13"/>
        <v>1350</v>
      </c>
      <c r="H36" s="84">
        <f t="shared" si="8"/>
        <v>10.398743691938193</v>
      </c>
      <c r="I36" s="92">
        <f t="shared" si="9"/>
        <v>16.309403357012002</v>
      </c>
      <c r="J36" s="92">
        <f t="shared" si="10"/>
        <v>16.364323553545205</v>
      </c>
      <c r="K36" s="92"/>
      <c r="L36" s="104">
        <f t="shared" si="12"/>
        <v>16.336863455278603</v>
      </c>
    </row>
    <row r="37" spans="2:12">
      <c r="B37" s="91" t="s">
        <v>201</v>
      </c>
      <c r="C37" s="99">
        <v>27.613700866699219</v>
      </c>
      <c r="D37" s="99">
        <v>27.812423706054688</v>
      </c>
      <c r="E37" s="99">
        <v>27.789873123168945</v>
      </c>
      <c r="F37" s="99">
        <f t="shared" si="6"/>
        <v>27.738665898640949</v>
      </c>
      <c r="G37" s="84">
        <f t="shared" si="13"/>
        <v>1350</v>
      </c>
      <c r="H37" s="84">
        <f t="shared" si="8"/>
        <v>10.398743691938193</v>
      </c>
      <c r="I37" s="92">
        <f t="shared" si="9"/>
        <v>17.214957174761025</v>
      </c>
      <c r="J37" s="92">
        <f t="shared" si="10"/>
        <v>17.413680014116494</v>
      </c>
      <c r="K37" s="92">
        <f t="shared" si="11"/>
        <v>17.391129431230752</v>
      </c>
      <c r="L37" s="104">
        <f t="shared" si="12"/>
        <v>17.339922206702756</v>
      </c>
    </row>
    <row r="38" spans="2:12">
      <c r="B38" s="91" t="s">
        <v>202</v>
      </c>
      <c r="C38" s="99">
        <v>29.07282829284668</v>
      </c>
      <c r="D38" s="99">
        <v>28.964012145996094</v>
      </c>
      <c r="E38" s="99">
        <v>29.311826705932617</v>
      </c>
      <c r="F38" s="99">
        <f t="shared" si="6"/>
        <v>29.116222381591797</v>
      </c>
      <c r="G38" s="84">
        <f t="shared" si="13"/>
        <v>1350</v>
      </c>
      <c r="H38" s="84">
        <f t="shared" si="8"/>
        <v>10.398743691938193</v>
      </c>
      <c r="I38" s="92">
        <f t="shared" si="9"/>
        <v>18.674084600908486</v>
      </c>
      <c r="J38" s="92">
        <f t="shared" si="10"/>
        <v>18.5652684540579</v>
      </c>
      <c r="K38" s="92">
        <f t="shared" si="11"/>
        <v>18.913083013994424</v>
      </c>
      <c r="L38" s="104">
        <f t="shared" si="12"/>
        <v>18.717478689653603</v>
      </c>
    </row>
    <row r="40" spans="2:12">
      <c r="B40" s="91" t="s">
        <v>226</v>
      </c>
      <c r="C40" s="99">
        <v>15.713388442993164</v>
      </c>
      <c r="D40" s="99">
        <v>15.726656913757324</v>
      </c>
      <c r="E40" s="99">
        <v>15.612536430358887</v>
      </c>
      <c r="F40" s="99">
        <f>AVERAGE(C40:E40)</f>
        <v>15.684193929036459</v>
      </c>
    </row>
    <row r="42" spans="2:12">
      <c r="B42" s="105" t="s">
        <v>215</v>
      </c>
      <c r="C42" s="84" t="s">
        <v>216</v>
      </c>
    </row>
    <row r="43" spans="2:12">
      <c r="B43" s="95" t="s">
        <v>227</v>
      </c>
      <c r="C43" s="84" t="s">
        <v>216</v>
      </c>
    </row>
    <row r="44" spans="2:12">
      <c r="C44" s="102" t="s">
        <v>219</v>
      </c>
      <c r="D44" s="104">
        <v>-3.6977000000000002</v>
      </c>
    </row>
    <row r="45" spans="2:12">
      <c r="C45" s="102" t="s">
        <v>220</v>
      </c>
      <c r="D45" s="104">
        <v>41.616</v>
      </c>
    </row>
    <row r="48" spans="2:12">
      <c r="B48" s="95" t="s">
        <v>221</v>
      </c>
      <c r="D48" s="84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I24" sqref="I24"/>
    </sheetView>
  </sheetViews>
  <sheetFormatPr baseColWidth="10" defaultRowHeight="14" x14ac:dyDescent="0"/>
  <sheetData>
    <row r="1" spans="1:21">
      <c r="A1" s="84"/>
      <c r="B1" s="142" t="s">
        <v>4</v>
      </c>
      <c r="C1" s="144" t="s">
        <v>185</v>
      </c>
      <c r="D1" s="145" t="s">
        <v>18</v>
      </c>
      <c r="E1" s="145"/>
      <c r="F1" s="145"/>
      <c r="G1" s="145"/>
      <c r="H1" s="145" t="s">
        <v>20</v>
      </c>
      <c r="I1" s="145"/>
      <c r="J1" s="145"/>
      <c r="K1" s="145"/>
      <c r="L1" s="145" t="s">
        <v>21</v>
      </c>
      <c r="M1" s="145"/>
      <c r="N1" s="145"/>
      <c r="O1" s="145"/>
      <c r="P1" s="85" t="s">
        <v>22</v>
      </c>
      <c r="Q1" s="85" t="s">
        <v>22</v>
      </c>
      <c r="R1" s="85" t="s">
        <v>22</v>
      </c>
      <c r="S1" s="146" t="s">
        <v>186</v>
      </c>
      <c r="T1" s="84"/>
      <c r="U1" s="84"/>
    </row>
    <row r="2" spans="1:21">
      <c r="A2" s="84"/>
      <c r="B2" s="143"/>
      <c r="C2" s="143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  <c r="S2" s="147"/>
      <c r="T2" s="84"/>
      <c r="U2" s="84"/>
    </row>
    <row r="3" spans="1:21">
      <c r="A3" s="84"/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39"/>
      <c r="Q3" s="140"/>
      <c r="R3" s="141"/>
      <c r="S3" s="84"/>
      <c r="T3" s="84"/>
      <c r="U3" s="84"/>
    </row>
    <row r="4" spans="1:21">
      <c r="A4" s="84"/>
      <c r="B4" s="91" t="s">
        <v>187</v>
      </c>
      <c r="C4" s="92">
        <v>500</v>
      </c>
      <c r="D4" s="92">
        <v>2</v>
      </c>
      <c r="E4" s="92">
        <v>26960</v>
      </c>
      <c r="F4" s="92">
        <v>7</v>
      </c>
      <c r="G4" s="90">
        <f t="shared" ref="G4:G19" si="0">(E4/F4)*(10.2)*POWER(10,D4+2)</f>
        <v>392845714.28571427</v>
      </c>
      <c r="H4" s="92">
        <v>2</v>
      </c>
      <c r="I4" s="92">
        <v>28998</v>
      </c>
      <c r="J4" s="92">
        <v>7</v>
      </c>
      <c r="K4" s="90">
        <f t="shared" ref="K4:K19" si="1">(I4/J4)*(10.2)*POWER(10,H4+2)</f>
        <v>422542285.71428567</v>
      </c>
      <c r="L4" s="92">
        <v>2</v>
      </c>
      <c r="M4" s="92">
        <v>29053</v>
      </c>
      <c r="N4" s="92">
        <v>7</v>
      </c>
      <c r="O4" s="90">
        <f t="shared" ref="O4:O19" si="2">(M4/N4)*(10.2)*POWER(10,L4+2)</f>
        <v>423343714.28571433</v>
      </c>
      <c r="P4" s="93">
        <f t="shared" ref="P4:P19" si="3">AVERAGE(O4,K4,G4)</f>
        <v>412910571.4285714</v>
      </c>
      <c r="Q4" s="93">
        <f t="shared" ref="Q4:Q19" si="4">STDEV(O4,K4,G4)</f>
        <v>17381295.724462688</v>
      </c>
      <c r="R4" s="94">
        <f>LOG(P4)</f>
        <v>8.6158560019212569</v>
      </c>
      <c r="S4" s="84"/>
      <c r="T4" s="84"/>
      <c r="U4" s="84"/>
    </row>
    <row r="5" spans="1:21">
      <c r="A5" s="84"/>
      <c r="B5" s="91" t="s">
        <v>188</v>
      </c>
      <c r="C5" s="92">
        <v>500</v>
      </c>
      <c r="D5" s="92">
        <v>1</v>
      </c>
      <c r="E5" s="92">
        <v>25770</v>
      </c>
      <c r="F5" s="92">
        <v>7</v>
      </c>
      <c r="G5" s="90">
        <f t="shared" si="0"/>
        <v>37550571.428571425</v>
      </c>
      <c r="H5" s="92">
        <v>1</v>
      </c>
      <c r="I5" s="92">
        <v>24760</v>
      </c>
      <c r="J5" s="92">
        <v>7</v>
      </c>
      <c r="K5" s="90">
        <f t="shared" si="1"/>
        <v>36078857.142857142</v>
      </c>
      <c r="L5" s="92">
        <v>1</v>
      </c>
      <c r="M5" s="92">
        <v>27526</v>
      </c>
      <c r="N5" s="92">
        <v>7</v>
      </c>
      <c r="O5" s="90">
        <f t="shared" si="2"/>
        <v>40109314.285714284</v>
      </c>
      <c r="P5" s="93">
        <f t="shared" si="3"/>
        <v>37912914.285714291</v>
      </c>
      <c r="Q5" s="93">
        <f t="shared" si="4"/>
        <v>2039513.5338344474</v>
      </c>
      <c r="R5" s="94">
        <f t="shared" ref="R5:R19" si="5">LOG(P5)</f>
        <v>7.5787871690098934</v>
      </c>
      <c r="S5" s="84"/>
      <c r="T5" s="84"/>
      <c r="U5" s="84"/>
    </row>
    <row r="6" spans="1:21">
      <c r="A6" s="84"/>
      <c r="B6" s="91" t="s">
        <v>189</v>
      </c>
      <c r="C6" s="92">
        <v>500</v>
      </c>
      <c r="D6" s="92">
        <v>0</v>
      </c>
      <c r="E6" s="92">
        <v>2493</v>
      </c>
      <c r="F6" s="92">
        <v>7</v>
      </c>
      <c r="G6" s="90">
        <f t="shared" si="0"/>
        <v>363265.71428571426</v>
      </c>
      <c r="H6" s="92">
        <v>0</v>
      </c>
      <c r="I6" s="92">
        <v>2459</v>
      </c>
      <c r="J6" s="92">
        <v>7</v>
      </c>
      <c r="K6" s="90">
        <f t="shared" si="1"/>
        <v>358311.42857142852</v>
      </c>
      <c r="L6" s="92">
        <v>0</v>
      </c>
      <c r="M6" s="92">
        <v>2550</v>
      </c>
      <c r="N6" s="92">
        <v>7</v>
      </c>
      <c r="O6" s="90">
        <f t="shared" si="2"/>
        <v>371571.42857142852</v>
      </c>
      <c r="P6" s="93">
        <f t="shared" si="3"/>
        <v>364382.8571428571</v>
      </c>
      <c r="Q6" s="93">
        <f t="shared" si="4"/>
        <v>6700.2168712996863</v>
      </c>
      <c r="R6" s="94">
        <f t="shared" si="5"/>
        <v>5.5615579368427026</v>
      </c>
      <c r="S6" s="95" t="s">
        <v>131</v>
      </c>
      <c r="T6" s="84"/>
      <c r="U6" s="84"/>
    </row>
    <row r="7" spans="1:21">
      <c r="A7" s="84"/>
      <c r="B7" s="91" t="s">
        <v>190</v>
      </c>
      <c r="C7" s="92">
        <v>500</v>
      </c>
      <c r="D7" s="92">
        <f>LOG(705/250)</f>
        <v>0.45024910831936105</v>
      </c>
      <c r="E7" s="92">
        <v>946</v>
      </c>
      <c r="F7" s="92">
        <v>7</v>
      </c>
      <c r="G7" s="90">
        <f>(E7/F7)*(1)*POWER(10,D7+2)</f>
        <v>38110.285714285717</v>
      </c>
      <c r="H7" s="92">
        <f>LOG(705/250)</f>
        <v>0.45024910831936105</v>
      </c>
      <c r="I7" s="92">
        <v>885</v>
      </c>
      <c r="J7" s="92">
        <v>7</v>
      </c>
      <c r="K7" s="90">
        <f t="shared" si="1"/>
        <v>363659.1428571429</v>
      </c>
      <c r="L7" s="92">
        <f>LOG(705/250)</f>
        <v>0.45024910831936105</v>
      </c>
      <c r="M7" s="92">
        <v>947</v>
      </c>
      <c r="N7" s="92">
        <v>7</v>
      </c>
      <c r="O7" s="90">
        <f>(M7/N7)*(1)*POWER(10,L7+2)</f>
        <v>38150.571428571435</v>
      </c>
      <c r="P7" s="93">
        <f t="shared" si="3"/>
        <v>146640.00000000003</v>
      </c>
      <c r="Q7" s="93">
        <f t="shared" si="4"/>
        <v>187944.09190121258</v>
      </c>
      <c r="R7" s="94">
        <f t="shared" si="5"/>
        <v>5.1662524519541604</v>
      </c>
      <c r="S7" s="84"/>
      <c r="T7" s="84"/>
      <c r="U7" s="84"/>
    </row>
    <row r="8" spans="1:21">
      <c r="A8" s="84"/>
      <c r="B8" s="91" t="s">
        <v>191</v>
      </c>
      <c r="C8" s="92">
        <v>500</v>
      </c>
      <c r="D8" s="92">
        <f>LOG(705/250)</f>
        <v>0.45024910831936105</v>
      </c>
      <c r="E8" s="92">
        <v>1248</v>
      </c>
      <c r="F8" s="92">
        <v>70</v>
      </c>
      <c r="G8" s="90">
        <f>(E8/F8)*(1)*POWER(10,D8+2)</f>
        <v>5027.6571428571442</v>
      </c>
      <c r="H8" s="92">
        <f>LOG(705/250)</f>
        <v>0.45024910831936105</v>
      </c>
      <c r="I8" s="92">
        <v>1303</v>
      </c>
      <c r="J8" s="92">
        <v>70</v>
      </c>
      <c r="K8" s="90">
        <f t="shared" si="1"/>
        <v>53542.131428571432</v>
      </c>
      <c r="L8" s="92">
        <f>LOG(705/250)</f>
        <v>0.45024910831936105</v>
      </c>
      <c r="M8" s="92">
        <v>1278</v>
      </c>
      <c r="N8" s="92">
        <v>70</v>
      </c>
      <c r="O8" s="90">
        <f>(M8/N8)*(1)*POWER(10,L8+2)</f>
        <v>5148.5142857142864</v>
      </c>
      <c r="P8" s="93">
        <f t="shared" si="3"/>
        <v>21239.434285714287</v>
      </c>
      <c r="Q8" s="93">
        <f t="shared" si="4"/>
        <v>27975.021602129429</v>
      </c>
      <c r="R8" s="94">
        <f t="shared" si="5"/>
        <v>4.3271429450900092</v>
      </c>
      <c r="S8" s="84"/>
      <c r="T8" s="84"/>
      <c r="U8" s="84"/>
    </row>
    <row r="9" spans="1:21">
      <c r="A9" s="84"/>
      <c r="B9" s="91" t="s">
        <v>192</v>
      </c>
      <c r="C9" s="92">
        <v>900</v>
      </c>
      <c r="D9" s="92">
        <v>2</v>
      </c>
      <c r="E9" s="92">
        <v>26822</v>
      </c>
      <c r="F9" s="92">
        <v>7</v>
      </c>
      <c r="G9" s="90">
        <f t="shared" si="0"/>
        <v>390834857.14285713</v>
      </c>
      <c r="H9" s="92">
        <v>2</v>
      </c>
      <c r="I9" s="92">
        <v>25452</v>
      </c>
      <c r="J9" s="92">
        <v>7</v>
      </c>
      <c r="K9" s="90">
        <f t="shared" si="1"/>
        <v>370872000</v>
      </c>
      <c r="L9" s="92">
        <v>2</v>
      </c>
      <c r="M9" s="92">
        <v>29126</v>
      </c>
      <c r="N9" s="92">
        <v>7</v>
      </c>
      <c r="O9" s="90">
        <f t="shared" si="2"/>
        <v>424407428.57142854</v>
      </c>
      <c r="P9" s="93">
        <f t="shared" si="3"/>
        <v>395371428.57142854</v>
      </c>
      <c r="Q9" s="93">
        <f t="shared" si="4"/>
        <v>27054498.485954784</v>
      </c>
      <c r="R9" s="94">
        <f t="shared" si="5"/>
        <v>8.5970052819172</v>
      </c>
      <c r="S9" s="84"/>
      <c r="T9" s="84"/>
      <c r="U9" s="84"/>
    </row>
    <row r="10" spans="1:21">
      <c r="A10" s="84"/>
      <c r="B10" s="91" t="s">
        <v>193</v>
      </c>
      <c r="C10" s="92">
        <v>900</v>
      </c>
      <c r="D10" s="92">
        <v>1</v>
      </c>
      <c r="E10" s="92">
        <v>11669</v>
      </c>
      <c r="F10" s="92">
        <v>7</v>
      </c>
      <c r="G10" s="90">
        <f t="shared" si="0"/>
        <v>17003399.999999996</v>
      </c>
      <c r="H10" s="92">
        <v>1</v>
      </c>
      <c r="I10" s="92">
        <v>13970</v>
      </c>
      <c r="J10" s="92">
        <v>20</v>
      </c>
      <c r="K10" s="90">
        <f t="shared" si="1"/>
        <v>7124700</v>
      </c>
      <c r="L10" s="92">
        <v>1</v>
      </c>
      <c r="M10" s="92">
        <v>12995</v>
      </c>
      <c r="N10" s="92">
        <v>7</v>
      </c>
      <c r="O10" s="90">
        <f t="shared" si="2"/>
        <v>18935571.428571429</v>
      </c>
      <c r="P10" s="93">
        <f t="shared" si="3"/>
        <v>14354557.142857142</v>
      </c>
      <c r="Q10" s="93">
        <f t="shared" si="4"/>
        <v>6335333.2459262749</v>
      </c>
      <c r="R10" s="94">
        <f t="shared" si="5"/>
        <v>7.1569897984779303</v>
      </c>
      <c r="S10" s="95" t="s">
        <v>131</v>
      </c>
      <c r="T10" s="84"/>
      <c r="U10" s="84"/>
    </row>
    <row r="11" spans="1:21">
      <c r="A11" s="84"/>
      <c r="B11" s="91" t="s">
        <v>194</v>
      </c>
      <c r="C11" s="92">
        <v>900</v>
      </c>
      <c r="D11" s="92">
        <v>1</v>
      </c>
      <c r="E11" s="92">
        <v>6123</v>
      </c>
      <c r="F11" s="92">
        <v>7</v>
      </c>
      <c r="G11" s="90">
        <f t="shared" si="0"/>
        <v>8922085.7142857127</v>
      </c>
      <c r="H11" s="92">
        <v>1</v>
      </c>
      <c r="I11" s="92">
        <v>6639</v>
      </c>
      <c r="J11" s="92">
        <v>7</v>
      </c>
      <c r="K11" s="90">
        <f t="shared" si="1"/>
        <v>9673971.4285714272</v>
      </c>
      <c r="L11" s="92">
        <v>1</v>
      </c>
      <c r="M11" s="92">
        <v>7021</v>
      </c>
      <c r="N11" s="92">
        <v>7</v>
      </c>
      <c r="O11" s="90">
        <f t="shared" si="2"/>
        <v>10230599.999999998</v>
      </c>
      <c r="P11" s="93">
        <f t="shared" si="3"/>
        <v>9608885.7142857127</v>
      </c>
      <c r="Q11" s="93">
        <f t="shared" si="4"/>
        <v>656680.68468065432</v>
      </c>
      <c r="R11" s="94">
        <f t="shared" si="5"/>
        <v>6.9826730280228597</v>
      </c>
      <c r="S11" s="95" t="s">
        <v>131</v>
      </c>
      <c r="T11" s="84"/>
      <c r="U11" s="84"/>
    </row>
    <row r="12" spans="1:21">
      <c r="A12" s="84"/>
      <c r="B12" s="91" t="s">
        <v>195</v>
      </c>
      <c r="C12" s="92">
        <v>900</v>
      </c>
      <c r="D12" s="92">
        <v>1</v>
      </c>
      <c r="E12" s="92">
        <v>29009</v>
      </c>
      <c r="F12" s="92">
        <v>7</v>
      </c>
      <c r="G12" s="90">
        <f t="shared" si="0"/>
        <v>42270257.142857142</v>
      </c>
      <c r="H12" s="92">
        <v>1</v>
      </c>
      <c r="I12" s="92">
        <v>29016</v>
      </c>
      <c r="J12" s="92">
        <v>7</v>
      </c>
      <c r="K12" s="90">
        <f t="shared" si="1"/>
        <v>42280457.142857134</v>
      </c>
      <c r="L12" s="92">
        <v>1</v>
      </c>
      <c r="M12" s="92">
        <v>31568</v>
      </c>
      <c r="N12" s="92">
        <v>7</v>
      </c>
      <c r="O12" s="90">
        <f t="shared" si="2"/>
        <v>45999085.714285709</v>
      </c>
      <c r="P12" s="93">
        <f t="shared" si="3"/>
        <v>43516599.999999993</v>
      </c>
      <c r="Q12" s="93">
        <f t="shared" si="4"/>
        <v>2149901.7422255576</v>
      </c>
      <c r="R12" s="94">
        <f t="shared" si="5"/>
        <v>7.6386549561082937</v>
      </c>
      <c r="S12" s="84"/>
      <c r="T12" s="84"/>
      <c r="U12" s="84"/>
    </row>
    <row r="13" spans="1:21">
      <c r="A13" s="84"/>
      <c r="B13" s="91" t="s">
        <v>196</v>
      </c>
      <c r="C13" s="92">
        <v>900</v>
      </c>
      <c r="D13" s="92">
        <v>1</v>
      </c>
      <c r="E13" s="92">
        <v>13542</v>
      </c>
      <c r="F13" s="92">
        <v>7</v>
      </c>
      <c r="G13" s="90">
        <f t="shared" si="0"/>
        <v>19732628.571428571</v>
      </c>
      <c r="H13" s="92">
        <v>1</v>
      </c>
      <c r="I13" s="92">
        <v>14070</v>
      </c>
      <c r="J13" s="92">
        <v>7</v>
      </c>
      <c r="K13" s="90">
        <f t="shared" si="1"/>
        <v>20502000</v>
      </c>
      <c r="L13" s="92">
        <v>1</v>
      </c>
      <c r="M13" s="92">
        <v>15197</v>
      </c>
      <c r="N13" s="92">
        <v>7</v>
      </c>
      <c r="O13" s="90">
        <f t="shared" si="2"/>
        <v>22144199.999999996</v>
      </c>
      <c r="P13" s="93">
        <f t="shared" si="3"/>
        <v>20792942.857142854</v>
      </c>
      <c r="Q13" s="93">
        <f t="shared" si="4"/>
        <v>1231829.938898768</v>
      </c>
      <c r="R13" s="94">
        <f t="shared" si="5"/>
        <v>7.3179159600467427</v>
      </c>
      <c r="S13" s="84"/>
      <c r="T13" s="84"/>
      <c r="U13" s="84"/>
    </row>
    <row r="14" spans="1:21">
      <c r="A14" s="84"/>
      <c r="B14" s="91" t="s">
        <v>197</v>
      </c>
      <c r="C14" s="92">
        <v>900</v>
      </c>
      <c r="D14" s="92">
        <v>1</v>
      </c>
      <c r="E14" s="92">
        <v>6282</v>
      </c>
      <c r="F14" s="92">
        <v>7</v>
      </c>
      <c r="G14" s="90">
        <f t="shared" si="0"/>
        <v>9153771.4285714291</v>
      </c>
      <c r="H14" s="92">
        <v>1</v>
      </c>
      <c r="I14" s="92">
        <v>6343</v>
      </c>
      <c r="J14" s="92">
        <v>7</v>
      </c>
      <c r="K14" s="90">
        <f t="shared" si="1"/>
        <v>9242657.1428571418</v>
      </c>
      <c r="L14" s="92">
        <v>1</v>
      </c>
      <c r="M14" s="92">
        <v>7014</v>
      </c>
      <c r="N14" s="92">
        <v>7</v>
      </c>
      <c r="O14" s="90">
        <f t="shared" si="2"/>
        <v>10220400</v>
      </c>
      <c r="P14" s="93">
        <f t="shared" si="3"/>
        <v>9538942.8571428563</v>
      </c>
      <c r="Q14" s="93">
        <f t="shared" si="4"/>
        <v>591830.25075969705</v>
      </c>
      <c r="R14" s="94">
        <f t="shared" si="5"/>
        <v>6.9795002471622967</v>
      </c>
      <c r="S14" s="84"/>
      <c r="T14" s="84"/>
      <c r="U14" s="84"/>
    </row>
    <row r="15" spans="1:21">
      <c r="A15" s="84"/>
      <c r="B15" s="91" t="s">
        <v>198</v>
      </c>
      <c r="C15" s="92">
        <v>900</v>
      </c>
      <c r="D15" s="92">
        <v>1</v>
      </c>
      <c r="E15" s="92">
        <v>3249</v>
      </c>
      <c r="F15" s="92">
        <v>7</v>
      </c>
      <c r="G15" s="90">
        <f t="shared" si="0"/>
        <v>4734257.1428571427</v>
      </c>
      <c r="H15" s="92">
        <v>1</v>
      </c>
      <c r="I15" s="92">
        <v>3902</v>
      </c>
      <c r="J15" s="92">
        <v>7</v>
      </c>
      <c r="K15" s="90">
        <f t="shared" si="1"/>
        <v>5685771.4285714282</v>
      </c>
      <c r="L15" s="92">
        <v>1</v>
      </c>
      <c r="M15" s="92">
        <v>3833</v>
      </c>
      <c r="N15" s="92">
        <v>7</v>
      </c>
      <c r="O15" s="90">
        <f t="shared" si="2"/>
        <v>5585228.5714285709</v>
      </c>
      <c r="P15" s="93">
        <f t="shared" si="3"/>
        <v>5335085.7142857136</v>
      </c>
      <c r="Q15" s="93">
        <f t="shared" si="4"/>
        <v>522755.62714741344</v>
      </c>
      <c r="R15" s="94">
        <f t="shared" si="5"/>
        <v>6.7271414012566968</v>
      </c>
      <c r="S15" s="84"/>
      <c r="T15" s="84"/>
      <c r="U15" s="84"/>
    </row>
    <row r="16" spans="1:21">
      <c r="A16" s="84"/>
      <c r="B16" s="91" t="s">
        <v>199</v>
      </c>
      <c r="C16" s="92">
        <v>900</v>
      </c>
      <c r="D16" s="92">
        <v>0</v>
      </c>
      <c r="E16" s="92">
        <v>12331</v>
      </c>
      <c r="F16" s="92">
        <v>7</v>
      </c>
      <c r="G16" s="90">
        <f t="shared" si="0"/>
        <v>1796802.857142857</v>
      </c>
      <c r="H16" s="92">
        <v>0</v>
      </c>
      <c r="I16" s="92">
        <v>13246</v>
      </c>
      <c r="J16" s="92">
        <v>7</v>
      </c>
      <c r="K16" s="90">
        <f t="shared" si="1"/>
        <v>1930131.4285714284</v>
      </c>
      <c r="L16" s="92">
        <v>0</v>
      </c>
      <c r="M16" s="92">
        <v>11745</v>
      </c>
      <c r="N16" s="92">
        <v>7</v>
      </c>
      <c r="O16" s="90">
        <f t="shared" si="2"/>
        <v>1711414.2857142854</v>
      </c>
      <c r="P16" s="93">
        <f t="shared" si="3"/>
        <v>1812782.857142857</v>
      </c>
      <c r="Q16" s="93">
        <f t="shared" si="4"/>
        <v>110230.74636823416</v>
      </c>
      <c r="R16" s="94">
        <f t="shared" si="5"/>
        <v>6.2583457855668376</v>
      </c>
      <c r="S16" s="84"/>
      <c r="T16" s="84"/>
      <c r="U16" s="84"/>
    </row>
    <row r="17" spans="1:21">
      <c r="A17" s="84"/>
      <c r="B17" s="91" t="s">
        <v>200</v>
      </c>
      <c r="C17" s="92">
        <v>900</v>
      </c>
      <c r="D17" s="92">
        <v>0</v>
      </c>
      <c r="E17" s="92">
        <v>6389</v>
      </c>
      <c r="F17" s="92">
        <v>7</v>
      </c>
      <c r="G17" s="90">
        <f t="shared" si="0"/>
        <v>930968.57142857136</v>
      </c>
      <c r="H17" s="92">
        <v>0</v>
      </c>
      <c r="I17" s="92">
        <v>4586</v>
      </c>
      <c r="J17" s="92">
        <v>7</v>
      </c>
      <c r="K17" s="90">
        <f t="shared" si="1"/>
        <v>668245.7142857142</v>
      </c>
      <c r="L17" s="92">
        <v>0</v>
      </c>
      <c r="M17" s="92">
        <v>5332</v>
      </c>
      <c r="N17" s="92">
        <v>7</v>
      </c>
      <c r="O17" s="90">
        <f t="shared" si="2"/>
        <v>776948.57142857136</v>
      </c>
      <c r="P17" s="93">
        <f t="shared" si="3"/>
        <v>792054.28571428556</v>
      </c>
      <c r="Q17" s="93">
        <f t="shared" si="4"/>
        <v>132011.21872548491</v>
      </c>
      <c r="R17" s="94">
        <f t="shared" si="5"/>
        <v>5.8987549482286576</v>
      </c>
      <c r="S17" s="84"/>
      <c r="T17" s="84"/>
      <c r="U17" s="84"/>
    </row>
    <row r="18" spans="1:21">
      <c r="A18" s="84"/>
      <c r="B18" s="91" t="s">
        <v>201</v>
      </c>
      <c r="C18" s="92">
        <v>900</v>
      </c>
      <c r="D18" s="92">
        <v>0</v>
      </c>
      <c r="E18" s="92">
        <v>2453</v>
      </c>
      <c r="F18" s="92">
        <v>7</v>
      </c>
      <c r="G18" s="90">
        <f t="shared" si="0"/>
        <v>357437.14285714284</v>
      </c>
      <c r="H18" s="92">
        <v>0</v>
      </c>
      <c r="I18" s="92">
        <v>2433</v>
      </c>
      <c r="J18" s="92">
        <v>7</v>
      </c>
      <c r="K18" s="90">
        <f t="shared" si="1"/>
        <v>354522.8571428571</v>
      </c>
      <c r="L18" s="92">
        <v>0</v>
      </c>
      <c r="M18" s="92">
        <v>1833</v>
      </c>
      <c r="N18" s="92">
        <v>7</v>
      </c>
      <c r="O18" s="90">
        <f t="shared" si="2"/>
        <v>267094.28571428568</v>
      </c>
      <c r="P18" s="93">
        <f t="shared" si="3"/>
        <v>326351.42857142852</v>
      </c>
      <c r="Q18" s="93">
        <f t="shared" si="4"/>
        <v>51338.874159841398</v>
      </c>
      <c r="R18" s="94">
        <f t="shared" si="5"/>
        <v>5.5136855181177333</v>
      </c>
      <c r="S18" s="84"/>
      <c r="T18" s="84"/>
      <c r="U18" s="84"/>
    </row>
    <row r="19" spans="1:21">
      <c r="A19" s="84"/>
      <c r="B19" s="91" t="s">
        <v>202</v>
      </c>
      <c r="C19" s="92">
        <v>900</v>
      </c>
      <c r="D19" s="92">
        <v>0</v>
      </c>
      <c r="E19" s="92">
        <v>2574</v>
      </c>
      <c r="F19" s="92">
        <v>14</v>
      </c>
      <c r="G19" s="90">
        <f t="shared" si="0"/>
        <v>187534.28571428571</v>
      </c>
      <c r="H19" s="92">
        <v>0</v>
      </c>
      <c r="I19" s="92">
        <v>1997</v>
      </c>
      <c r="J19" s="92">
        <v>14</v>
      </c>
      <c r="K19" s="90">
        <f t="shared" si="1"/>
        <v>145495.71428571429</v>
      </c>
      <c r="L19" s="92">
        <v>0</v>
      </c>
      <c r="M19" s="92">
        <v>1974</v>
      </c>
      <c r="N19" s="92">
        <v>14</v>
      </c>
      <c r="O19" s="90">
        <f t="shared" si="2"/>
        <v>143819.99999999997</v>
      </c>
      <c r="P19" s="93">
        <f t="shared" si="3"/>
        <v>158950</v>
      </c>
      <c r="Q19" s="93">
        <f t="shared" si="4"/>
        <v>24768.892727345858</v>
      </c>
      <c r="R19" s="94">
        <f t="shared" si="5"/>
        <v>5.2012605322507914</v>
      </c>
      <c r="S19" s="84"/>
      <c r="T19" s="84"/>
      <c r="U19" s="84"/>
    </row>
    <row r="20" spans="1:21" ht="15" thickBot="1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</row>
    <row r="21" spans="1:21" ht="43" thickBot="1">
      <c r="A21" s="84"/>
      <c r="B21" s="96" t="s">
        <v>4</v>
      </c>
      <c r="C21" s="96" t="s">
        <v>203</v>
      </c>
      <c r="D21" s="96" t="s">
        <v>204</v>
      </c>
      <c r="E21" s="96" t="s">
        <v>205</v>
      </c>
      <c r="F21" s="96" t="s">
        <v>206</v>
      </c>
      <c r="G21" s="97" t="s">
        <v>207</v>
      </c>
      <c r="H21" s="98" t="s">
        <v>208</v>
      </c>
      <c r="I21" s="98" t="s">
        <v>209</v>
      </c>
      <c r="J21" s="98" t="s">
        <v>210</v>
      </c>
      <c r="K21" s="98" t="s">
        <v>211</v>
      </c>
      <c r="L21" s="98" t="s">
        <v>212</v>
      </c>
      <c r="M21" s="95" t="s">
        <v>213</v>
      </c>
      <c r="N21" s="84"/>
      <c r="O21" s="84"/>
      <c r="P21" s="84"/>
      <c r="Q21" s="84"/>
      <c r="R21" s="84"/>
      <c r="S21" s="84"/>
      <c r="T21" s="84"/>
      <c r="U21" s="84"/>
    </row>
    <row r="22" spans="1:2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</row>
    <row r="23" spans="1:21">
      <c r="A23" s="84"/>
      <c r="B23" s="91" t="s">
        <v>187</v>
      </c>
      <c r="C23" s="99">
        <v>13.733217239379883</v>
      </c>
      <c r="D23" s="99">
        <v>13.964070320129395</v>
      </c>
      <c r="E23" s="99">
        <v>13.836982727050781</v>
      </c>
      <c r="F23" s="100">
        <f>AVERAGE(C23:E23)</f>
        <v>13.844756762186686</v>
      </c>
      <c r="G23" s="84">
        <f>150/100*180/4*1000/900</f>
        <v>75</v>
      </c>
      <c r="H23" s="101">
        <f>LOG(G23)/LOG(2)</f>
        <v>6.2288186904958813</v>
      </c>
      <c r="I23" s="99">
        <f>C23-H23</f>
        <v>7.5043985488840015</v>
      </c>
      <c r="J23" s="99">
        <f>D23-H23</f>
        <v>7.7352516296335132</v>
      </c>
      <c r="K23" s="99">
        <f>E23-H23</f>
        <v>7.6081640365548999</v>
      </c>
      <c r="L23" s="100">
        <f>AVERAGE(I23:K23)</f>
        <v>7.6159380716908052</v>
      </c>
      <c r="M23" s="84"/>
      <c r="N23" s="84"/>
      <c r="O23" s="84"/>
      <c r="P23" s="84"/>
      <c r="Q23" s="84"/>
      <c r="R23" s="84"/>
      <c r="S23" s="84"/>
      <c r="T23" s="84"/>
      <c r="U23" s="84"/>
    </row>
    <row r="24" spans="1:21">
      <c r="A24" s="84"/>
      <c r="B24" s="91" t="s">
        <v>188</v>
      </c>
      <c r="C24" s="99">
        <v>17.19072151184082</v>
      </c>
      <c r="D24" s="99">
        <v>17.22271728515625</v>
      </c>
      <c r="E24" s="99">
        <v>17.264667510986328</v>
      </c>
      <c r="F24" s="100">
        <f t="shared" ref="F24:F38" si="6">AVERAGE(C24:E24)</f>
        <v>17.226035435994465</v>
      </c>
      <c r="G24" s="84">
        <f t="shared" ref="G24:G27" si="7">150/100*180/4*1000/900</f>
        <v>75</v>
      </c>
      <c r="H24" s="101">
        <f t="shared" ref="H24:H37" si="8">LOG(G24)/LOG(2)</f>
        <v>6.2288186904958813</v>
      </c>
      <c r="I24" s="99">
        <f t="shared" ref="I24:I38" si="9">C24-H24</f>
        <v>10.961902821344939</v>
      </c>
      <c r="J24" s="99">
        <f t="shared" ref="J24:J38" si="10">D24-H24</f>
        <v>10.993898594660369</v>
      </c>
      <c r="K24" s="99">
        <f t="shared" ref="K24:K38" si="11">E24-H24</f>
        <v>11.035848820490447</v>
      </c>
      <c r="L24" s="100">
        <f t="shared" ref="L24:L38" si="12">AVERAGE(I24:K24)</f>
        <v>10.997216745498585</v>
      </c>
      <c r="M24" s="84"/>
      <c r="N24" s="84"/>
      <c r="O24" s="84"/>
      <c r="P24" s="84"/>
      <c r="Q24" s="84"/>
      <c r="R24" s="84"/>
      <c r="S24" s="84"/>
      <c r="T24" s="84"/>
      <c r="U24" s="84"/>
    </row>
    <row r="25" spans="1:21">
      <c r="A25" s="84"/>
      <c r="B25" s="91" t="s">
        <v>189</v>
      </c>
      <c r="C25" s="99">
        <v>20.897546768188477</v>
      </c>
      <c r="D25" s="99">
        <v>20.622665405273438</v>
      </c>
      <c r="E25" s="99">
        <v>20.75037956237793</v>
      </c>
      <c r="F25" s="100">
        <f t="shared" si="6"/>
        <v>20.756863911946613</v>
      </c>
      <c r="G25" s="84">
        <f t="shared" si="7"/>
        <v>75</v>
      </c>
      <c r="H25" s="101">
        <f t="shared" si="8"/>
        <v>6.2288186904958813</v>
      </c>
      <c r="I25" s="99">
        <f t="shared" si="9"/>
        <v>14.668728077692595</v>
      </c>
      <c r="J25" s="99">
        <f t="shared" si="10"/>
        <v>14.393846714777556</v>
      </c>
      <c r="K25" s="99">
        <f t="shared" si="11"/>
        <v>14.521560871882048</v>
      </c>
      <c r="L25" s="100">
        <f t="shared" si="12"/>
        <v>14.528045221450734</v>
      </c>
      <c r="M25" s="95" t="s">
        <v>131</v>
      </c>
      <c r="N25" s="84"/>
      <c r="O25" s="84"/>
      <c r="P25" s="84"/>
      <c r="Q25" s="84"/>
      <c r="R25" s="84"/>
      <c r="S25" s="84"/>
      <c r="T25" s="84"/>
      <c r="U25" s="84"/>
    </row>
    <row r="26" spans="1:21">
      <c r="A26" s="84"/>
      <c r="B26" s="91" t="s">
        <v>190</v>
      </c>
      <c r="C26" s="99">
        <v>25.132444381713867</v>
      </c>
      <c r="D26" s="99">
        <v>25.147838592529297</v>
      </c>
      <c r="E26" s="99">
        <v>25.181661605834961</v>
      </c>
      <c r="F26" s="100">
        <f t="shared" si="6"/>
        <v>25.153981526692707</v>
      </c>
      <c r="G26" s="84">
        <f t="shared" si="7"/>
        <v>75</v>
      </c>
      <c r="H26" s="101">
        <f t="shared" si="8"/>
        <v>6.2288186904958813</v>
      </c>
      <c r="I26" s="99">
        <f t="shared" si="9"/>
        <v>18.903625691217986</v>
      </c>
      <c r="J26" s="99">
        <f t="shared" si="10"/>
        <v>18.919019902033416</v>
      </c>
      <c r="K26" s="99">
        <f t="shared" si="11"/>
        <v>18.95284291533908</v>
      </c>
      <c r="L26" s="100">
        <f t="shared" si="12"/>
        <v>18.925162836196829</v>
      </c>
      <c r="M26" s="84"/>
      <c r="N26" s="84"/>
      <c r="O26" s="84"/>
      <c r="P26" s="84"/>
      <c r="Q26" s="84"/>
      <c r="R26" s="84"/>
      <c r="S26" s="84"/>
      <c r="T26" s="84"/>
      <c r="U26" s="84"/>
    </row>
    <row r="27" spans="1:21">
      <c r="A27" s="84"/>
      <c r="B27" s="91" t="s">
        <v>191</v>
      </c>
      <c r="C27" s="99">
        <v>28.415132522583008</v>
      </c>
      <c r="D27" s="99">
        <v>28.359806060791016</v>
      </c>
      <c r="E27" s="99">
        <v>28.363668441772461</v>
      </c>
      <c r="F27" s="100">
        <f t="shared" si="6"/>
        <v>28.379535675048828</v>
      </c>
      <c r="G27" s="84">
        <f t="shared" si="7"/>
        <v>75</v>
      </c>
      <c r="H27" s="101">
        <f t="shared" si="8"/>
        <v>6.2288186904958813</v>
      </c>
      <c r="I27" s="99">
        <f t="shared" si="9"/>
        <v>22.186313832087126</v>
      </c>
      <c r="J27" s="99">
        <f t="shared" si="10"/>
        <v>22.130987370295134</v>
      </c>
      <c r="K27" s="99">
        <f t="shared" si="11"/>
        <v>22.13484975127658</v>
      </c>
      <c r="L27" s="100">
        <f t="shared" si="12"/>
        <v>22.150716984552947</v>
      </c>
      <c r="M27" s="84"/>
      <c r="N27" s="84"/>
      <c r="O27" s="84"/>
      <c r="P27" s="84"/>
      <c r="Q27" s="84"/>
      <c r="R27" s="84"/>
      <c r="S27" s="84"/>
      <c r="T27" s="84"/>
      <c r="U27" s="84"/>
    </row>
    <row r="28" spans="1:21">
      <c r="A28" s="84"/>
      <c r="B28" s="91" t="s">
        <v>192</v>
      </c>
      <c r="C28" s="99">
        <v>14.936457633972168</v>
      </c>
      <c r="D28" s="99">
        <v>14.999619483947754</v>
      </c>
      <c r="E28" s="99">
        <v>15.074687957763672</v>
      </c>
      <c r="F28" s="100">
        <f t="shared" si="6"/>
        <v>15.003588358561197</v>
      </c>
      <c r="G28" s="84">
        <f>150/100*180/4*1000/500</f>
        <v>135</v>
      </c>
      <c r="H28" s="101">
        <f t="shared" si="8"/>
        <v>7.0768155970508309</v>
      </c>
      <c r="I28" s="99">
        <f t="shared" si="9"/>
        <v>7.8596420369213371</v>
      </c>
      <c r="J28" s="99">
        <f t="shared" si="10"/>
        <v>7.9228038868969231</v>
      </c>
      <c r="K28" s="99">
        <f t="shared" si="11"/>
        <v>7.997872360712841</v>
      </c>
      <c r="L28" s="100">
        <f t="shared" si="12"/>
        <v>7.9267727615103674</v>
      </c>
      <c r="M28" s="84"/>
      <c r="N28" s="84"/>
      <c r="O28" s="84"/>
      <c r="P28" s="84"/>
      <c r="Q28" s="84"/>
      <c r="R28" s="84"/>
      <c r="S28" s="84"/>
      <c r="T28" s="84"/>
      <c r="U28" s="84"/>
    </row>
    <row r="29" spans="1:21">
      <c r="A29" s="84"/>
      <c r="B29" s="91" t="s">
        <v>193</v>
      </c>
      <c r="C29" s="99">
        <v>16.18989372253418</v>
      </c>
      <c r="D29" s="99">
        <v>15.8782958984375</v>
      </c>
      <c r="E29" s="99">
        <v>15.960098266601562</v>
      </c>
      <c r="F29" s="100">
        <f t="shared" si="6"/>
        <v>16.009429295857746</v>
      </c>
      <c r="G29" s="84">
        <f t="shared" ref="G29:G37" si="13">150/100*180/4*1000/500</f>
        <v>135</v>
      </c>
      <c r="H29" s="101">
        <f t="shared" si="8"/>
        <v>7.0768155970508309</v>
      </c>
      <c r="I29" s="99">
        <f t="shared" si="9"/>
        <v>9.1130781254833479</v>
      </c>
      <c r="J29" s="99">
        <f t="shared" si="10"/>
        <v>8.8014803013866683</v>
      </c>
      <c r="K29" s="99">
        <f t="shared" si="11"/>
        <v>8.8832826695507308</v>
      </c>
      <c r="L29" s="100">
        <f t="shared" si="12"/>
        <v>8.9326136988069162</v>
      </c>
      <c r="M29" s="95" t="s">
        <v>131</v>
      </c>
      <c r="N29" s="84"/>
      <c r="O29" s="84"/>
      <c r="P29" s="84"/>
      <c r="Q29" s="84"/>
      <c r="R29" s="84"/>
      <c r="S29" s="84"/>
      <c r="T29" s="84"/>
      <c r="U29" s="84"/>
    </row>
    <row r="30" spans="1:21">
      <c r="A30" s="84"/>
      <c r="B30" s="91" t="s">
        <v>194</v>
      </c>
      <c r="C30" s="99">
        <v>16.854721069335938</v>
      </c>
      <c r="D30" s="99">
        <v>16.93126106262207</v>
      </c>
      <c r="E30" s="99">
        <v>17.05010986328125</v>
      </c>
      <c r="F30" s="100">
        <f t="shared" si="6"/>
        <v>16.945363998413086</v>
      </c>
      <c r="G30" s="84">
        <f t="shared" si="13"/>
        <v>135</v>
      </c>
      <c r="H30" s="101">
        <f t="shared" si="8"/>
        <v>7.0768155970508309</v>
      </c>
      <c r="I30" s="99">
        <f t="shared" si="9"/>
        <v>9.7779054722851058</v>
      </c>
      <c r="J30" s="99">
        <f t="shared" si="10"/>
        <v>9.8544454655712386</v>
      </c>
      <c r="K30" s="99">
        <f t="shared" si="11"/>
        <v>9.9732942662304183</v>
      </c>
      <c r="L30" s="100">
        <f t="shared" si="12"/>
        <v>9.8685484013622542</v>
      </c>
      <c r="M30" s="95" t="s">
        <v>131</v>
      </c>
      <c r="N30" s="84"/>
      <c r="O30" s="84"/>
      <c r="P30" s="84"/>
      <c r="Q30" s="84"/>
      <c r="R30" s="84"/>
      <c r="S30" s="84"/>
      <c r="T30" s="84"/>
      <c r="U30" s="84"/>
    </row>
    <row r="31" spans="1:21">
      <c r="A31" s="84"/>
      <c r="B31" s="91" t="s">
        <v>195</v>
      </c>
      <c r="C31" s="99">
        <v>18.072385787963867</v>
      </c>
      <c r="D31" s="99">
        <v>18.182058334350586</v>
      </c>
      <c r="E31" s="99">
        <v>18.225353240966797</v>
      </c>
      <c r="F31" s="100">
        <f t="shared" si="6"/>
        <v>18.159932454427082</v>
      </c>
      <c r="G31" s="84">
        <f t="shared" si="13"/>
        <v>135</v>
      </c>
      <c r="H31" s="101">
        <f t="shared" si="8"/>
        <v>7.0768155970508309</v>
      </c>
      <c r="I31" s="99">
        <f t="shared" si="9"/>
        <v>10.995570190913035</v>
      </c>
      <c r="J31" s="99">
        <f t="shared" si="10"/>
        <v>11.105242737299754</v>
      </c>
      <c r="K31" s="99">
        <f t="shared" si="11"/>
        <v>11.148537643915965</v>
      </c>
      <c r="L31" s="100">
        <f t="shared" si="12"/>
        <v>11.083116857376252</v>
      </c>
      <c r="M31" s="84"/>
      <c r="N31" s="84"/>
      <c r="O31" s="84"/>
      <c r="P31" s="84"/>
      <c r="Q31" s="84"/>
      <c r="R31" s="84"/>
      <c r="S31" s="84"/>
      <c r="T31" s="84"/>
      <c r="U31" s="84"/>
    </row>
    <row r="32" spans="1:21">
      <c r="A32" s="84"/>
      <c r="B32" s="91" t="s">
        <v>196</v>
      </c>
      <c r="C32" s="99">
        <v>20.280126571655273</v>
      </c>
      <c r="D32" s="99">
        <v>20.968669891357422</v>
      </c>
      <c r="E32" s="99">
        <v>20.306863784790039</v>
      </c>
      <c r="F32" s="100">
        <f t="shared" si="6"/>
        <v>20.518553415934246</v>
      </c>
      <c r="G32" s="84">
        <f t="shared" si="13"/>
        <v>135</v>
      </c>
      <c r="H32" s="101">
        <f t="shared" si="8"/>
        <v>7.0768155970508309</v>
      </c>
      <c r="I32" s="99">
        <f t="shared" si="9"/>
        <v>13.203310974604442</v>
      </c>
      <c r="J32" s="99">
        <f t="shared" si="10"/>
        <v>13.89185429430659</v>
      </c>
      <c r="K32" s="99">
        <f t="shared" si="11"/>
        <v>13.230048187739207</v>
      </c>
      <c r="L32" s="100">
        <f t="shared" si="12"/>
        <v>13.441737818883412</v>
      </c>
      <c r="M32" s="84"/>
      <c r="N32" s="84"/>
      <c r="O32" s="84"/>
      <c r="P32" s="84"/>
      <c r="Q32" s="84"/>
      <c r="R32" s="84"/>
      <c r="S32" s="84"/>
      <c r="T32" s="84"/>
      <c r="U32" s="84"/>
    </row>
    <row r="33" spans="1:21">
      <c r="A33" s="84"/>
      <c r="B33" s="91" t="s">
        <v>197</v>
      </c>
      <c r="C33" s="99">
        <v>21.049312591552734</v>
      </c>
      <c r="D33" s="99">
        <v>21.128349304199219</v>
      </c>
      <c r="E33" s="99">
        <v>21.15723991394043</v>
      </c>
      <c r="F33" s="100">
        <f t="shared" si="6"/>
        <v>21.111633936564129</v>
      </c>
      <c r="G33" s="84">
        <f t="shared" si="13"/>
        <v>135</v>
      </c>
      <c r="H33" s="101">
        <f t="shared" si="8"/>
        <v>7.0768155970508309</v>
      </c>
      <c r="I33" s="99">
        <f t="shared" si="9"/>
        <v>13.972496994501903</v>
      </c>
      <c r="J33" s="99">
        <f t="shared" si="10"/>
        <v>14.051533707148387</v>
      </c>
      <c r="K33" s="99">
        <f t="shared" si="11"/>
        <v>14.080424316889598</v>
      </c>
      <c r="L33" s="100">
        <f t="shared" si="12"/>
        <v>14.034818339513295</v>
      </c>
      <c r="M33" s="84"/>
      <c r="N33" s="84"/>
      <c r="O33" s="84"/>
      <c r="P33" s="84"/>
      <c r="Q33" s="84"/>
      <c r="R33" s="84"/>
      <c r="S33" s="84"/>
      <c r="T33" s="84"/>
      <c r="U33" s="84"/>
    </row>
    <row r="34" spans="1:21">
      <c r="A34" s="84"/>
      <c r="B34" s="91" t="s">
        <v>198</v>
      </c>
      <c r="C34" s="99">
        <v>21.142179489135742</v>
      </c>
      <c r="D34" s="99">
        <v>21.006193161010742</v>
      </c>
      <c r="E34" s="99">
        <v>21.079441070556641</v>
      </c>
      <c r="F34" s="100">
        <f t="shared" si="6"/>
        <v>21.075937906901043</v>
      </c>
      <c r="G34" s="84">
        <f t="shared" si="13"/>
        <v>135</v>
      </c>
      <c r="H34" s="101">
        <f t="shared" si="8"/>
        <v>7.0768155970508309</v>
      </c>
      <c r="I34" s="99">
        <f t="shared" si="9"/>
        <v>14.06536389208491</v>
      </c>
      <c r="J34" s="99">
        <f t="shared" si="10"/>
        <v>13.92937756395991</v>
      </c>
      <c r="K34" s="99">
        <f t="shared" si="11"/>
        <v>14.002625473505809</v>
      </c>
      <c r="L34" s="100">
        <f t="shared" si="12"/>
        <v>13.999122309850209</v>
      </c>
      <c r="M34" s="84"/>
      <c r="N34" s="84"/>
      <c r="O34" s="84"/>
      <c r="P34" s="84"/>
      <c r="Q34" s="84"/>
      <c r="R34" s="84"/>
      <c r="S34" s="84"/>
      <c r="T34" s="84"/>
      <c r="U34" s="84"/>
    </row>
    <row r="35" spans="1:21">
      <c r="A35" s="84"/>
      <c r="B35" s="91" t="s">
        <v>199</v>
      </c>
      <c r="C35" s="99">
        <v>22.919816970825195</v>
      </c>
      <c r="D35" s="99">
        <v>22.845848083496094</v>
      </c>
      <c r="E35" s="99">
        <v>22.840835571289062</v>
      </c>
      <c r="F35" s="100">
        <f t="shared" si="6"/>
        <v>22.868833541870117</v>
      </c>
      <c r="G35" s="84">
        <f t="shared" si="13"/>
        <v>135</v>
      </c>
      <c r="H35" s="101">
        <f t="shared" si="8"/>
        <v>7.0768155970508309</v>
      </c>
      <c r="I35" s="99">
        <f t="shared" si="9"/>
        <v>15.843001373774364</v>
      </c>
      <c r="J35" s="99">
        <f t="shared" si="10"/>
        <v>15.769032486445262</v>
      </c>
      <c r="K35" s="99">
        <f t="shared" si="11"/>
        <v>15.764019974238231</v>
      </c>
      <c r="L35" s="100">
        <f t="shared" si="12"/>
        <v>15.792017944819285</v>
      </c>
      <c r="M35" s="84"/>
      <c r="N35" s="84"/>
      <c r="O35" s="84"/>
      <c r="P35" s="84"/>
      <c r="Q35" s="84"/>
      <c r="R35" s="84"/>
      <c r="S35" s="84"/>
      <c r="T35" s="84"/>
      <c r="U35" s="84"/>
    </row>
    <row r="36" spans="1:21">
      <c r="A36" s="84"/>
      <c r="B36" s="91" t="s">
        <v>200</v>
      </c>
      <c r="C36" s="99">
        <v>23.948450088500977</v>
      </c>
      <c r="D36" s="99">
        <v>24.184415817260742</v>
      </c>
      <c r="E36" s="99">
        <v>24.005857467651367</v>
      </c>
      <c r="F36" s="100">
        <f t="shared" si="6"/>
        <v>24.046241124471027</v>
      </c>
      <c r="G36" s="84">
        <f t="shared" si="13"/>
        <v>135</v>
      </c>
      <c r="H36" s="101">
        <f t="shared" si="8"/>
        <v>7.0768155970508309</v>
      </c>
      <c r="I36" s="99">
        <f t="shared" si="9"/>
        <v>16.871634491450145</v>
      </c>
      <c r="J36" s="99">
        <f t="shared" si="10"/>
        <v>17.10760022020991</v>
      </c>
      <c r="K36" s="99">
        <f t="shared" si="11"/>
        <v>16.929041870600535</v>
      </c>
      <c r="L36" s="100">
        <f t="shared" si="12"/>
        <v>16.969425527420196</v>
      </c>
      <c r="M36" s="84"/>
      <c r="N36" s="84"/>
      <c r="O36" s="84"/>
      <c r="P36" s="84"/>
      <c r="Q36" s="84"/>
      <c r="R36" s="84"/>
      <c r="S36" s="84"/>
      <c r="T36" s="84"/>
      <c r="U36" s="84"/>
    </row>
    <row r="37" spans="1:21">
      <c r="A37" s="84"/>
      <c r="B37" s="91" t="s">
        <v>201</v>
      </c>
      <c r="C37" s="99">
        <v>24.632528305053711</v>
      </c>
      <c r="D37" s="99">
        <v>24.451812744140625</v>
      </c>
      <c r="E37" s="99">
        <v>24.549453735351562</v>
      </c>
      <c r="F37" s="100">
        <f t="shared" si="6"/>
        <v>24.544598261515301</v>
      </c>
      <c r="G37" s="84">
        <f t="shared" si="13"/>
        <v>135</v>
      </c>
      <c r="H37" s="101">
        <f t="shared" si="8"/>
        <v>7.0768155970508309</v>
      </c>
      <c r="I37" s="99">
        <f t="shared" si="9"/>
        <v>17.555712708002879</v>
      </c>
      <c r="J37" s="99">
        <f t="shared" si="10"/>
        <v>17.374997147089793</v>
      </c>
      <c r="K37" s="99">
        <f t="shared" si="11"/>
        <v>17.472638138300731</v>
      </c>
      <c r="L37" s="100">
        <f t="shared" si="12"/>
        <v>17.467782664464469</v>
      </c>
      <c r="M37" s="84"/>
      <c r="N37" s="84"/>
      <c r="O37" s="84"/>
      <c r="P37" s="84"/>
      <c r="Q37" s="84"/>
      <c r="R37" s="84"/>
      <c r="S37" s="84"/>
      <c r="T37" s="84"/>
      <c r="U37" s="84"/>
    </row>
    <row r="38" spans="1:21">
      <c r="A38" s="84"/>
      <c r="B38" s="91" t="s">
        <v>202</v>
      </c>
      <c r="C38" s="92"/>
      <c r="D38" s="92"/>
      <c r="E38" s="92"/>
      <c r="F38" s="100" t="e">
        <f t="shared" si="6"/>
        <v>#DIV/0!</v>
      </c>
      <c r="G38" s="84">
        <v>0</v>
      </c>
      <c r="H38" s="101">
        <v>0</v>
      </c>
      <c r="I38" s="99">
        <f t="shared" si="9"/>
        <v>0</v>
      </c>
      <c r="J38" s="99">
        <f t="shared" si="10"/>
        <v>0</v>
      </c>
      <c r="K38" s="99">
        <f t="shared" si="11"/>
        <v>0</v>
      </c>
      <c r="L38" s="100">
        <f t="shared" si="12"/>
        <v>0</v>
      </c>
      <c r="M38" s="84"/>
      <c r="N38" s="84"/>
      <c r="O38" s="84"/>
      <c r="P38" s="84"/>
      <c r="Q38" s="84"/>
      <c r="R38" s="84"/>
      <c r="S38" s="84"/>
      <c r="T38" s="84"/>
      <c r="U38" s="84"/>
    </row>
    <row r="39" spans="1:21">
      <c r="A39" s="84"/>
      <c r="B39" s="84"/>
      <c r="C39" s="84"/>
      <c r="D39" s="84"/>
      <c r="E39" s="84"/>
      <c r="F39" s="101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</row>
    <row r="40" spans="1:21">
      <c r="A40" s="84"/>
      <c r="B40" s="91" t="s">
        <v>214</v>
      </c>
      <c r="C40" s="99">
        <v>14.390941619873047</v>
      </c>
      <c r="D40" s="99">
        <v>14.411395072937012</v>
      </c>
      <c r="E40" s="99">
        <v>14.301624298095703</v>
      </c>
      <c r="F40" s="100">
        <f>AVERAGE(C40:E40)</f>
        <v>14.367986996968588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</row>
    <row r="41" spans="1:2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</row>
    <row r="42" spans="1:21">
      <c r="A42" s="84"/>
      <c r="B42" s="95" t="s">
        <v>215</v>
      </c>
      <c r="C42" s="84" t="s">
        <v>216</v>
      </c>
      <c r="D42" s="84"/>
      <c r="E42" s="84"/>
      <c r="F42" t="s">
        <v>217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</row>
    <row r="43" spans="1:21">
      <c r="A43" s="84"/>
      <c r="B43" s="84" t="s">
        <v>218</v>
      </c>
      <c r="C43" s="84" t="s">
        <v>216</v>
      </c>
      <c r="D43" s="84"/>
      <c r="E43" s="84"/>
      <c r="F43">
        <v>0.35990572856564834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</row>
    <row r="44" spans="1:21">
      <c r="A44" s="84"/>
      <c r="B44" s="84"/>
      <c r="C44" s="102" t="s">
        <v>219</v>
      </c>
      <c r="D44" s="103">
        <v>-3.2483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</row>
    <row r="45" spans="1:21">
      <c r="A45" s="84"/>
      <c r="B45" s="84"/>
      <c r="C45" s="102" t="s">
        <v>220</v>
      </c>
      <c r="D45" s="104">
        <v>36.023000000000003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</row>
    <row r="46" spans="1:2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</row>
    <row r="47" spans="1:2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</row>
    <row r="48" spans="1:21">
      <c r="A48" s="84"/>
      <c r="B48" s="95" t="s">
        <v>221</v>
      </c>
      <c r="C48" s="84"/>
      <c r="D48" s="84">
        <f>-1+ POWER(10,-(1/D44))</f>
        <v>1.0316707994539165</v>
      </c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</row>
    <row r="49" spans="1:2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</row>
    <row r="50" spans="1:2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</row>
    <row r="51" spans="1:2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</row>
    <row r="52" spans="1:2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</row>
    <row r="53" spans="1:2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</row>
    <row r="54" spans="1:2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</row>
    <row r="55" spans="1:2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2"/>
  <sheetViews>
    <sheetView workbookViewId="0">
      <selection activeCell="H4" sqref="H4"/>
    </sheetView>
  </sheetViews>
  <sheetFormatPr baseColWidth="10" defaultColWidth="8.83203125" defaultRowHeight="14" x14ac:dyDescent="0"/>
  <cols>
    <col min="1" max="1" width="13.33203125" style="84" bestFit="1" customWidth="1"/>
    <col min="2" max="4" width="8.83203125" style="84"/>
    <col min="5" max="6" width="13.33203125" style="84" bestFit="1" customWidth="1"/>
    <col min="7" max="10" width="13.6640625" style="84" customWidth="1"/>
    <col min="11" max="11" width="16.5" style="84" bestFit="1" customWidth="1"/>
    <col min="12" max="12" width="17" style="84" customWidth="1"/>
    <col min="13" max="13" width="19.1640625" style="84" customWidth="1"/>
    <col min="14" max="14" width="17" style="84" customWidth="1"/>
    <col min="15" max="15" width="18.83203125" style="84" customWidth="1"/>
    <col min="16" max="16" width="18" style="84" customWidth="1"/>
    <col min="17" max="17" width="23.5" style="84" customWidth="1"/>
    <col min="18" max="18" width="18.5" style="84" customWidth="1"/>
    <col min="19" max="19" width="23.5" style="84" customWidth="1"/>
    <col min="20" max="16384" width="8.83203125" style="84"/>
  </cols>
  <sheetData>
    <row r="1" spans="1:19">
      <c r="A1" s="106" t="s">
        <v>266</v>
      </c>
    </row>
    <row r="2" spans="1:19">
      <c r="A2" s="130" t="s">
        <v>4</v>
      </c>
      <c r="B2" s="130" t="s">
        <v>117</v>
      </c>
      <c r="C2" s="130" t="s">
        <v>117</v>
      </c>
      <c r="D2" s="130" t="s">
        <v>5</v>
      </c>
      <c r="E2" s="142" t="s">
        <v>229</v>
      </c>
      <c r="F2" s="142" t="s">
        <v>230</v>
      </c>
      <c r="G2" s="142" t="s">
        <v>231</v>
      </c>
      <c r="H2" s="144" t="s">
        <v>232</v>
      </c>
      <c r="I2" s="144" t="s">
        <v>233</v>
      </c>
      <c r="J2" s="144" t="s">
        <v>234</v>
      </c>
      <c r="K2" s="142" t="s">
        <v>235</v>
      </c>
      <c r="L2" s="142" t="s">
        <v>236</v>
      </c>
      <c r="M2" s="142" t="s">
        <v>237</v>
      </c>
      <c r="N2" s="142" t="s">
        <v>238</v>
      </c>
      <c r="O2" s="142" t="s">
        <v>239</v>
      </c>
      <c r="P2" s="144" t="s">
        <v>240</v>
      </c>
      <c r="Q2" s="144" t="s">
        <v>256</v>
      </c>
      <c r="R2" s="150" t="s">
        <v>242</v>
      </c>
      <c r="S2" s="144" t="s">
        <v>243</v>
      </c>
    </row>
    <row r="3" spans="1:19">
      <c r="A3" s="131"/>
      <c r="B3" s="131"/>
      <c r="C3" s="131"/>
      <c r="D3" s="131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51"/>
      <c r="S3" s="143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9">
        <v>24.776556015014648</v>
      </c>
      <c r="F4" s="99">
        <v>26.574653625488281</v>
      </c>
      <c r="G4" s="99">
        <v>25.069183349609375</v>
      </c>
      <c r="H4" s="99">
        <f>E4-$H$47+$H$72</f>
        <v>24.742588902964737</v>
      </c>
      <c r="I4" s="99">
        <f>F4-$H$47+$H$72</f>
        <v>26.54068651343837</v>
      </c>
      <c r="J4" s="99">
        <f>G4-$H$47+$H$72</f>
        <v>25.035216237559464</v>
      </c>
      <c r="K4" s="100">
        <f>((H4-'Calibration R. intestinalis '!$D$45)/('Calibration R. intestinalis '!$D$44))+$B$23</f>
        <v>8.2164304863083402</v>
      </c>
      <c r="L4" s="100">
        <f>((I4-'Calibration R. intestinalis '!$D$45)/('Calibration R. intestinalis '!$D$44))+$B$23</f>
        <v>7.7301558803441921</v>
      </c>
      <c r="M4" s="100">
        <f>((J4-'Calibration R. intestinalis '!$D$45)/('Calibration R. intestinalis '!$D$44))+$B$23</f>
        <v>8.1372928238168658</v>
      </c>
      <c r="N4" s="108">
        <f>AVERAGE(K4:M4)</f>
        <v>8.027959730156466</v>
      </c>
      <c r="O4" s="108">
        <f>STDEV(K4:M4)</f>
        <v>0.26092344112480997</v>
      </c>
      <c r="P4" s="104">
        <f>(AVERAGE(POWER(10,K4),POWER(10,L4),POWER(10,M4)))*(Calculation!$I4/Calculation!$K3)</f>
        <v>119293728.69988489</v>
      </c>
      <c r="Q4" s="109">
        <f>(STDEV(POWER(10,K4),POWER(10,L4),POWER(10,M4)))*(Calculation!$I4/Calculation!$K3)</f>
        <v>58137159.127298914</v>
      </c>
      <c r="R4" s="108">
        <f>LOG(P4)</f>
        <v>8.0766176133046841</v>
      </c>
      <c r="S4" s="108">
        <f>O4*(Calculation!$I4/Calculation!$K3)</f>
        <v>0.26266866804945338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19">
        <v>23.518199920654297</v>
      </c>
      <c r="F5" s="99">
        <v>23.648799896240234</v>
      </c>
      <c r="G5" s="99">
        <v>23.324243545532227</v>
      </c>
      <c r="H5" s="99">
        <f>E5-$H$47+$H$72</f>
        <v>23.484232808604386</v>
      </c>
      <c r="I5" s="99">
        <f>F5-$H$47+$H$72</f>
        <v>23.614832784190323</v>
      </c>
      <c r="J5" s="99">
        <f>G5-$H$47+$H$72</f>
        <v>23.290276433482315</v>
      </c>
      <c r="K5" s="100">
        <f>((H5-'Calibration R. intestinalis '!$D$45)/('Calibration R. intestinalis '!$D$44))+$B$23</f>
        <v>8.5567382707041411</v>
      </c>
      <c r="L5" s="100">
        <f>((I5-'Calibration R. intestinalis '!$D$45)/('Calibration R. intestinalis '!$D$44))+$B$23</f>
        <v>8.5214190247983232</v>
      </c>
      <c r="M5" s="100">
        <f>((J5-'Calibration R. intestinalis '!$D$45)/('Calibration R. intestinalis '!$D$44))+$B$23</f>
        <v>8.6091915187021044</v>
      </c>
      <c r="N5" s="108">
        <f t="shared" ref="N5:N20" si="1">AVERAGE(K5:M5)</f>
        <v>8.5624496047348568</v>
      </c>
      <c r="O5" s="108">
        <f t="shared" ref="O5:O20" si="2">STDEV(K5:M5)</f>
        <v>4.4164093716843433E-2</v>
      </c>
      <c r="P5" s="104">
        <f>(AVERAGE(POWER(10,K5),POWER(10,L5),POWER(10,M5)))*(Calculation!$I5/Calculation!$K4)</f>
        <v>369322313.72293717</v>
      </c>
      <c r="Q5" s="109">
        <f>(STDEV(POWER(10,K5),POWER(10,L5),POWER(10,M5)))*(Calculation!$I5/Calculation!$K4)</f>
        <v>37869273.854019575</v>
      </c>
      <c r="R5" s="108">
        <f>LOG(P5)</f>
        <v>8.5674055476563655</v>
      </c>
      <c r="S5" s="108">
        <f>O5*(Calculation!$I5/Calculation!$K4)</f>
        <v>4.4516382055931739E-2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9">
        <v>22.984867095947266</v>
      </c>
      <c r="F6" s="99">
        <v>23.155202865600586</v>
      </c>
      <c r="G6" s="99">
        <v>23.352331161499023</v>
      </c>
      <c r="H6" s="99">
        <f>E6-$H$47+$H$72</f>
        <v>22.950899983897354</v>
      </c>
      <c r="I6" s="99">
        <f>F6-$H$47+$H$72</f>
        <v>23.121235753550675</v>
      </c>
      <c r="J6" s="99">
        <f>G6-$H$47+$H$72</f>
        <v>23.318364049449112</v>
      </c>
      <c r="K6" s="100">
        <f>((H6-'Calibration R. intestinalis '!$D$45)/('Calibration R. intestinalis '!$D$44))+$B$23</f>
        <v>8.7009719361467219</v>
      </c>
      <c r="L6" s="100">
        <f>((I6-'Calibration R. intestinalis '!$D$45)/('Calibration R. intestinalis '!$D$44))+$B$23</f>
        <v>8.6549066064408713</v>
      </c>
      <c r="M6" s="100">
        <f>((J6-'Calibration R. intestinalis '!$D$45)/('Calibration R. intestinalis '!$D$44))+$B$23</f>
        <v>8.601595549324708</v>
      </c>
      <c r="N6" s="108">
        <f t="shared" si="1"/>
        <v>8.6524913639707677</v>
      </c>
      <c r="O6" s="108">
        <f t="shared" si="2"/>
        <v>4.9732198941849333E-2</v>
      </c>
      <c r="P6" s="104">
        <f>(AVERAGE(POWER(10,K6),POWER(10,L6),POWER(10,M6)))*(Calculation!$I6/Calculation!$K5)</f>
        <v>455711284.43454814</v>
      </c>
      <c r="Q6" s="109">
        <f>(STDEV(POWER(10,K6),POWER(10,L6),POWER(10,M6)))*(Calculation!$I6/Calculation!$K5)</f>
        <v>51883044.712345071</v>
      </c>
      <c r="R6" s="108">
        <f t="shared" ref="R6:R20" si="3">LOG(P6)</f>
        <v>8.6586897828220319</v>
      </c>
      <c r="S6" s="108">
        <f>O6*(Calculation!$I6/Calculation!$K5)</f>
        <v>5.0227906725778398E-2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9">
        <v>22.554149627685547</v>
      </c>
      <c r="F7" s="99">
        <v>22.053661346435547</v>
      </c>
      <c r="G7" s="99">
        <v>22.326360702514648</v>
      </c>
      <c r="H7" s="99">
        <f>E7-$H$47+$H$72</f>
        <v>22.520182515635636</v>
      </c>
      <c r="I7" s="99">
        <f>F7-$H$47+$H$72</f>
        <v>22.019694234385636</v>
      </c>
      <c r="J7" s="99">
        <f>G7-$H$47+$H$72</f>
        <v>22.292393590464737</v>
      </c>
      <c r="K7" s="100">
        <f>((H7-'Calibration R. intestinalis '!$D$45)/('Calibration R. intestinalis '!$D$44))+$B$23</f>
        <v>8.8174544707660036</v>
      </c>
      <c r="L7" s="100">
        <f>((I7-'Calibration R. intestinalis '!$D$45)/('Calibration R. intestinalis '!$D$44))+$B$23</f>
        <v>8.9528057110640269</v>
      </c>
      <c r="M7" s="100">
        <f>((J7-'Calibration R. intestinalis '!$D$45)/('Calibration R. intestinalis '!$D$44))+$B$23</f>
        <v>8.879057338811247</v>
      </c>
      <c r="N7" s="108">
        <f t="shared" si="1"/>
        <v>8.8831058402137604</v>
      </c>
      <c r="O7" s="108">
        <f t="shared" si="2"/>
        <v>6.7766380567785348E-2</v>
      </c>
      <c r="P7" s="104">
        <f>(AVERAGE(POWER(10,K7),POWER(10,L7),POWER(10,M7)))*(Calculation!$I7/Calculation!$K6)</f>
        <v>780048617.29224074</v>
      </c>
      <c r="Q7" s="109">
        <f>(STDEV(POWER(10,K7),POWER(10,L7),POWER(10,M7)))*(Calculation!$I7/Calculation!$K6)</f>
        <v>122183836.87192526</v>
      </c>
      <c r="R7" s="108">
        <f t="shared" si="3"/>
        <v>8.892121671361954</v>
      </c>
      <c r="S7" s="108">
        <f>O7*(Calculation!$I7/Calculation!$K6)</f>
        <v>6.862719849118383E-2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9">
        <v>20.739992141723633</v>
      </c>
      <c r="F8" s="99">
        <v>20.903345108032227</v>
      </c>
      <c r="G8" s="99">
        <v>20.892770767211914</v>
      </c>
      <c r="H8" s="99">
        <f>E8-$H$47+$H$72</f>
        <v>20.706025029673722</v>
      </c>
      <c r="I8" s="99">
        <f>F8-$H$47+$H$72</f>
        <v>20.869377995982315</v>
      </c>
      <c r="J8" s="99">
        <f>G8-$H$47+$H$72</f>
        <v>20.858803655162003</v>
      </c>
      <c r="K8" s="100">
        <f>((H8-'Calibration R. intestinalis '!$D$45)/('Calibration R. intestinalis '!$D$44))+$B$23</f>
        <v>9.3080722834500804</v>
      </c>
      <c r="L8" s="100">
        <f>((I8-'Calibration R. intestinalis '!$D$45)/('Calibration R. intestinalis '!$D$44))+$B$23</f>
        <v>9.2638953717729322</v>
      </c>
      <c r="M8" s="100">
        <f>((J8-'Calibration R. intestinalis '!$D$45)/('Calibration R. intestinalis '!$D$44))+$B$23</f>
        <v>9.2667550793804487</v>
      </c>
      <c r="N8" s="108">
        <f t="shared" si="1"/>
        <v>9.2795742448678205</v>
      </c>
      <c r="O8" s="108">
        <f t="shared" si="2"/>
        <v>2.4721410440690983E-2</v>
      </c>
      <c r="P8" s="104">
        <f>(AVERAGE(POWER(10,K8),POWER(10,L8),POWER(10,M8)))*(Calculation!$I8/Calculation!$K7)</f>
        <v>1939254510.0170784</v>
      </c>
      <c r="Q8" s="109">
        <f>(STDEV(POWER(10,K8),POWER(10,L8),POWER(10,M8)))*(Calculation!$I8/Calculation!$K7)</f>
        <v>112113581.62584075</v>
      </c>
      <c r="R8" s="108">
        <f t="shared" si="3"/>
        <v>9.2876348101320811</v>
      </c>
      <c r="S8" s="108">
        <f>O8*(Calculation!$I8/Calculation!$K7)</f>
        <v>2.5157055401183962E-2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9">
        <v>20.598308563232422</v>
      </c>
      <c r="F9" s="99">
        <v>20.303094863891602</v>
      </c>
      <c r="G9" s="99">
        <v>20.500654220581055</v>
      </c>
      <c r="H9" s="99">
        <f>E9-$H$47+$H$72</f>
        <v>20.564341451182511</v>
      </c>
      <c r="I9" s="99">
        <f>F9-$H$47+$H$72</f>
        <v>20.26912775184169</v>
      </c>
      <c r="J9" s="99">
        <f>G9-$H$47+$H$72</f>
        <v>20.466687108531143</v>
      </c>
      <c r="K9" s="100">
        <f>((H9-'Calibration R. intestinalis '!$D$45)/('Calibration R. intestinalis '!$D$44))+$B$23</f>
        <v>9.346388960976979</v>
      </c>
      <c r="L9" s="100">
        <f>((I9-'Calibration R. intestinalis '!$D$45)/('Calibration R. intestinalis '!$D$44))+$B$23</f>
        <v>9.4262260757620666</v>
      </c>
      <c r="M9" s="100">
        <f>((J9-'Calibration R. intestinalis '!$D$45)/('Calibration R. intestinalis '!$D$44))+$B$23</f>
        <v>9.3727984432636351</v>
      </c>
      <c r="N9" s="108">
        <f t="shared" si="1"/>
        <v>9.3818044933342275</v>
      </c>
      <c r="O9" s="108">
        <f t="shared" si="2"/>
        <v>4.0673368777460736E-2</v>
      </c>
      <c r="P9" s="104">
        <f>(AVERAGE(POWER(10,K9),POWER(10,L9),POWER(10,M9)))*(Calculation!$I9/Calculation!$K8)</f>
        <v>2472451273.3766327</v>
      </c>
      <c r="Q9" s="109">
        <f>(STDEV(POWER(10,K9),POWER(10,L9),POWER(10,M9)))*(Calculation!$I9/Calculation!$K8)</f>
        <v>234687294.92757231</v>
      </c>
      <c r="R9" s="108">
        <f t="shared" si="3"/>
        <v>9.3931277413563059</v>
      </c>
      <c r="S9" s="108">
        <f>O9*(Calculation!$I9/Calculation!$K8)</f>
        <v>4.1624793037927127E-2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9">
        <v>20.458280563354492</v>
      </c>
      <c r="F10" s="99">
        <v>20.815372467041016</v>
      </c>
      <c r="G10" s="99">
        <v>20.450986862182617</v>
      </c>
      <c r="H10" s="99">
        <f>E10-$H$47+$H$72</f>
        <v>20.424313451304581</v>
      </c>
      <c r="I10" s="99">
        <f>F10-$H$47+$H$72</f>
        <v>20.781405354991104</v>
      </c>
      <c r="J10" s="99">
        <f>G10-$H$47+$H$72</f>
        <v>20.417019750132706</v>
      </c>
      <c r="K10" s="100">
        <f>((H10-'Calibration R. intestinalis '!$D$45)/('Calibration R. intestinalis '!$D$44))+$B$23</f>
        <v>9.38425790650472</v>
      </c>
      <c r="L10" s="100">
        <f>((I10-'Calibration R. intestinalis '!$D$45)/('Calibration R. intestinalis '!$D$44))+$B$23</f>
        <v>9.287686550341018</v>
      </c>
      <c r="M10" s="100">
        <f>((J10-'Calibration R. intestinalis '!$D$45)/('Calibration R. intestinalis '!$D$44))+$B$23</f>
        <v>9.3862304032383328</v>
      </c>
      <c r="N10" s="108">
        <f t="shared" si="1"/>
        <v>9.3527249533613563</v>
      </c>
      <c r="O10" s="108">
        <f t="shared" si="2"/>
        <v>5.6333543172944971E-2</v>
      </c>
      <c r="P10" s="104">
        <f>(AVERAGE(POWER(10,K10),POWER(10,L10),POWER(10,M10)))*(Calculation!$I10/Calculation!$K9)</f>
        <v>2328272738.4323521</v>
      </c>
      <c r="Q10" s="109">
        <f>(STDEV(POWER(10,K10),POWER(10,L10),POWER(10,M10)))*(Calculation!$I10/Calculation!$K9)</f>
        <v>289947834.21996373</v>
      </c>
      <c r="R10" s="108">
        <f t="shared" si="3"/>
        <v>9.3670338530647239</v>
      </c>
      <c r="S10" s="108">
        <f>O10*(Calculation!$I10/Calculation!$K9)</f>
        <v>5.7903406800594907E-2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9">
        <v>19.824615478515625</v>
      </c>
      <c r="F11" s="99">
        <v>19.869827270507812</v>
      </c>
      <c r="G11" s="99">
        <v>19.888164520263672</v>
      </c>
      <c r="H11" s="99">
        <f>E11-$H$47+$H$72</f>
        <v>19.790648366465714</v>
      </c>
      <c r="I11" s="99">
        <f>F11-$H$47+$H$72</f>
        <v>19.835860158457901</v>
      </c>
      <c r="J11" s="99">
        <f>G11-$H$47+$H$72</f>
        <v>19.854197408213761</v>
      </c>
      <c r="K11" s="100">
        <f>((H11-'Calibration R. intestinalis '!$D$45)/('Calibration R. intestinalis '!$D$44))+$B$23</f>
        <v>9.5556252659007956</v>
      </c>
      <c r="L11" s="100">
        <f>((I11-'Calibration R. intestinalis '!$D$45)/('Calibration R. intestinalis '!$D$44))+$B$23</f>
        <v>9.5433982620897275</v>
      </c>
      <c r="M11" s="100">
        <f>((J11-'Calibration R. intestinalis '!$D$45)/('Calibration R. intestinalis '!$D$44))+$B$23</f>
        <v>9.5384391659608205</v>
      </c>
      <c r="N11" s="108">
        <f t="shared" si="1"/>
        <v>9.5458208979837824</v>
      </c>
      <c r="O11" s="108">
        <f t="shared" si="2"/>
        <v>8.8454723612179792E-3</v>
      </c>
      <c r="P11" s="104">
        <f>(AVERAGE(POWER(10,K11),POWER(10,L11),POWER(10,M11)))*(Calculation!$I11/Calculation!$K10)</f>
        <v>3626065451.9496431</v>
      </c>
      <c r="Q11" s="109">
        <f>(STDEV(POWER(10,K11),POWER(10,L11),POWER(10,M11)))*(Calculation!$I11/Calculation!$K10)</f>
        <v>74135089.645974845</v>
      </c>
      <c r="R11" s="108">
        <f t="shared" si="3"/>
        <v>9.5594356390214905</v>
      </c>
      <c r="S11" s="108">
        <f>O11*(Calculation!$I11/Calculation!$K10)</f>
        <v>9.1258970421198484E-3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9">
        <v>19.616134643554688</v>
      </c>
      <c r="F12" s="99">
        <v>19.331056594848633</v>
      </c>
      <c r="G12" s="99">
        <v>19.448909759521484</v>
      </c>
      <c r="H12" s="99">
        <f>E12-$H$47+$H$72</f>
        <v>19.582167531504776</v>
      </c>
      <c r="I12" s="99">
        <f>F12-$H$47+$H$72</f>
        <v>19.297089482798722</v>
      </c>
      <c r="J12" s="99">
        <f>G12-$H$47+$H$72</f>
        <v>19.414942647471573</v>
      </c>
      <c r="K12" s="100">
        <f>((H12-'Calibration R. intestinalis '!$D$45)/('Calibration R. intestinalis '!$D$44))+$B$23</f>
        <v>9.6120064852968898</v>
      </c>
      <c r="L12" s="100">
        <f>((I12-'Calibration R. intestinalis '!$D$45)/('Calibration R. intestinalis '!$D$44))+$B$23</f>
        <v>9.6891025311378325</v>
      </c>
      <c r="M12" s="100">
        <f>((J12-'Calibration R. intestinalis '!$D$45)/('Calibration R. intestinalis '!$D$44))+$B$23</f>
        <v>9.6572305121333564</v>
      </c>
      <c r="N12" s="108">
        <f t="shared" si="1"/>
        <v>9.6527798428560256</v>
      </c>
      <c r="O12" s="108">
        <f t="shared" si="2"/>
        <v>3.8740242821119625E-2</v>
      </c>
      <c r="P12" s="104">
        <f>(AVERAGE(POWER(10,K12),POWER(10,L12),POWER(10,M12)))*(Calculation!$I12/Calculation!$K11)</f>
        <v>4664595107.7036572</v>
      </c>
      <c r="Q12" s="109">
        <f>(STDEV(POWER(10,K12),POWER(10,L12),POWER(10,M12)))*(Calculation!$I12/Calculation!$K11)</f>
        <v>412524722.37602317</v>
      </c>
      <c r="R12" s="108">
        <f t="shared" si="3"/>
        <v>9.6688139524508969</v>
      </c>
      <c r="S12" s="108">
        <f>O12*(Calculation!$I12/Calculation!$K11)</f>
        <v>4.0091389881318967E-2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9">
        <v>19.203147888183594</v>
      </c>
      <c r="F13" s="99">
        <v>19.130592346191406</v>
      </c>
      <c r="G13" s="99">
        <v>19.258071899414062</v>
      </c>
      <c r="H13" s="99">
        <f>E13-$H$47+$H$72</f>
        <v>19.169180776133683</v>
      </c>
      <c r="I13" s="99">
        <f>F13-$H$47+$H$72</f>
        <v>19.096625234141495</v>
      </c>
      <c r="J13" s="99">
        <f>G13-$H$47+$H$72</f>
        <v>19.224104787364151</v>
      </c>
      <c r="K13" s="100">
        <f>((H13-'Calibration R. intestinalis '!$D$45)/('Calibration R. intestinalis '!$D$44))+$B$23</f>
        <v>9.7236939546348822</v>
      </c>
      <c r="L13" s="100">
        <f>((I13-'Calibration R. intestinalis '!$D$45)/('Calibration R. intestinalis '!$D$44))+$B$23</f>
        <v>9.7433157579158909</v>
      </c>
      <c r="M13" s="100">
        <f>((J13-'Calibration R. intestinalis '!$D$45)/('Calibration R. intestinalis '!$D$44))+$B$23</f>
        <v>9.7088403939808359</v>
      </c>
      <c r="N13" s="108">
        <f t="shared" si="1"/>
        <v>9.7252833688438702</v>
      </c>
      <c r="O13" s="108">
        <f t="shared" si="2"/>
        <v>1.7292552089249912E-2</v>
      </c>
      <c r="P13" s="104">
        <f>(AVERAGE(POWER(10,K13),POWER(10,L13),POWER(10,M13)))*(Calculation!$I13/Calculation!$K12)</f>
        <v>5513584463.9943447</v>
      </c>
      <c r="Q13" s="109">
        <f>(STDEV(POWER(10,K13),POWER(10,L13),POWER(10,M13)))*(Calculation!$I13/Calculation!$K12)</f>
        <v>220090309.68318322</v>
      </c>
      <c r="R13" s="108">
        <f t="shared" si="3"/>
        <v>9.7414340320282662</v>
      </c>
      <c r="S13" s="108">
        <f>O13*(Calculation!$I13/Calculation!$K12)</f>
        <v>1.793824097949491E-2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9">
        <v>18.990962982177734</v>
      </c>
      <c r="F14" s="99">
        <v>18.925117492675781</v>
      </c>
      <c r="G14" s="99">
        <v>19.114891052246094</v>
      </c>
      <c r="H14" s="99">
        <f>E14-$H$47+$H$72</f>
        <v>18.956995870127823</v>
      </c>
      <c r="I14" s="99">
        <f>F14-$H$47+$H$72</f>
        <v>18.89115038062587</v>
      </c>
      <c r="J14" s="99">
        <f>G14-$H$47+$H$72</f>
        <v>19.080923940196183</v>
      </c>
      <c r="K14" s="100">
        <f>((H14-'Calibration R. intestinalis '!$D$45)/('Calibration R. intestinalis '!$D$44))+$B$23</f>
        <v>9.7810768970060487</v>
      </c>
      <c r="L14" s="100">
        <f>((I14-'Calibration R. intestinalis '!$D$45)/('Calibration R. intestinalis '!$D$44))+$B$23</f>
        <v>9.7988840445577559</v>
      </c>
      <c r="M14" s="100">
        <f>((J14-'Calibration R. intestinalis '!$D$45)/('Calibration R. intestinalis '!$D$44))+$B$23</f>
        <v>9.7475619904240212</v>
      </c>
      <c r="N14" s="108">
        <f t="shared" si="1"/>
        <v>9.7758409773292758</v>
      </c>
      <c r="O14" s="108">
        <f t="shared" si="2"/>
        <v>2.6058577307150058E-2</v>
      </c>
      <c r="P14" s="104">
        <f>(AVERAGE(POWER(10,K14),POWER(10,L14),POWER(10,M14)))*(Calculation!$I14/Calculation!$K13)</f>
        <v>6213719600.3057013</v>
      </c>
      <c r="Q14" s="109">
        <f>(STDEV(POWER(10,K14),POWER(10,L14),POWER(10,M14)))*(Calculation!$I14/Calculation!$K13)</f>
        <v>369424542.37039882</v>
      </c>
      <c r="R14" s="108">
        <f t="shared" si="3"/>
        <v>9.7933516514314203</v>
      </c>
      <c r="S14" s="108">
        <f>O14*(Calculation!$I14/Calculation!$K13)</f>
        <v>2.7098381598703449E-2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9">
        <v>18.581048965454102</v>
      </c>
      <c r="F15" s="99">
        <v>18.638572692871094</v>
      </c>
      <c r="G15" s="99">
        <v>18.592661127540001</v>
      </c>
      <c r="H15" s="99">
        <f>E15-$H$47+$H$72</f>
        <v>18.54708185340419</v>
      </c>
      <c r="I15" s="99">
        <f>F15-$H$47+$H$72</f>
        <v>18.604605580821183</v>
      </c>
      <c r="J15" s="99">
        <f>G15-$H$47+$H$72</f>
        <v>18.55869401549009</v>
      </c>
      <c r="K15" s="100">
        <f>((H15-'Calibration R. intestinalis '!$D$45)/('Calibration R. intestinalis '!$D$44))+$B$23</f>
        <v>9.8919333798801681</v>
      </c>
      <c r="L15" s="100">
        <f>((I15-'Calibration R. intestinalis '!$D$45)/('Calibration R. intestinalis '!$D$44))+$B$23</f>
        <v>9.8763767561905791</v>
      </c>
      <c r="M15" s="100">
        <f>((J15-'Calibration R. intestinalis '!$D$45)/('Calibration R. intestinalis '!$D$44))+$B$23</f>
        <v>9.8887930055702178</v>
      </c>
      <c r="N15" s="108">
        <f t="shared" si="1"/>
        <v>9.8857010472136544</v>
      </c>
      <c r="O15" s="108">
        <f t="shared" si="2"/>
        <v>8.2263169166954201E-3</v>
      </c>
      <c r="P15" s="104">
        <f>(AVERAGE(POWER(10,K15),POWER(10,L15),POWER(10,M15)))*(Calculation!$I15/Calculation!$K14)</f>
        <v>8014118044.8039169</v>
      </c>
      <c r="Q15" s="109">
        <f>(STDEV(POWER(10,K15),POWER(10,L15),POWER(10,M15)))*(Calculation!$I15/Calculation!$K14)</f>
        <v>151097428.17503396</v>
      </c>
      <c r="R15" s="108">
        <f t="shared" si="3"/>
        <v>9.903855735130545</v>
      </c>
      <c r="S15" s="108">
        <f>O15*(Calculation!$I15/Calculation!$K14)</f>
        <v>8.5764654892945286E-3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9">
        <v>18.252666473388672</v>
      </c>
      <c r="F16" s="99">
        <v>18.466032028198242</v>
      </c>
      <c r="G16" s="99">
        <v>18.585954666137695</v>
      </c>
      <c r="H16" s="99">
        <f>E16-$H$47+$H$72</f>
        <v>18.218699361338761</v>
      </c>
      <c r="I16" s="99">
        <f>F16-$H$47+$H$72</f>
        <v>18.432064916148331</v>
      </c>
      <c r="J16" s="99">
        <f>G16-$H$47+$H$72</f>
        <v>18.551987554087784</v>
      </c>
      <c r="K16" s="100">
        <f>((H16-'Calibration R. intestinalis '!$D$45)/('Calibration R. intestinalis '!$D$44))+$B$23</f>
        <v>9.9807406092566531</v>
      </c>
      <c r="L16" s="100">
        <f>((I16-'Calibration R. intestinalis '!$D$45)/('Calibration R. intestinalis '!$D$44))+$B$23</f>
        <v>9.9230383741349364</v>
      </c>
      <c r="M16" s="100">
        <f>((J16-'Calibration R. intestinalis '!$D$45)/('Calibration R. intestinalis '!$D$44))+$B$23</f>
        <v>9.8906066901315146</v>
      </c>
      <c r="N16" s="108">
        <f t="shared" si="1"/>
        <v>9.9314618911743668</v>
      </c>
      <c r="O16" s="108">
        <f t="shared" si="2"/>
        <v>4.5653560361700665E-2</v>
      </c>
      <c r="P16" s="104">
        <f>(AVERAGE(POWER(10,K16),POWER(10,L16),POWER(10,M16)))*(Calculation!$I16/Calculation!$K15)</f>
        <v>8952533916.4565048</v>
      </c>
      <c r="Q16" s="109">
        <f>(STDEV(POWER(10,K16),POWER(10,L16),POWER(10,M16)))*(Calculation!$I16/Calculation!$K15)</f>
        <v>952869401.8989321</v>
      </c>
      <c r="R16" s="108">
        <f t="shared" si="3"/>
        <v>9.9519459750011148</v>
      </c>
      <c r="S16" s="108">
        <f>O16*(Calculation!$I16/Calculation!$K15)</f>
        <v>4.7681020677269759E-2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9">
        <v>18.165054321289062</v>
      </c>
      <c r="F17" s="99">
        <v>18.208776473999023</v>
      </c>
      <c r="G17" s="99">
        <v>18.053840637207031</v>
      </c>
      <c r="H17" s="99">
        <f>E17-$H$47+$H$72</f>
        <v>18.131087209239151</v>
      </c>
      <c r="I17" s="99">
        <f>F17-$H$47+$H$72</f>
        <v>18.174809361949112</v>
      </c>
      <c r="J17" s="99">
        <f>G17-$H$47+$H$72</f>
        <v>18.01987352515712</v>
      </c>
      <c r="K17" s="100">
        <f>((H17-'Calibration R. intestinalis '!$D$45)/('Calibration R. intestinalis '!$D$44))+$B$23</f>
        <v>10.004434297792665</v>
      </c>
      <c r="L17" s="100">
        <f>((I17-'Calibration R. intestinalis '!$D$45)/('Calibration R. intestinalis '!$D$44))+$B$23</f>
        <v>9.9926101496167821</v>
      </c>
      <c r="M17" s="100">
        <f>((J17-'Calibration R. intestinalis '!$D$45)/('Calibration R. intestinalis '!$D$44))+$B$23</f>
        <v>10.034510746418034</v>
      </c>
      <c r="N17" s="108">
        <f t="shared" si="1"/>
        <v>10.010518397942493</v>
      </c>
      <c r="O17" s="108">
        <f t="shared" si="2"/>
        <v>2.1602713002077587E-2</v>
      </c>
      <c r="P17" s="104">
        <f>(AVERAGE(POWER(10,K17),POWER(10,L17),POWER(10,M17)))*(Calculation!$I17/Calculation!$K16)</f>
        <v>10738629752.71739</v>
      </c>
      <c r="Q17" s="109">
        <f>(STDEV(POWER(10,K17),POWER(10,L17),POWER(10,M17)))*(Calculation!$I17/Calculation!$K16)</f>
        <v>539133291.68532896</v>
      </c>
      <c r="R17" s="108">
        <f t="shared" si="3"/>
        <v>10.030948868998657</v>
      </c>
      <c r="S17" s="108">
        <f>O17*(Calculation!$I17/Calculation!$K16)</f>
        <v>2.2624466358724962E-2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9">
        <v>19.346445083618164</v>
      </c>
      <c r="F18" s="99">
        <v>19.190620422363281</v>
      </c>
      <c r="G18" s="99">
        <v>19.337518692016602</v>
      </c>
      <c r="H18" s="99">
        <f>E18-$H$47+$H$72</f>
        <v>19.312477971568253</v>
      </c>
      <c r="I18" s="99">
        <f>F18-$H$47+$H$72</f>
        <v>19.15665331031337</v>
      </c>
      <c r="J18" s="99">
        <f>G18-$H$47+$H$72</f>
        <v>19.30355157996669</v>
      </c>
      <c r="K18" s="100">
        <f>((H18-'Calibration R. intestinalis '!$D$45)/('Calibration R. intestinalis '!$D$44))+$B$23</f>
        <v>9.6849408931548897</v>
      </c>
      <c r="L18" s="100">
        <f>((I18-'Calibration R. intestinalis '!$D$45)/('Calibration R. intestinalis '!$D$44))+$B$23</f>
        <v>9.7270818622045372</v>
      </c>
      <c r="M18" s="100">
        <f>((J18-'Calibration R. intestinalis '!$D$45)/('Calibration R. intestinalis '!$D$44))+$B$23</f>
        <v>9.6873549320443502</v>
      </c>
      <c r="N18" s="108">
        <f t="shared" si="1"/>
        <v>9.6997925624679251</v>
      </c>
      <c r="O18" s="108">
        <f t="shared" si="2"/>
        <v>2.3664029792618273E-2</v>
      </c>
      <c r="P18" s="104">
        <f>(AVERAGE(POWER(10,K18),POWER(10,L18),POWER(10,M18)))*(Calculation!$I18/Calculation!$K17)</f>
        <v>5297021772.3761892</v>
      </c>
      <c r="Q18" s="109">
        <f>(STDEV(POWER(10,K18),POWER(10,L18),POWER(10,M18)))*(Calculation!$I18/Calculation!$K17)</f>
        <v>292965809.72954428</v>
      </c>
      <c r="R18" s="108">
        <f t="shared" si="3"/>
        <v>9.7240317580221376</v>
      </c>
      <c r="S18" s="108">
        <f>O18*(Calculation!$I18/Calculation!$K17)</f>
        <v>2.4997337213074025E-2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9">
        <v>18.879161834716797</v>
      </c>
      <c r="F19" s="99">
        <v>18.973270416259766</v>
      </c>
      <c r="G19" s="99">
        <v>19.017000198364258</v>
      </c>
      <c r="H19" s="99">
        <f>E19-$H$47+$H$72</f>
        <v>18.845194722666886</v>
      </c>
      <c r="I19" s="99">
        <f>F19-$H$47+$H$72</f>
        <v>18.939303304209854</v>
      </c>
      <c r="J19" s="99">
        <f>G19-$H$47+$H$72</f>
        <v>18.983033086314347</v>
      </c>
      <c r="K19" s="100">
        <f>((H19-'Calibration R. intestinalis '!$D$45)/('Calibration R. intestinalis '!$D$44))+$B$23</f>
        <v>9.8113122182762798</v>
      </c>
      <c r="L19" s="100">
        <f>((I19-'Calibration R. intestinalis '!$D$45)/('Calibration R. intestinalis '!$D$44))+$B$23</f>
        <v>9.7858616458818268</v>
      </c>
      <c r="M19" s="100">
        <f>((J19-'Calibration R. intestinalis '!$D$45)/('Calibration R. intestinalis '!$D$44))+$B$23</f>
        <v>9.7740354344248424</v>
      </c>
      <c r="N19" s="108">
        <f t="shared" si="1"/>
        <v>9.7904030995276496</v>
      </c>
      <c r="O19" s="108">
        <f t="shared" si="2"/>
        <v>1.9048838665114576E-2</v>
      </c>
      <c r="P19" s="104">
        <f>(AVERAGE(POWER(10,K19),POWER(10,L19),POWER(10,M19)))*(Calculation!$I19/Calculation!$K18)</f>
        <v>6523609809.0622644</v>
      </c>
      <c r="Q19" s="109">
        <f>(STDEV(POWER(10,K19),POWER(10,L19),POWER(10,M19)))*(Calculation!$I19/Calculation!$K18)</f>
        <v>288173913.25286007</v>
      </c>
      <c r="R19" s="108">
        <f>LOG(P19)</f>
        <v>9.8144879770710496</v>
      </c>
      <c r="S19" s="108">
        <f>O19*(Calculation!$I19/Calculation!$K18)</f>
        <v>2.012211139870386E-2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9">
        <v>20.476800918579102</v>
      </c>
      <c r="F20" s="99">
        <v>20.827095031738281</v>
      </c>
      <c r="G20" s="99">
        <v>20.989656448364258</v>
      </c>
      <c r="H20" s="99">
        <f>E20-$H$47+$H$72</f>
        <v>20.44283380652919</v>
      </c>
      <c r="I20" s="99">
        <f>F20-$H$47+$H$72</f>
        <v>20.79312791968837</v>
      </c>
      <c r="J20" s="99">
        <f>G20-$H$47+$H$72</f>
        <v>20.955689336314347</v>
      </c>
      <c r="K20" s="100">
        <f>((H20-'Calibration R. intestinalis '!$D$45)/('Calibration R. intestinalis '!$D$44))+$B$23</f>
        <v>9.3792492916293639</v>
      </c>
      <c r="L20" s="100">
        <f>((I20-'Calibration R. intestinalis '!$D$45)/('Calibration R. intestinalis '!$D$44))+$B$23</f>
        <v>9.2845163189276345</v>
      </c>
      <c r="M20" s="100">
        <f>((J20-'Calibration R. intestinalis '!$D$45)/('Calibration R. intestinalis '!$D$44))+$B$23</f>
        <v>9.2405534726648302</v>
      </c>
      <c r="N20" s="108">
        <f t="shared" si="1"/>
        <v>9.3014396944072768</v>
      </c>
      <c r="O20" s="108">
        <f t="shared" si="2"/>
        <v>7.0879708152470439E-2</v>
      </c>
      <c r="P20" s="104">
        <f>(AVERAGE(POWER(10,K20),POWER(10,L20),POWER(10,M20)))*(Calculation!$I20/Calculation!$K19)</f>
        <v>2133843661.6771362</v>
      </c>
      <c r="Q20" s="109">
        <f>(STDEV(POWER(10,K20),POWER(10,L20),POWER(10,M20)))*(Calculation!$I20/Calculation!$K19)</f>
        <v>356456077.41214979</v>
      </c>
      <c r="R20" s="108">
        <f t="shared" si="3"/>
        <v>9.3291625972074126</v>
      </c>
      <c r="S20" s="108">
        <f>O20*(Calculation!$I20/Calculation!$K19)</f>
        <v>7.4873298494758905E-2</v>
      </c>
    </row>
    <row r="23" spans="1:19">
      <c r="A23" s="102" t="s">
        <v>244</v>
      </c>
      <c r="B23" s="116">
        <f>LOG(B24)</f>
        <v>3.6532125137753435</v>
      </c>
    </row>
    <row r="24" spans="1:19">
      <c r="A24" s="84" t="s">
        <v>245</v>
      </c>
      <c r="B24" s="84">
        <f>20*1800/4/2</f>
        <v>4500</v>
      </c>
    </row>
    <row r="25" spans="1:19">
      <c r="E25" s="148" t="s">
        <v>266</v>
      </c>
      <c r="F25" s="149"/>
      <c r="G25" s="149"/>
      <c r="H25" s="149"/>
    </row>
    <row r="26" spans="1:19">
      <c r="A26" s="61" t="s">
        <v>257</v>
      </c>
      <c r="B26" s="61" t="s">
        <v>258</v>
      </c>
      <c r="C26" s="61"/>
      <c r="D26" s="61"/>
      <c r="E26" s="117">
        <v>15.7</v>
      </c>
      <c r="F26" s="107">
        <v>15.7</v>
      </c>
      <c r="G26" s="107">
        <v>15.6</v>
      </c>
      <c r="H26" s="107">
        <v>15.7</v>
      </c>
    </row>
    <row r="27" spans="1:19">
      <c r="A27" s="61" t="s">
        <v>257</v>
      </c>
      <c r="B27" s="61" t="s">
        <v>259</v>
      </c>
      <c r="C27" s="61"/>
      <c r="D27" s="61"/>
      <c r="E27" s="122">
        <v>15.2</v>
      </c>
      <c r="F27" s="123">
        <v>15.3</v>
      </c>
      <c r="G27" s="123">
        <v>15.3</v>
      </c>
      <c r="H27" s="123">
        <v>15.2</v>
      </c>
    </row>
    <row r="28" spans="1:19">
      <c r="A28" s="61" t="s">
        <v>257</v>
      </c>
      <c r="B28" s="61" t="s">
        <v>260</v>
      </c>
      <c r="C28" s="61"/>
      <c r="D28" s="61"/>
      <c r="E28" s="122">
        <v>15.9</v>
      </c>
      <c r="F28" s="123">
        <v>15.7</v>
      </c>
      <c r="G28" s="123">
        <v>15.7</v>
      </c>
      <c r="H28" s="123">
        <v>15.8</v>
      </c>
    </row>
    <row r="29" spans="1:19">
      <c r="A29" s="61" t="s">
        <v>257</v>
      </c>
      <c r="B29" s="61" t="s">
        <v>261</v>
      </c>
      <c r="C29" s="61"/>
      <c r="D29" s="61"/>
      <c r="E29" s="122">
        <v>16</v>
      </c>
      <c r="F29" s="123">
        <v>15.8</v>
      </c>
      <c r="G29" s="123">
        <v>15.7</v>
      </c>
      <c r="H29" s="123">
        <v>15.8</v>
      </c>
    </row>
    <row r="30" spans="1:19">
      <c r="A30" s="61" t="s">
        <v>262</v>
      </c>
      <c r="B30" s="61" t="s">
        <v>263</v>
      </c>
      <c r="C30" s="61"/>
      <c r="D30" s="61"/>
      <c r="E30" s="122">
        <v>15.8</v>
      </c>
      <c r="F30" s="123">
        <v>15.7</v>
      </c>
      <c r="G30" s="123">
        <v>15.7</v>
      </c>
      <c r="H30" s="123">
        <v>15.7</v>
      </c>
    </row>
    <row r="31" spans="1:19">
      <c r="A31" s="61" t="s">
        <v>262</v>
      </c>
      <c r="B31" s="61" t="s">
        <v>267</v>
      </c>
      <c r="C31" s="61"/>
      <c r="D31" s="61"/>
      <c r="E31" s="122">
        <v>15.8</v>
      </c>
      <c r="F31" s="123">
        <v>15.7</v>
      </c>
      <c r="G31" s="123">
        <v>15.7</v>
      </c>
      <c r="H31" s="123">
        <v>15.8</v>
      </c>
    </row>
    <row r="32" spans="1:19">
      <c r="A32" s="61" t="s">
        <v>262</v>
      </c>
      <c r="B32" s="61" t="s">
        <v>267</v>
      </c>
      <c r="C32" s="61"/>
      <c r="D32" s="61"/>
      <c r="E32" s="122">
        <v>15.4</v>
      </c>
      <c r="F32" s="123">
        <v>15.6</v>
      </c>
      <c r="G32" s="123">
        <v>15.5</v>
      </c>
      <c r="H32" s="123">
        <v>15.5</v>
      </c>
    </row>
    <row r="33" spans="1:8">
      <c r="A33" s="61" t="s">
        <v>262</v>
      </c>
      <c r="B33" s="61" t="s">
        <v>268</v>
      </c>
      <c r="C33" s="61"/>
      <c r="D33" s="61"/>
      <c r="E33" s="122">
        <v>15.3</v>
      </c>
      <c r="F33" s="123">
        <v>15.8</v>
      </c>
      <c r="G33" s="123">
        <v>15.7</v>
      </c>
      <c r="H33" s="123">
        <v>15.6</v>
      </c>
    </row>
    <row r="34" spans="1:8">
      <c r="A34" s="61" t="s">
        <v>270</v>
      </c>
      <c r="B34" s="61" t="s">
        <v>268</v>
      </c>
      <c r="C34" s="61"/>
      <c r="D34" s="61"/>
      <c r="E34" s="122">
        <v>15.8</v>
      </c>
      <c r="F34" s="123">
        <v>15.8</v>
      </c>
      <c r="G34" s="123">
        <v>15.8</v>
      </c>
      <c r="H34" s="123">
        <v>15.8</v>
      </c>
    </row>
    <row r="35" spans="1:8">
      <c r="A35" s="61" t="s">
        <v>270</v>
      </c>
      <c r="B35" s="61" t="s">
        <v>271</v>
      </c>
      <c r="C35" s="61"/>
      <c r="D35" s="61"/>
      <c r="E35" s="122">
        <v>15.8</v>
      </c>
      <c r="F35" s="123">
        <v>15.7</v>
      </c>
      <c r="G35" s="123">
        <v>16</v>
      </c>
      <c r="H35" s="123">
        <v>15.8</v>
      </c>
    </row>
    <row r="36" spans="1:8">
      <c r="A36" s="61" t="s">
        <v>270</v>
      </c>
      <c r="B36" s="61" t="s">
        <v>271</v>
      </c>
      <c r="C36" s="61"/>
      <c r="D36" s="61"/>
      <c r="E36" s="122">
        <v>15.7</v>
      </c>
      <c r="F36" s="123">
        <v>15.7</v>
      </c>
      <c r="G36" s="123">
        <v>15.6</v>
      </c>
      <c r="H36" s="123">
        <v>15.7</v>
      </c>
    </row>
    <row r="37" spans="1:8">
      <c r="A37" s="61" t="s">
        <v>270</v>
      </c>
      <c r="B37" s="61" t="s">
        <v>271</v>
      </c>
      <c r="C37" s="61"/>
      <c r="D37" s="61"/>
      <c r="E37" s="122">
        <v>15.6</v>
      </c>
      <c r="F37" s="123">
        <v>15.7</v>
      </c>
      <c r="G37" s="123">
        <v>15.6</v>
      </c>
      <c r="H37" s="123">
        <v>15.6</v>
      </c>
    </row>
    <row r="38" spans="1:8">
      <c r="A38" s="61" t="s">
        <v>273</v>
      </c>
      <c r="B38" s="61" t="s">
        <v>272</v>
      </c>
      <c r="C38" s="61"/>
      <c r="D38" s="61"/>
      <c r="E38" s="122">
        <v>15.8</v>
      </c>
      <c r="F38" s="123">
        <v>15.5</v>
      </c>
      <c r="G38" s="123">
        <v>15.7</v>
      </c>
      <c r="H38" s="123">
        <v>15.6</v>
      </c>
    </row>
    <row r="39" spans="1:8">
      <c r="A39" s="61" t="s">
        <v>273</v>
      </c>
      <c r="B39" s="61" t="s">
        <v>272</v>
      </c>
      <c r="C39" s="61"/>
      <c r="D39" s="61"/>
      <c r="E39" s="122">
        <v>15.6</v>
      </c>
      <c r="F39" s="123">
        <v>15.7</v>
      </c>
      <c r="G39" s="123">
        <v>15.7</v>
      </c>
      <c r="H39" s="123">
        <v>15.7</v>
      </c>
    </row>
    <row r="40" spans="1:8">
      <c r="A40" s="61" t="s">
        <v>273</v>
      </c>
      <c r="B40" s="61" t="s">
        <v>274</v>
      </c>
      <c r="C40" s="61"/>
      <c r="D40" s="61"/>
      <c r="E40" s="122">
        <v>15.8</v>
      </c>
      <c r="F40" s="123">
        <v>15.7</v>
      </c>
      <c r="G40" s="123">
        <v>15.8</v>
      </c>
      <c r="H40" s="123">
        <v>15.8</v>
      </c>
    </row>
    <row r="41" spans="1:8">
      <c r="A41" s="61" t="s">
        <v>273</v>
      </c>
      <c r="B41" s="61" t="s">
        <v>275</v>
      </c>
      <c r="C41" s="61"/>
      <c r="D41" s="61"/>
      <c r="E41" s="122">
        <v>15.8</v>
      </c>
      <c r="F41" s="123">
        <v>15.7</v>
      </c>
      <c r="G41" s="123">
        <v>15.6</v>
      </c>
      <c r="H41" s="123">
        <v>15.7</v>
      </c>
    </row>
    <row r="42" spans="1:8">
      <c r="A42" s="61" t="s">
        <v>277</v>
      </c>
      <c r="B42" s="61" t="s">
        <v>276</v>
      </c>
      <c r="C42" s="61"/>
      <c r="D42" s="61"/>
      <c r="E42" s="122">
        <v>15.3</v>
      </c>
      <c r="F42" s="123">
        <v>15.5</v>
      </c>
      <c r="G42" s="123">
        <v>16</v>
      </c>
      <c r="H42" s="123">
        <v>15.6</v>
      </c>
    </row>
    <row r="43" spans="1:8">
      <c r="A43" s="61" t="s">
        <v>277</v>
      </c>
      <c r="B43" s="61" t="s">
        <v>278</v>
      </c>
      <c r="C43" s="61"/>
      <c r="D43" s="61"/>
      <c r="E43" s="122">
        <v>15.4</v>
      </c>
      <c r="F43" s="123">
        <v>15.2</v>
      </c>
      <c r="G43" s="123">
        <v>15.2</v>
      </c>
      <c r="H43" s="123">
        <v>15.3</v>
      </c>
    </row>
    <row r="44" spans="1:8">
      <c r="A44" s="61" t="s">
        <v>277</v>
      </c>
      <c r="B44" s="61" t="s">
        <v>279</v>
      </c>
      <c r="C44" s="61"/>
      <c r="D44" s="61"/>
      <c r="E44" s="122">
        <v>15.8</v>
      </c>
      <c r="F44" s="123">
        <v>15.8</v>
      </c>
      <c r="G44" s="123">
        <v>16</v>
      </c>
      <c r="H44" s="123">
        <v>15.9</v>
      </c>
    </row>
    <row r="45" spans="1:8">
      <c r="A45" s="61" t="s">
        <v>277</v>
      </c>
      <c r="B45" s="61" t="s">
        <v>292</v>
      </c>
      <c r="C45" s="61"/>
      <c r="D45" s="61"/>
      <c r="E45" s="122">
        <v>15.8</v>
      </c>
      <c r="F45" s="123">
        <v>15.9</v>
      </c>
      <c r="G45" s="123">
        <v>15.9</v>
      </c>
      <c r="H45" s="123">
        <v>15.9</v>
      </c>
    </row>
    <row r="46" spans="1:8">
      <c r="A46" s="61" t="s">
        <v>293</v>
      </c>
      <c r="B46" s="61" t="s">
        <v>294</v>
      </c>
      <c r="C46" s="61"/>
      <c r="D46" s="61"/>
      <c r="E46" s="122">
        <v>16</v>
      </c>
      <c r="F46" s="123">
        <v>15.6</v>
      </c>
      <c r="G46" s="123">
        <v>15.9</v>
      </c>
      <c r="H46" s="123">
        <v>15.8</v>
      </c>
    </row>
    <row r="47" spans="1:8">
      <c r="A47" s="61" t="s">
        <v>293</v>
      </c>
      <c r="B47" s="61" t="s">
        <v>295</v>
      </c>
      <c r="C47" s="61"/>
      <c r="D47" s="61"/>
      <c r="E47" s="122">
        <v>15.7</v>
      </c>
      <c r="F47" s="123">
        <v>15.7</v>
      </c>
      <c r="G47" s="123">
        <v>15.7</v>
      </c>
      <c r="H47" s="123">
        <v>15.7</v>
      </c>
    </row>
    <row r="48" spans="1:8">
      <c r="A48" s="61" t="s">
        <v>293</v>
      </c>
      <c r="B48" s="61" t="s">
        <v>296</v>
      </c>
      <c r="C48" s="61"/>
      <c r="D48" s="61"/>
      <c r="E48" s="122">
        <v>15.6</v>
      </c>
      <c r="F48" s="123">
        <v>15.5</v>
      </c>
      <c r="G48" s="123">
        <v>15.6</v>
      </c>
      <c r="H48" s="123">
        <v>15.6</v>
      </c>
    </row>
    <row r="49" spans="1:8">
      <c r="A49" s="61" t="s">
        <v>293</v>
      </c>
      <c r="B49" s="61" t="s">
        <v>298</v>
      </c>
      <c r="C49" s="61"/>
      <c r="D49" s="61"/>
      <c r="E49" s="122">
        <v>15.6</v>
      </c>
      <c r="F49" s="123">
        <v>15.6</v>
      </c>
      <c r="G49" s="123">
        <v>15.6</v>
      </c>
      <c r="H49" s="123">
        <v>15.6</v>
      </c>
    </row>
    <row r="50" spans="1:8">
      <c r="A50" s="61" t="s">
        <v>299</v>
      </c>
      <c r="B50" s="61" t="s">
        <v>300</v>
      </c>
      <c r="C50" s="61"/>
      <c r="D50" s="61"/>
      <c r="E50" s="122">
        <v>15.4</v>
      </c>
      <c r="F50" s="123">
        <v>15.7</v>
      </c>
      <c r="G50" s="123">
        <v>15.8</v>
      </c>
      <c r="H50" s="123">
        <v>15.6</v>
      </c>
    </row>
    <row r="51" spans="1:8">
      <c r="A51" s="61" t="s">
        <v>299</v>
      </c>
      <c r="B51" s="61" t="s">
        <v>301</v>
      </c>
      <c r="C51" s="61"/>
      <c r="D51" s="61"/>
      <c r="E51" s="122">
        <v>15.5</v>
      </c>
      <c r="F51" s="123">
        <v>15.5</v>
      </c>
      <c r="G51" s="123">
        <v>15.4</v>
      </c>
      <c r="H51" s="123">
        <v>15.5</v>
      </c>
    </row>
    <row r="52" spans="1:8">
      <c r="A52" s="61" t="s">
        <v>299</v>
      </c>
      <c r="B52" s="61" t="s">
        <v>301</v>
      </c>
      <c r="C52" s="61"/>
      <c r="D52" s="61"/>
      <c r="E52" s="122">
        <v>15.8</v>
      </c>
      <c r="F52" s="123">
        <v>15.4</v>
      </c>
      <c r="G52" s="123">
        <v>15.4</v>
      </c>
      <c r="H52" s="123">
        <v>15.5</v>
      </c>
    </row>
    <row r="53" spans="1:8">
      <c r="A53" s="61" t="s">
        <v>299</v>
      </c>
      <c r="B53" s="61" t="s">
        <v>302</v>
      </c>
      <c r="C53" s="61"/>
      <c r="D53" s="61"/>
      <c r="E53" s="122">
        <v>15.6</v>
      </c>
      <c r="F53" s="123">
        <v>15.5</v>
      </c>
      <c r="G53" s="123">
        <v>15.6</v>
      </c>
      <c r="H53" s="123">
        <v>15.6</v>
      </c>
    </row>
    <row r="54" spans="1:8">
      <c r="A54" s="61" t="s">
        <v>303</v>
      </c>
      <c r="B54" s="61" t="s">
        <v>304</v>
      </c>
      <c r="C54" s="61"/>
      <c r="D54" s="61"/>
      <c r="E54" s="122">
        <v>15.6</v>
      </c>
      <c r="F54" s="123">
        <v>15.6</v>
      </c>
      <c r="G54" s="123">
        <v>15.8</v>
      </c>
      <c r="H54" s="123">
        <v>15.7</v>
      </c>
    </row>
    <row r="55" spans="1:8">
      <c r="A55" s="61" t="s">
        <v>303</v>
      </c>
      <c r="B55" s="61" t="s">
        <v>304</v>
      </c>
      <c r="C55" s="61"/>
      <c r="D55" s="61"/>
      <c r="E55" s="122">
        <v>15.6</v>
      </c>
      <c r="F55" s="123">
        <v>15.6</v>
      </c>
      <c r="G55" s="123">
        <v>15.6</v>
      </c>
      <c r="H55" s="123">
        <v>15.6</v>
      </c>
    </row>
    <row r="56" spans="1:8">
      <c r="A56" s="61" t="s">
        <v>303</v>
      </c>
      <c r="B56" s="61" t="s">
        <v>305</v>
      </c>
      <c r="C56" s="61"/>
      <c r="D56" s="61"/>
      <c r="E56" s="122">
        <v>15.9</v>
      </c>
      <c r="F56" s="123"/>
      <c r="G56" s="123">
        <v>15.9</v>
      </c>
      <c r="H56" s="123">
        <v>15.9</v>
      </c>
    </row>
    <row r="57" spans="1:8">
      <c r="A57" s="61" t="s">
        <v>303</v>
      </c>
      <c r="B57" s="61" t="s">
        <v>305</v>
      </c>
      <c r="C57" s="61"/>
      <c r="D57" s="61"/>
      <c r="E57" s="122">
        <v>15.2</v>
      </c>
      <c r="F57" s="123">
        <v>15.3</v>
      </c>
      <c r="G57" s="123">
        <v>15.4</v>
      </c>
      <c r="H57" s="123">
        <v>15.3</v>
      </c>
    </row>
    <row r="58" spans="1:8">
      <c r="A58" s="61" t="s">
        <v>306</v>
      </c>
      <c r="B58" s="61" t="s">
        <v>307</v>
      </c>
      <c r="C58" s="61"/>
      <c r="D58" s="61"/>
      <c r="E58" s="122">
        <v>16</v>
      </c>
      <c r="F58" s="123">
        <v>15.9</v>
      </c>
      <c r="G58" s="123">
        <v>15.8</v>
      </c>
      <c r="H58" s="123">
        <v>15.9</v>
      </c>
    </row>
    <row r="59" spans="1:8">
      <c r="A59" s="95" t="s">
        <v>306</v>
      </c>
      <c r="B59" s="95" t="s">
        <v>315</v>
      </c>
      <c r="E59" s="117">
        <v>15.699069023132324</v>
      </c>
      <c r="F59" s="107">
        <v>15.817172050476074</v>
      </c>
      <c r="G59" s="107">
        <v>16.075807571411133</v>
      </c>
      <c r="H59" s="107">
        <f t="shared" ref="H59:H69" si="5">AVERAGE(E59:G59)</f>
        <v>15.86401621500651</v>
      </c>
    </row>
    <row r="60" spans="1:8">
      <c r="A60" s="95" t="s">
        <v>306</v>
      </c>
      <c r="B60" s="95" t="s">
        <v>316</v>
      </c>
      <c r="E60" s="117">
        <v>14.193151473999023</v>
      </c>
      <c r="F60" s="107">
        <v>14.592436790466309</v>
      </c>
      <c r="G60" s="107">
        <v>14.826726913452148</v>
      </c>
      <c r="H60" s="107">
        <f t="shared" si="5"/>
        <v>14.53743839263916</v>
      </c>
    </row>
    <row r="61" spans="1:8">
      <c r="A61" s="95" t="s">
        <v>317</v>
      </c>
      <c r="B61" s="95" t="s">
        <v>316</v>
      </c>
      <c r="E61" s="117">
        <v>15.753643035888672</v>
      </c>
      <c r="F61" s="107">
        <v>15.53950309753418</v>
      </c>
      <c r="G61" s="107">
        <v>16.160148620605469</v>
      </c>
      <c r="H61" s="107">
        <f t="shared" si="5"/>
        <v>15.81776491800944</v>
      </c>
    </row>
    <row r="62" spans="1:8">
      <c r="A62" s="95" t="s">
        <v>317</v>
      </c>
      <c r="B62" s="95" t="s">
        <v>318</v>
      </c>
      <c r="E62" s="117">
        <v>16.152790069580078</v>
      </c>
      <c r="F62" s="107">
        <v>15.918967247009277</v>
      </c>
      <c r="G62" s="107">
        <v>16.004350662231445</v>
      </c>
      <c r="H62" s="107">
        <f t="shared" si="5"/>
        <v>16.025369326273601</v>
      </c>
    </row>
    <row r="63" spans="1:8">
      <c r="A63" s="95" t="s">
        <v>317</v>
      </c>
      <c r="B63" s="95" t="s">
        <v>319</v>
      </c>
      <c r="E63" s="117">
        <v>15.725796699523926</v>
      </c>
      <c r="F63" s="107">
        <v>15.72511100769043</v>
      </c>
      <c r="G63" s="107">
        <v>15.700724601745605</v>
      </c>
      <c r="H63" s="107">
        <f t="shared" si="5"/>
        <v>15.71721076965332</v>
      </c>
    </row>
    <row r="64" spans="1:8">
      <c r="A64" s="95" t="s">
        <v>317</v>
      </c>
      <c r="B64" s="95" t="s">
        <v>320</v>
      </c>
      <c r="E64" s="117">
        <v>15.868610382080078</v>
      </c>
      <c r="F64" s="107">
        <v>15.950244903564453</v>
      </c>
      <c r="G64" s="107">
        <v>15.73750114440918</v>
      </c>
      <c r="H64" s="107">
        <f t="shared" si="5"/>
        <v>15.852118810017904</v>
      </c>
    </row>
    <row r="65" spans="1:8">
      <c r="A65" s="95" t="s">
        <v>317</v>
      </c>
      <c r="B65" s="95" t="s">
        <v>320</v>
      </c>
      <c r="E65" s="117">
        <v>15.411773681640625</v>
      </c>
      <c r="F65" s="107">
        <v>15.347482681274414</v>
      </c>
      <c r="G65" s="107">
        <v>15.357060432434082</v>
      </c>
      <c r="H65" s="107">
        <f t="shared" si="5"/>
        <v>15.372105598449707</v>
      </c>
    </row>
    <row r="66" spans="1:8">
      <c r="A66" s="95" t="s">
        <v>257</v>
      </c>
      <c r="B66" s="95" t="s">
        <v>321</v>
      </c>
      <c r="E66" s="117">
        <v>15.701089859008789</v>
      </c>
      <c r="F66" s="107">
        <v>15.69521427154541</v>
      </c>
      <c r="G66" s="107">
        <v>15.858868598937988</v>
      </c>
      <c r="H66" s="107">
        <f t="shared" si="5"/>
        <v>15.751724243164062</v>
      </c>
    </row>
    <row r="67" spans="1:8">
      <c r="A67" s="95" t="s">
        <v>257</v>
      </c>
      <c r="B67" s="95" t="s">
        <v>322</v>
      </c>
      <c r="E67" s="117">
        <v>15.664003372192383</v>
      </c>
      <c r="F67" s="107">
        <v>15.706714630126953</v>
      </c>
      <c r="G67" s="107">
        <v>15.883712768554688</v>
      </c>
      <c r="H67" s="107">
        <f t="shared" si="5"/>
        <v>15.751476923624674</v>
      </c>
    </row>
    <row r="68" spans="1:8">
      <c r="A68" s="95" t="s">
        <v>257</v>
      </c>
      <c r="B68" s="95" t="s">
        <v>322</v>
      </c>
      <c r="E68" s="117">
        <v>15.815454483032227</v>
      </c>
      <c r="F68" s="107">
        <v>15.873584747314453</v>
      </c>
      <c r="G68" s="107">
        <v>15.955685615539551</v>
      </c>
      <c r="H68" s="107">
        <f>AVERAGE(E68:G68)</f>
        <v>15.881574948628744</v>
      </c>
    </row>
    <row r="69" spans="1:8">
      <c r="A69" s="95" t="s">
        <v>257</v>
      </c>
      <c r="B69" s="95" t="s">
        <v>323</v>
      </c>
      <c r="E69" s="117">
        <v>15.894612312316895</v>
      </c>
      <c r="F69" s="107">
        <v>15.946266174316406</v>
      </c>
      <c r="G69" s="107">
        <v>15.963062286376953</v>
      </c>
      <c r="H69" s="107">
        <f>AVERAGE(E69:G69)</f>
        <v>15.934646924336752</v>
      </c>
    </row>
    <row r="70" spans="1:8">
      <c r="A70" s="61"/>
      <c r="B70" s="61"/>
      <c r="C70" s="61"/>
      <c r="D70" s="61"/>
      <c r="E70" s="61"/>
      <c r="F70" s="61"/>
      <c r="G70" s="61"/>
      <c r="H70" s="61"/>
    </row>
    <row r="71" spans="1:8">
      <c r="A71" s="61"/>
      <c r="B71" s="61"/>
      <c r="C71" s="61"/>
      <c r="D71" s="61"/>
      <c r="E71" s="61"/>
      <c r="F71" s="61"/>
      <c r="G71" s="61"/>
      <c r="H71" s="61"/>
    </row>
    <row r="72" spans="1:8">
      <c r="A72" s="61"/>
      <c r="B72" s="61"/>
      <c r="C72" s="61"/>
      <c r="D72" s="61"/>
      <c r="E72" s="61"/>
      <c r="F72" s="61" t="s">
        <v>264</v>
      </c>
      <c r="G72" s="61"/>
      <c r="H72" s="124">
        <f>AVERAGE(H26:H69)</f>
        <v>15.666032887950088</v>
      </c>
    </row>
  </sheetData>
  <mergeCells count="20">
    <mergeCell ref="A2:A3"/>
    <mergeCell ref="B2:B3"/>
    <mergeCell ref="C2:C3"/>
    <mergeCell ref="D2:D3"/>
    <mergeCell ref="E2:E3"/>
    <mergeCell ref="E25:H25"/>
    <mergeCell ref="S2:S3"/>
    <mergeCell ref="M2:M3"/>
    <mergeCell ref="N2:N3"/>
    <mergeCell ref="O2:O3"/>
    <mergeCell ref="P2:P3"/>
    <mergeCell ref="Q2:Q3"/>
    <mergeCell ref="R2:R3"/>
    <mergeCell ref="L2:L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workbookViewId="0">
      <selection activeCell="H12" sqref="H12"/>
    </sheetView>
  </sheetViews>
  <sheetFormatPr baseColWidth="10" defaultRowHeight="14" x14ac:dyDescent="0"/>
  <cols>
    <col min="16" max="16" width="15.1640625" customWidth="1"/>
  </cols>
  <sheetData>
    <row r="1" spans="1:19">
      <c r="A1" s="106" t="s">
        <v>228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19">
      <c r="A2" s="130" t="s">
        <v>4</v>
      </c>
      <c r="B2" s="130" t="s">
        <v>117</v>
      </c>
      <c r="C2" s="130" t="s">
        <v>117</v>
      </c>
      <c r="D2" s="130" t="s">
        <v>5</v>
      </c>
      <c r="E2" s="142" t="s">
        <v>229</v>
      </c>
      <c r="F2" s="142" t="s">
        <v>230</v>
      </c>
      <c r="G2" s="142" t="s">
        <v>231</v>
      </c>
      <c r="H2" s="144" t="s">
        <v>232</v>
      </c>
      <c r="I2" s="144" t="s">
        <v>233</v>
      </c>
      <c r="J2" s="144" t="s">
        <v>234</v>
      </c>
      <c r="K2" s="142" t="s">
        <v>235</v>
      </c>
      <c r="L2" s="142" t="s">
        <v>236</v>
      </c>
      <c r="M2" s="142" t="s">
        <v>237</v>
      </c>
      <c r="N2" s="142" t="s">
        <v>238</v>
      </c>
      <c r="O2" s="142" t="s">
        <v>239</v>
      </c>
      <c r="P2" s="144" t="s">
        <v>240</v>
      </c>
      <c r="Q2" s="144" t="s">
        <v>241</v>
      </c>
      <c r="R2" s="144" t="s">
        <v>242</v>
      </c>
      <c r="S2" s="144" t="s">
        <v>243</v>
      </c>
    </row>
    <row r="3" spans="1:19">
      <c r="A3" s="131"/>
      <c r="B3" s="131"/>
      <c r="C3" s="131"/>
      <c r="D3" s="131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9">
        <v>25.594972610473633</v>
      </c>
      <c r="F4" s="99">
        <v>27.252164840698242</v>
      </c>
      <c r="G4" s="100">
        <v>25.58857536315918</v>
      </c>
      <c r="H4" s="107">
        <f>E4-$H$52+$H$75</f>
        <v>25.283077828780463</v>
      </c>
      <c r="I4" s="107">
        <f>F4-$H$52+$H$75</f>
        <v>26.940270059005073</v>
      </c>
      <c r="J4" s="107">
        <f>G4-$H$52+$H$75</f>
        <v>25.27668058146601</v>
      </c>
      <c r="K4" s="100">
        <f>((H4-'Calibration F. prausnitzii'!$D$45)/'Calibration F. prausnitzii'!$D$44)+$B$24</f>
        <v>6.9595334112354124</v>
      </c>
      <c r="L4" s="100">
        <f>((I4-'Calibration F. prausnitzii'!$D$45)/'Calibration F. prausnitzii'!$D$44)+$B$24</f>
        <v>6.4493612503436815</v>
      </c>
      <c r="M4" s="100">
        <f>((J4-'Calibration F. prausnitzii'!$D$45)/'Calibration F. prausnitzii'!$D$44)+$B$24</f>
        <v>6.9615028251794602</v>
      </c>
      <c r="N4" s="108">
        <f>AVERAGE(K4:M4)</f>
        <v>6.7901324955861853</v>
      </c>
      <c r="O4" s="108">
        <f>STDEV(K4:M4)</f>
        <v>0.29511819807649181</v>
      </c>
      <c r="P4" s="109">
        <f>(AVERAGE(POWER(10,K4),POWER(10,L4),POWER(10,M4)))*(Calculation!$I4/Calculation!$K3)</f>
        <v>7072416.74212988</v>
      </c>
      <c r="Q4" s="109">
        <f>(STDEV(POWER(10,K4),POWER(10,L4),POWER(10,M4))*(Calculation!$I4/Calculation!$K3))</f>
        <v>3671446.1061532591</v>
      </c>
      <c r="R4" s="108">
        <f>LOG(P4)</f>
        <v>6.8495678435597247</v>
      </c>
      <c r="S4" s="108">
        <f>O4*(Calculation!$I4/Calculation!$K3)</f>
        <v>0.29709214193916289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9">
        <v>24.321437835693359</v>
      </c>
      <c r="F5" s="99">
        <v>24.485017776489258</v>
      </c>
      <c r="G5" s="100">
        <v>24.262424468994141</v>
      </c>
      <c r="H5" s="107">
        <f>E5-$H$52+$H$75</f>
        <v>24.00954305400019</v>
      </c>
      <c r="I5" s="107">
        <f>F5-$H$52+$H$75</f>
        <v>24.173122994796088</v>
      </c>
      <c r="J5" s="107">
        <f>G5-$H$52+$H$75</f>
        <v>23.950529687300971</v>
      </c>
      <c r="K5" s="100">
        <f>((H5-'Calibration F. prausnitzii'!$D$45)/'Calibration F. prausnitzii'!$D$44)+$B$24</f>
        <v>7.3515953435631749</v>
      </c>
      <c r="L5" s="100">
        <f>((I5-'Calibration F. prausnitzii'!$D$45)/'Calibration F. prausnitzii'!$D$44)+$B$24</f>
        <v>7.3012367126498052</v>
      </c>
      <c r="M5" s="100">
        <f>((J5-'Calibration F. prausnitzii'!$D$45)/'Calibration F. prausnitzii'!$D$44)+$B$24</f>
        <v>7.3697628055276549</v>
      </c>
      <c r="N5" s="108">
        <f t="shared" ref="N5:N20" si="1">AVERAGE(K5:M5)</f>
        <v>7.3408649539135453</v>
      </c>
      <c r="O5" s="108">
        <f t="shared" ref="O5:O20" si="2">STDEV(K5:M5)</f>
        <v>3.5500877422967793E-2</v>
      </c>
      <c r="P5" s="109">
        <f>(AVERAGE(POWER(10,K5),POWER(10,L5),POWER(10,M5)))*(Calculation!$I5/Calculation!$K4)</f>
        <v>22144783.516502034</v>
      </c>
      <c r="Q5" s="109">
        <f>(STDEV(POWER(10,K5),POWER(10,L5),POWER(10,M5))*([2]Calculation!$I5/[2]Calculation!$K4))</f>
        <v>1765138.9579402457</v>
      </c>
      <c r="R5" s="108">
        <f t="shared" ref="R5:R20" si="3">LOG(P5)</f>
        <v>7.3452714390552716</v>
      </c>
      <c r="S5" s="108">
        <f>O5*(Calculation!$I5/Calculation!$K4)</f>
        <v>3.5784060979811509E-2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9">
        <v>22.816999435424805</v>
      </c>
      <c r="F6" s="99">
        <v>23.271514892578125</v>
      </c>
      <c r="G6" s="100">
        <v>23.311763763427734</v>
      </c>
      <c r="H6" s="107">
        <f>E6-$H$52+$H$75</f>
        <v>22.505104653731635</v>
      </c>
      <c r="I6" s="107">
        <f>F6-$H$52+$H$75</f>
        <v>22.959620110884956</v>
      </c>
      <c r="J6" s="107">
        <f>G6-$H$52+$H$75</f>
        <v>22.999868981734565</v>
      </c>
      <c r="K6" s="100">
        <f>((H6-'Calibration F. prausnitzii'!$D$45)/'Calibration F. prausnitzii'!$D$44)+$B$24</f>
        <v>7.8147417279083875</v>
      </c>
      <c r="L6" s="100">
        <f>((I6-'Calibration F. prausnitzii'!$D$45)/'Calibration F. prausnitzii'!$D$44)+$B$24</f>
        <v>7.6748176269468633</v>
      </c>
      <c r="M6" s="100">
        <f>((J6-'Calibration F. prausnitzii'!$D$45)/'Calibration F. prausnitzii'!$D$44)+$B$24</f>
        <v>7.6624268776781346</v>
      </c>
      <c r="N6" s="108">
        <f t="shared" si="1"/>
        <v>7.7173287441777951</v>
      </c>
      <c r="O6" s="108">
        <f t="shared" si="2"/>
        <v>8.4589300247328067E-2</v>
      </c>
      <c r="P6" s="109">
        <f>(AVERAGE(POWER(10,K6),POWER(10,L6),POWER(10,M6)))*(Calculation!$I6/Calculation!$K5)</f>
        <v>53371548.144392669</v>
      </c>
      <c r="Q6" s="109">
        <f>(STDEV(POWER(10,K6),POWER(10,L6),POWER(10,M6))*([2]Calculation!$I6/[2]Calculation!$K5))</f>
        <v>10791863.283989305</v>
      </c>
      <c r="R6" s="108">
        <f t="shared" si="3"/>
        <v>7.7273098005329377</v>
      </c>
      <c r="S6" s="108">
        <f>O6*(Calculation!$I6/Calculation!$K5)</f>
        <v>8.5432447654076427E-2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9">
        <v>22.023904800415039</v>
      </c>
      <c r="F7" s="99">
        <v>22.321102142333984</v>
      </c>
      <c r="G7" s="100">
        <v>22.254388809204102</v>
      </c>
      <c r="H7" s="107">
        <f>E7-$H$52+$H$75</f>
        <v>21.71201001872187</v>
      </c>
      <c r="I7" s="107">
        <f>F7-$H$52+$H$75</f>
        <v>22.009207360640815</v>
      </c>
      <c r="J7" s="107">
        <f>G7-$H$52+$H$75</f>
        <v>21.942494027510932</v>
      </c>
      <c r="K7" s="100">
        <f>((H7-'Calibration F. prausnitzii'!$D$45)/'Calibration F. prausnitzii'!$D$44)+$B$24</f>
        <v>8.0588985591769795</v>
      </c>
      <c r="L7" s="100">
        <f>((I7-'Calibration F. prausnitzii'!$D$45)/'Calibration F. prausnitzii'!$D$44)+$B$24</f>
        <v>7.9674053652235433</v>
      </c>
      <c r="M7" s="100">
        <f>((J7-'Calibration F. prausnitzii'!$D$45)/'Calibration F. prausnitzii'!$D$44)+$B$24</f>
        <v>7.987943287561345</v>
      </c>
      <c r="N7" s="108">
        <f t="shared" si="1"/>
        <v>8.0047490706539559</v>
      </c>
      <c r="O7" s="108">
        <f t="shared" si="2"/>
        <v>4.8006008936040408E-2</v>
      </c>
      <c r="P7" s="109">
        <f>(AVERAGE(POWER(10,K7),POWER(10,L7),POWER(10,M7)))*(Calculation!$I7/Calculation!$K6)</f>
        <v>102808262.20245303</v>
      </c>
      <c r="Q7" s="109">
        <f>(STDEV(POWER(10,K7),POWER(10,L7),POWER(10,M7))*([2]Calculation!$I7/[2]Calculation!$K6))</f>
        <v>11501245.049762657</v>
      </c>
      <c r="R7" s="108">
        <f t="shared" si="3"/>
        <v>8.0120280182073653</v>
      </c>
      <c r="S7" s="108">
        <f>O7*(Calculation!$I7/Calculation!$K6)</f>
        <v>4.8615816226569013E-2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9">
        <v>20.840959548950195</v>
      </c>
      <c r="F8" s="99">
        <v>20.449268341064453</v>
      </c>
      <c r="G8" s="100">
        <v>20.620386123657227</v>
      </c>
      <c r="H8" s="107">
        <f>E8-$H$52+$H$75</f>
        <v>20.529064767257026</v>
      </c>
      <c r="I8" s="107">
        <f>F8-$H$52+$H$75</f>
        <v>20.137373559371284</v>
      </c>
      <c r="J8" s="107">
        <f>G8-$H$52+$H$75</f>
        <v>20.308491341964057</v>
      </c>
      <c r="K8" s="100">
        <f>((H8-'Calibration F. prausnitzii'!$D$45)/'Calibration F. prausnitzii'!$D$44)+$B$24</f>
        <v>8.4230722043036135</v>
      </c>
      <c r="L8" s="100">
        <f>((I8-'Calibration F. prausnitzii'!$D$45)/'Calibration F. prausnitzii'!$D$44)+$B$24</f>
        <v>8.543655650378712</v>
      </c>
      <c r="M8" s="100">
        <f>((J8-'Calibration F. prausnitzii'!$D$45)/'Calibration F. prausnitzii'!$D$44)+$B$24</f>
        <v>8.4909764697018115</v>
      </c>
      <c r="N8" s="108">
        <f t="shared" si="1"/>
        <v>8.4859014414613796</v>
      </c>
      <c r="O8" s="108">
        <f t="shared" si="2"/>
        <v>6.0451706349510428E-2</v>
      </c>
      <c r="P8" s="109">
        <f>(AVERAGE(POWER(10,K8),POWER(10,L8),POWER(10,M8)))*(Calculation!$I8/Calculation!$K7)</f>
        <v>313524983.85223317</v>
      </c>
      <c r="Q8" s="109">
        <f>(STDEV(POWER(10,K8),POWER(10,L8),POWER(10,M8))*([2]Calculation!$I8/[2]Calculation!$K7))</f>
        <v>42469649.510647893</v>
      </c>
      <c r="R8" s="108">
        <f t="shared" si="3"/>
        <v>8.4962721541518533</v>
      </c>
      <c r="S8" s="108">
        <f>O8*(Calculation!$I8/Calculation!$K7)</f>
        <v>6.1516996749811294E-2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9">
        <v>20.384469985961914</v>
      </c>
      <c r="F9" s="99">
        <v>20.292879104614258</v>
      </c>
      <c r="G9" s="100">
        <v>20.326747894287109</v>
      </c>
      <c r="H9" s="107">
        <f>E9-$H$52+$H$75</f>
        <v>20.072575204268745</v>
      </c>
      <c r="I9" s="107">
        <f>F9-$H$52+$H$75</f>
        <v>19.980984322921088</v>
      </c>
      <c r="J9" s="107">
        <f>G9-$H$52+$H$75</f>
        <v>20.01485311259394</v>
      </c>
      <c r="K9" s="100">
        <f>((H9-'Calibration F. prausnitzii'!$D$45)/'Calibration F. prausnitzii'!$D$44)+$B$24</f>
        <v>8.5636040403373173</v>
      </c>
      <c r="L9" s="100">
        <f>((I9-'Calibration F. prausnitzii'!$D$45)/'Calibration F. prausnitzii'!$D$44)+$B$24</f>
        <v>8.5918005989518704</v>
      </c>
      <c r="M9" s="100">
        <f>((J9-'Calibration F. prausnitzii'!$D$45)/'Calibration F. prausnitzii'!$D$44)+$B$24</f>
        <v>8.5813739789743906</v>
      </c>
      <c r="N9" s="108">
        <f t="shared" si="1"/>
        <v>8.5789262060878588</v>
      </c>
      <c r="O9" s="108">
        <f t="shared" si="2"/>
        <v>1.425675887093595E-2</v>
      </c>
      <c r="P9" s="109">
        <f>(AVERAGE(POWER(10,K9),POWER(10,L9),POWER(10,M9)))*(Calculation!$I9/Calculation!$K8)</f>
        <v>388260949.60853273</v>
      </c>
      <c r="Q9" s="109">
        <f>(STDEV(POWER(10,K9),POWER(10,L9),POWER(10,M9))*([2]Calculation!$I9/[2]Calculation!$K8))</f>
        <v>12428618.359108889</v>
      </c>
      <c r="R9" s="108">
        <f t="shared" si="3"/>
        <v>8.5891237124044846</v>
      </c>
      <c r="S9" s="108">
        <f>O9*(Calculation!$I9/Calculation!$K8)</f>
        <v>1.4590250457031089E-2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9">
        <v>20.377552032470703</v>
      </c>
      <c r="F10" s="99">
        <v>20.716541290283203</v>
      </c>
      <c r="G10" s="100">
        <v>20.486211776733398</v>
      </c>
      <c r="H10" s="107">
        <f>E10-$H$52+$H$75</f>
        <v>20.065657250777534</v>
      </c>
      <c r="I10" s="107">
        <f>F10-$H$52+$H$75</f>
        <v>20.404646508590034</v>
      </c>
      <c r="J10" s="107">
        <f>G10-$H$52+$H$75</f>
        <v>20.174316995040229</v>
      </c>
      <c r="K10" s="100">
        <f>((H10-'Calibration F. prausnitzii'!$D$45)/'Calibration F. prausnitzii'!$D$44)+$B$24</f>
        <v>8.5657337554163462</v>
      </c>
      <c r="L10" s="100">
        <f>((I10-'Calibration F. prausnitzii'!$D$45)/'Calibration F. prausnitzii'!$D$44)+$B$24</f>
        <v>8.461374780625686</v>
      </c>
      <c r="M10" s="100">
        <f>((J10-'Calibration F. prausnitzii'!$D$45)/'Calibration F. prausnitzii'!$D$44)+$B$24</f>
        <v>8.5322824903661054</v>
      </c>
      <c r="N10" s="108">
        <f t="shared" si="1"/>
        <v>8.519797008802712</v>
      </c>
      <c r="O10" s="108">
        <f t="shared" si="2"/>
        <v>5.3288031885609898E-2</v>
      </c>
      <c r="P10" s="109">
        <f>(AVERAGE(POWER(10,K10),POWER(10,L10),POWER(10,M10)))*(Calculation!$I10/Calculation!$K9)</f>
        <v>341885998.35201365</v>
      </c>
      <c r="Q10" s="109">
        <f>(STDEV(POWER(10,K10),POWER(10,L10),POWER(10,M10))*([2]Calculation!$I10/[2]Calculation!$K9))</f>
        <v>40054623.288786829</v>
      </c>
      <c r="R10" s="108">
        <f t="shared" si="3"/>
        <v>8.5338813150025778</v>
      </c>
      <c r="S10" s="108">
        <f>O10*(Calculation!$I10/Calculation!$K9)</f>
        <v>5.4773025343050466E-2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9">
        <v>20.045089721679688</v>
      </c>
      <c r="F11" s="99">
        <v>19.949602127075195</v>
      </c>
      <c r="G11" s="100">
        <v>19.98431396484375</v>
      </c>
      <c r="H11" s="107">
        <f>E11-$H$52+$H$75</f>
        <v>19.733194939986518</v>
      </c>
      <c r="I11" s="107">
        <f>F11-$H$52+$H$75</f>
        <v>19.637707345382026</v>
      </c>
      <c r="J11" s="107">
        <f>G11-$H$52+$H$75</f>
        <v>19.672419183150581</v>
      </c>
      <c r="K11" s="100">
        <f>((H11-'Calibration F. prausnitzii'!$D$45)/'Calibration F. prausnitzii'!$D$44)+$B$24</f>
        <v>8.6680833877751233</v>
      </c>
      <c r="L11" s="100">
        <f>((I11-'Calibration F. prausnitzii'!$D$45)/'Calibration F. prausnitzii'!$D$44)+$B$24</f>
        <v>8.6974795625756318</v>
      </c>
      <c r="M11" s="100">
        <f>((J11-'Calibration F. prausnitzii'!$D$45)/'Calibration F. prausnitzii'!$D$44)+$B$24</f>
        <v>8.6867934074272295</v>
      </c>
      <c r="N11" s="108">
        <f t="shared" si="1"/>
        <v>8.6841187859259961</v>
      </c>
      <c r="O11" s="108">
        <f t="shared" si="2"/>
        <v>1.4879481622578876E-2</v>
      </c>
      <c r="P11" s="109">
        <f>(AVERAGE(POWER(10,K11),POWER(10,L11),POWER(10,M11)))*(Calculation!$I11/Calculation!$K10)</f>
        <v>498703858.09750229</v>
      </c>
      <c r="Q11" s="109">
        <f>(STDEV(POWER(10,K11),POWER(10,L11),POWER(10,M11))*([2]Calculation!$I11/[2]Calculation!$K10))</f>
        <v>16619307.56424642</v>
      </c>
      <c r="R11" s="108">
        <f t="shared" si="3"/>
        <v>8.697842728041854</v>
      </c>
      <c r="S11" s="108">
        <f>O11*(Calculation!$I11/Calculation!$K10)</f>
        <v>1.5351200227940315E-2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9">
        <v>19.896270751953125</v>
      </c>
      <c r="F12" s="99">
        <v>20.00682258605957</v>
      </c>
      <c r="G12" s="100">
        <v>20.051063537597656</v>
      </c>
      <c r="H12" s="107">
        <f>E12-$H$52+$H$75</f>
        <v>19.584375970259956</v>
      </c>
      <c r="I12" s="107">
        <f>F12-$H$52+$H$75</f>
        <v>19.694927804366401</v>
      </c>
      <c r="J12" s="107">
        <f>G12-$H$52+$H$75</f>
        <v>19.739168755904487</v>
      </c>
      <c r="K12" s="100">
        <f>((H12-'Calibration F. prausnitzii'!$D$45)/'Calibration F. prausnitzii'!$D$44)+$B$24</f>
        <v>8.7138978044627944</v>
      </c>
      <c r="L12" s="100">
        <f>((I12-'Calibration F. prausnitzii'!$D$45)/'Calibration F. prausnitzii'!$D$44)+$B$24</f>
        <v>8.6798640532370932</v>
      </c>
      <c r="M12" s="100">
        <f>((J12-'Calibration F. prausnitzii'!$D$45)/'Calibration F. prausnitzii'!$D$44)+$B$24</f>
        <v>8.6662443286001807</v>
      </c>
      <c r="N12" s="108">
        <f t="shared" si="1"/>
        <v>8.6866687287666888</v>
      </c>
      <c r="O12" s="108">
        <f t="shared" si="2"/>
        <v>2.4544676556118864E-2</v>
      </c>
      <c r="P12" s="109">
        <f>(AVERAGE(POWER(10,K12),POWER(10,L12),POWER(10,M12)))*(Calculation!$I12/Calculation!$K11)</f>
        <v>503527404.2362746</v>
      </c>
      <c r="Q12" s="109">
        <f>(STDEV(POWER(10,K12),POWER(10,L12),POWER(10,M12))*([2]Calculation!$I12/[2]Calculation!$K11))</f>
        <v>28161974.39865746</v>
      </c>
      <c r="R12" s="108">
        <f t="shared" si="3"/>
        <v>8.7020231118007025</v>
      </c>
      <c r="S12" s="108">
        <f>O12*(Calculation!$I12/Calculation!$K11)</f>
        <v>2.5400723528397118E-2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9">
        <v>19.927787780761719</v>
      </c>
      <c r="F13" s="99">
        <v>19.657400131225586</v>
      </c>
      <c r="G13" s="100">
        <v>19.825353622436523</v>
      </c>
      <c r="H13" s="107">
        <f>E13-$H$52+$H$75</f>
        <v>19.615892999068549</v>
      </c>
      <c r="I13" s="107">
        <f>F13-$H$52+$H$75</f>
        <v>19.345505349532417</v>
      </c>
      <c r="J13" s="107">
        <f>G13-$H$52+$H$75</f>
        <v>19.513458840743354</v>
      </c>
      <c r="K13" s="100">
        <f>((H13-'Calibration F. prausnitzii'!$D$45)/'Calibration F. prausnitzii'!$D$44)+$B$24</f>
        <v>8.7041951819191272</v>
      </c>
      <c r="L13" s="100">
        <f>((I13-'Calibration F. prausnitzii'!$D$45)/'Calibration F. prausnitzii'!$D$44)+$B$24</f>
        <v>8.7874349225638131</v>
      </c>
      <c r="M13" s="100">
        <f>((J13-'Calibration F. prausnitzii'!$D$45)/'Calibration F. prausnitzii'!$D$44)+$B$24</f>
        <v>8.7357298795533342</v>
      </c>
      <c r="N13" s="108">
        <f t="shared" si="1"/>
        <v>8.7424533280120915</v>
      </c>
      <c r="O13" s="108">
        <f t="shared" si="2"/>
        <v>4.202519690652045E-2</v>
      </c>
      <c r="P13" s="109">
        <f>(AVERAGE(POWER(10,K13),POWER(10,L13),POWER(10,M13)))*(Calculation!$I13/Calculation!$K12)</f>
        <v>575093922.9076035</v>
      </c>
      <c r="Q13" s="109">
        <f>(STDEV(POWER(10,K13),POWER(10,L13),POWER(10,M13))*([2]Calculation!$I13/[2]Calculation!$K12))</f>
        <v>55283427.295926854</v>
      </c>
      <c r="R13" s="108">
        <f t="shared" si="3"/>
        <v>8.7597387783756098</v>
      </c>
      <c r="S13" s="108">
        <f>O13*(Calculation!$I13/Calculation!$K12)</f>
        <v>4.3594381293697609E-2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9">
        <v>19.723445892333984</v>
      </c>
      <c r="F14" s="99">
        <v>20.271341323852539</v>
      </c>
      <c r="G14" s="100">
        <v>19.868494033813477</v>
      </c>
      <c r="H14" s="107">
        <f>E14-$H$52+$H$75</f>
        <v>19.411551110640815</v>
      </c>
      <c r="I14" s="107">
        <f>F14-$H$52+$H$75</f>
        <v>19.95944654215937</v>
      </c>
      <c r="J14" s="107">
        <f>G14-$H$52+$H$75</f>
        <v>19.556599252120307</v>
      </c>
      <c r="K14" s="100">
        <f>((H14-'Calibration F. prausnitzii'!$D$45)/'Calibration F. prausnitzii'!$D$44)+$B$24</f>
        <v>8.7671025145016284</v>
      </c>
      <c r="L14" s="100">
        <f>((I14-'Calibration F. prausnitzii'!$D$45)/'Calibration F. prausnitzii'!$D$44)+$B$24</f>
        <v>8.5984310766668965</v>
      </c>
      <c r="M14" s="100">
        <f>((J14-'Calibration F. prausnitzii'!$D$45)/'Calibration F. prausnitzii'!$D$44)+$B$24</f>
        <v>8.7224489598793653</v>
      </c>
      <c r="N14" s="108">
        <f t="shared" si="1"/>
        <v>8.6959941836826307</v>
      </c>
      <c r="O14" s="108">
        <f t="shared" si="2"/>
        <v>8.7392247213488344E-2</v>
      </c>
      <c r="P14" s="109">
        <f>(AVERAGE(POWER(10,K14),POWER(10,L14),POWER(10,M14)))*(Calculation!$I14/Calculation!$K13)</f>
        <v>523200943.16186315</v>
      </c>
      <c r="Q14" s="109">
        <f>(STDEV(POWER(10,K14),POWER(10,L14),POWER(10,M14))*([2]Calculation!$I14/[2]Calculation!$K13))</f>
        <v>98858435.648406357</v>
      </c>
      <c r="R14" s="108">
        <f t="shared" si="3"/>
        <v>8.7186685182092223</v>
      </c>
      <c r="S14" s="108">
        <f>O14*(Calculation!$I14/Calculation!$K13)</f>
        <v>9.0879422765322723E-2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9">
        <v>19.477569580078125</v>
      </c>
      <c r="F15" s="99">
        <v>19.610221862792969</v>
      </c>
      <c r="G15" s="100">
        <v>19.952873229980469</v>
      </c>
      <c r="H15" s="107">
        <f>E15-$H$52+$H$75</f>
        <v>19.165674798384956</v>
      </c>
      <c r="I15" s="107">
        <f>F15-$H$52+$H$75</f>
        <v>19.298327081099799</v>
      </c>
      <c r="J15" s="107">
        <f>G15-$H$52+$H$75</f>
        <v>19.640978448287299</v>
      </c>
      <c r="K15" s="100">
        <f>((H15-'Calibration F. prausnitzii'!$D$45)/'Calibration F. prausnitzii'!$D$44)+$B$24</f>
        <v>8.8427963581293287</v>
      </c>
      <c r="L15" s="100">
        <f>((I15-'Calibration F. prausnitzii'!$D$45)/'Calibration F. prausnitzii'!$D$44)+$B$24</f>
        <v>8.8019589100134379</v>
      </c>
      <c r="M15" s="100">
        <f>((J15-'Calibration F. prausnitzii'!$D$45)/'Calibration F. prausnitzii'!$D$44)+$B$24</f>
        <v>8.6964725426251128</v>
      </c>
      <c r="N15" s="108">
        <f t="shared" si="1"/>
        <v>8.7804092702559604</v>
      </c>
      <c r="O15" s="108">
        <f t="shared" si="2"/>
        <v>7.5504668572120515E-2</v>
      </c>
      <c r="P15" s="109">
        <f>(AVERAGE(POWER(10,K15),POWER(10,L15),POWER(10,M15)))*(Calculation!$I15/Calculation!$K14)</f>
        <v>635006061.26848388</v>
      </c>
      <c r="Q15" s="109">
        <f>(STDEV(POWER(10,K15),POWER(10,L15),POWER(10,M15))*([2]Calculation!$I15/[2]Calculation!$K14))</f>
        <v>104646589.04005669</v>
      </c>
      <c r="R15" s="108">
        <f t="shared" si="3"/>
        <v>8.8027778707453503</v>
      </c>
      <c r="S15" s="108">
        <f>O15*(Calculation!$I15/Calculation!$K14)</f>
        <v>7.8718482505235679E-2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9">
        <v>19.394384384155273</v>
      </c>
      <c r="F16" s="99">
        <v>19.574197769165039</v>
      </c>
      <c r="G16" s="100">
        <v>19.659433364868164</v>
      </c>
      <c r="H16" s="107">
        <f>E16-$H$52+$H$75</f>
        <v>19.082489602462104</v>
      </c>
      <c r="I16" s="107">
        <f>F16-$H$52+$H$75</f>
        <v>19.26230298747187</v>
      </c>
      <c r="J16" s="107">
        <f>G16-$H$52+$H$75</f>
        <v>19.347538583174995</v>
      </c>
      <c r="K16" s="100">
        <f>((H16-'Calibration F. prausnitzii'!$D$45)/'Calibration F. prausnitzii'!$D$44)+$B$24</f>
        <v>8.8684051984220513</v>
      </c>
      <c r="L16" s="100">
        <f>((I16-'Calibration F. prausnitzii'!$D$45)/'Calibration F. prausnitzii'!$D$44)+$B$24</f>
        <v>8.8130490475093382</v>
      </c>
      <c r="M16" s="100">
        <f>((J16-'Calibration F. prausnitzii'!$D$45)/'Calibration F. prausnitzii'!$D$44)+$B$24</f>
        <v>8.7868089847986504</v>
      </c>
      <c r="N16" s="108">
        <f t="shared" si="1"/>
        <v>8.8227544102433466</v>
      </c>
      <c r="O16" s="108">
        <f t="shared" si="2"/>
        <v>4.1654904498365272E-2</v>
      </c>
      <c r="P16" s="109">
        <f>(AVERAGE(POWER(10,K16),POWER(10,L16),POWER(10,M16)))*(Calculation!$I16/Calculation!$K15)</f>
        <v>696578530.13129663</v>
      </c>
      <c r="Q16" s="109">
        <f>(STDEV(POWER(10,K16),POWER(10,L16),POWER(10,M16))*([2]Calculation!$I16/[2]Calculation!$K15))</f>
        <v>66745414.618882604</v>
      </c>
      <c r="R16" s="108">
        <f t="shared" si="3"/>
        <v>8.8429700845505845</v>
      </c>
      <c r="S16" s="108">
        <f>O16*(Calculation!$I16/Calculation!$K15)</f>
        <v>4.3504785759545188E-2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9">
        <v>19.630132675170898</v>
      </c>
      <c r="F17" s="99">
        <v>19.479331970214844</v>
      </c>
      <c r="G17" s="100">
        <v>19.62004280090332</v>
      </c>
      <c r="H17" s="107">
        <f>E17-$H$52+$H$75</f>
        <v>19.318237893477729</v>
      </c>
      <c r="I17" s="107">
        <f>F17-$H$52+$H$75</f>
        <v>19.167437188521674</v>
      </c>
      <c r="J17" s="107">
        <f>G17-$H$52+$H$75</f>
        <v>19.308148019210151</v>
      </c>
      <c r="K17" s="100">
        <f>((H17-'Calibration F. prausnitzii'!$D$45)/'Calibration F. prausnitzii'!$D$44)+$B$24</f>
        <v>8.7958292999472718</v>
      </c>
      <c r="L17" s="100">
        <f>((I17-'Calibration F. prausnitzii'!$D$45)/'Calibration F. prausnitzii'!$D$44)+$B$24</f>
        <v>8.8422538004417017</v>
      </c>
      <c r="M17" s="100">
        <f>((J17-'Calibration F. prausnitzii'!$D$45)/'Calibration F. prausnitzii'!$D$44)+$B$24</f>
        <v>8.7989355014272999</v>
      </c>
      <c r="N17" s="108">
        <f t="shared" si="1"/>
        <v>8.8123395339387596</v>
      </c>
      <c r="O17" s="108">
        <f t="shared" si="2"/>
        <v>2.5953027322751714E-2</v>
      </c>
      <c r="P17" s="109">
        <f>(AVERAGE(POWER(10,K17),POWER(10,L17),POWER(10,M17)))*(Calculation!$I17/Calculation!$K16)</f>
        <v>680663165.75031316</v>
      </c>
      <c r="Q17" s="109">
        <f>(STDEV(POWER(10,K17),POWER(10,L17),POWER(10,M17))*([2]Calculation!$I17/[2]Calculation!$K16))</f>
        <v>40597159.910726272</v>
      </c>
      <c r="R17" s="108">
        <f t="shared" si="3"/>
        <v>8.8329322492909288</v>
      </c>
      <c r="S17" s="108">
        <f>O17*(Calculation!$I17/Calculation!$K16)</f>
        <v>2.7180539477342315E-2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9">
        <v>20.079828262329102</v>
      </c>
      <c r="F18" s="99">
        <v>20.040441513061523</v>
      </c>
      <c r="G18" s="100">
        <v>20.366939544677734</v>
      </c>
      <c r="H18" s="107">
        <f>E18-$H$52+$H$75</f>
        <v>19.767933480635932</v>
      </c>
      <c r="I18" s="107">
        <f>F18-$H$52+$H$75</f>
        <v>19.728546731368354</v>
      </c>
      <c r="J18" s="107">
        <f>G18-$H$52+$H$75</f>
        <v>20.055044762984565</v>
      </c>
      <c r="K18" s="100">
        <f>((H18-'Calibration F. prausnitzii'!$D$45)/'Calibration F. prausnitzii'!$D$44)+$B$24</f>
        <v>8.6573890120556971</v>
      </c>
      <c r="L18" s="100">
        <f>((I18-'Calibration F. prausnitzii'!$D$45)/'Calibration F. prausnitzii'!$D$44)+$B$24</f>
        <v>8.669514354317057</v>
      </c>
      <c r="M18" s="100">
        <f>((J18-'Calibration F. prausnitzii'!$D$45)/'Calibration F. prausnitzii'!$D$44)+$B$24</f>
        <v>8.569000845215001</v>
      </c>
      <c r="N18" s="108">
        <f t="shared" si="1"/>
        <v>8.6319680705292523</v>
      </c>
      <c r="O18" s="108">
        <f t="shared" si="2"/>
        <v>5.4867199482664386E-2</v>
      </c>
      <c r="P18" s="109">
        <f>(AVERAGE(POWER(10,K18),POWER(10,L18),POWER(10,M18)))*(Calculation!$I18/Calculation!$K17)</f>
        <v>455017107.74646759</v>
      </c>
      <c r="Q18" s="109">
        <f>(STDEV(POWER(10,K18),POWER(10,L18),POWER(10,M18))*([2]Calculation!$I18/[2]Calculation!$K17))</f>
        <v>53905989.10399656</v>
      </c>
      <c r="R18" s="108">
        <f t="shared" si="3"/>
        <v>8.6580277255806593</v>
      </c>
      <c r="S18" s="108">
        <f>O18*(Calculation!$I18/Calculation!$K17)</f>
        <v>5.7958593672536571E-2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9">
        <v>20.652597427368164</v>
      </c>
      <c r="F19" s="99">
        <v>20.819412231445312</v>
      </c>
      <c r="G19" s="100">
        <v>21.201480865478516</v>
      </c>
      <c r="H19" s="107">
        <f>E19-$H$52+$H$75</f>
        <v>20.340702645674995</v>
      </c>
      <c r="I19" s="107">
        <f>F19-$H$52+$H$75</f>
        <v>20.507517449752143</v>
      </c>
      <c r="J19" s="107">
        <f>G19-$H$52+$H$75</f>
        <v>20.889586083785346</v>
      </c>
      <c r="K19" s="100">
        <f>((H19-'Calibration F. prausnitzii'!$D$45)/'Calibration F. prausnitzii'!$D$44)+$B$24</f>
        <v>8.4810601123115035</v>
      </c>
      <c r="L19" s="100">
        <f>((I19-'Calibration F. prausnitzii'!$D$45)/'Calibration F. prausnitzii'!$D$44)+$B$24</f>
        <v>8.4297056179368628</v>
      </c>
      <c r="M19" s="100">
        <f>((J19-'Calibration F. prausnitzii'!$D$45)/'Calibration F. prausnitzii'!$D$44)+$B$24</f>
        <v>8.3120845133488608</v>
      </c>
      <c r="N19" s="108">
        <f t="shared" si="1"/>
        <v>8.4076167478657418</v>
      </c>
      <c r="O19" s="108">
        <f t="shared" si="2"/>
        <v>8.6626363752382529E-2</v>
      </c>
      <c r="P19" s="109">
        <f>(AVERAGE(POWER(10,K19),POWER(10,L19),POWER(10,M19)))*(Calculation!$I19/Calculation!$K18)</f>
        <v>273543764.20341522</v>
      </c>
      <c r="Q19" s="109">
        <f>(STDEV(POWER(10,K19),POWER(10,L19),POWER(10,M19))*([2]Calculation!$I19/[2]Calculation!$K18))</f>
        <v>50963678.171851948</v>
      </c>
      <c r="R19" s="108">
        <f t="shared" si="3"/>
        <v>8.4370268189017725</v>
      </c>
      <c r="S19" s="108">
        <f>O19*(Calculation!$I19/Calculation!$K18)</f>
        <v>9.1507171231511863E-2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9">
        <v>21.491476058959961</v>
      </c>
      <c r="F20" s="99">
        <v>21.814624786376953</v>
      </c>
      <c r="G20" s="100">
        <v>22.164104461669922</v>
      </c>
      <c r="H20" s="107">
        <f>E20-$H$52+$H$75</f>
        <v>21.179581277266792</v>
      </c>
      <c r="I20" s="107">
        <f>F20-$H$52+$H$75</f>
        <v>21.502730004683784</v>
      </c>
      <c r="J20" s="107">
        <f>G20-$H$52+$H$75</f>
        <v>21.852209679976752</v>
      </c>
      <c r="K20" s="100">
        <f>((H20-'Calibration F. prausnitzii'!$D$45)/'Calibration F. prausnitzii'!$D$44)+$B$24</f>
        <v>8.222808524837502</v>
      </c>
      <c r="L20" s="100">
        <f>((I20-'Calibration F. prausnitzii'!$D$45)/'Calibration F. prausnitzii'!$D$44)+$B$24</f>
        <v>8.1233261102153946</v>
      </c>
      <c r="M20" s="100">
        <f>((J20-'Calibration F. prausnitzii'!$D$45)/'Calibration F. prausnitzii'!$D$44)+$B$24</f>
        <v>8.0157376253793373</v>
      </c>
      <c r="N20" s="108">
        <f t="shared" si="1"/>
        <v>8.1206240868107447</v>
      </c>
      <c r="O20" s="108">
        <f t="shared" si="2"/>
        <v>0.10356188994250151</v>
      </c>
      <c r="P20" s="109">
        <f>(AVERAGE(POWER(10,K20),POWER(10,L20),POWER(10,M20)))*(Calculation!$I20/Calculation!$K19)</f>
        <v>142100956.82807013</v>
      </c>
      <c r="Q20" s="109">
        <f>(STDEV(POWER(10,K20),POWER(10,L20),POWER(10,M20))*([2]Calculation!$I20/[2]Calculation!$K19))</f>
        <v>32918691.737325523</v>
      </c>
      <c r="R20" s="108">
        <f t="shared" si="3"/>
        <v>8.1525970022325502</v>
      </c>
      <c r="S20" s="108">
        <f>O20*(Calculation!$I20/Calculation!$K19)</f>
        <v>0.10939689934482366</v>
      </c>
    </row>
    <row r="21" spans="1:19">
      <c r="A21" s="10"/>
      <c r="B21" s="10"/>
      <c r="C21" s="10"/>
      <c r="D21" s="110"/>
      <c r="E21" s="111"/>
      <c r="F21" s="111"/>
      <c r="G21" s="112"/>
      <c r="H21" s="113"/>
      <c r="I21" s="113"/>
      <c r="J21" s="113"/>
      <c r="K21" s="112"/>
      <c r="L21" s="112"/>
      <c r="M21" s="112"/>
      <c r="N21" s="114"/>
      <c r="O21" s="114"/>
      <c r="P21" s="115"/>
      <c r="Q21" s="115"/>
      <c r="R21" s="114"/>
      <c r="S21" s="114"/>
    </row>
    <row r="22" spans="1:19"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</row>
    <row r="23" spans="1:19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</row>
    <row r="24" spans="1:19">
      <c r="A24" s="102" t="s">
        <v>244</v>
      </c>
      <c r="B24" s="116">
        <f>LOG(B25)</f>
        <v>3.6532125137753435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</row>
    <row r="25" spans="1:19">
      <c r="A25" s="84" t="s">
        <v>245</v>
      </c>
      <c r="B25" s="84">
        <f>20*1800/4/2</f>
        <v>4500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</row>
    <row r="26" spans="1:19">
      <c r="A26" s="84"/>
      <c r="B26" s="84"/>
      <c r="C26" s="84"/>
      <c r="D26" s="84"/>
      <c r="E26" s="148" t="s">
        <v>228</v>
      </c>
      <c r="F26" s="149"/>
      <c r="G26" s="149"/>
      <c r="H26" s="149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>
      <c r="A27" s="61" t="s">
        <v>246</v>
      </c>
      <c r="B27" s="61"/>
      <c r="C27" s="61"/>
      <c r="D27" s="61"/>
      <c r="E27" s="117">
        <v>14.4</v>
      </c>
      <c r="F27" s="107">
        <v>14.4</v>
      </c>
      <c r="G27" s="107">
        <v>14.3</v>
      </c>
      <c r="H27" s="107">
        <v>14.4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</row>
    <row r="28" spans="1:19">
      <c r="A28" s="61" t="s">
        <v>247</v>
      </c>
      <c r="B28" s="61"/>
      <c r="C28" s="61"/>
      <c r="D28" s="61"/>
      <c r="E28" s="122">
        <v>14</v>
      </c>
      <c r="F28" s="123">
        <v>13.8</v>
      </c>
      <c r="G28" s="123">
        <v>14.1</v>
      </c>
      <c r="H28" s="123">
        <v>14</v>
      </c>
    </row>
    <row r="29" spans="1:19">
      <c r="A29" s="61" t="s">
        <v>248</v>
      </c>
      <c r="B29" s="61"/>
      <c r="C29" s="61"/>
      <c r="D29" s="61"/>
      <c r="E29" s="122">
        <v>14.1</v>
      </c>
      <c r="F29" s="123">
        <v>14.1</v>
      </c>
      <c r="G29" s="123">
        <v>14.1</v>
      </c>
      <c r="H29" s="123">
        <v>14.1</v>
      </c>
    </row>
    <row r="30" spans="1:19">
      <c r="A30" s="61" t="s">
        <v>249</v>
      </c>
      <c r="B30" s="61"/>
      <c r="C30" s="61"/>
      <c r="D30" s="61"/>
      <c r="E30" s="122">
        <v>13.8</v>
      </c>
      <c r="F30" s="123">
        <v>14</v>
      </c>
      <c r="G30" s="123">
        <v>14</v>
      </c>
      <c r="H30" s="123">
        <v>13.9</v>
      </c>
    </row>
    <row r="31" spans="1:19">
      <c r="A31" s="61" t="s">
        <v>250</v>
      </c>
      <c r="B31" s="61"/>
      <c r="C31" s="61"/>
      <c r="D31" s="61"/>
      <c r="E31" s="122">
        <v>11.6</v>
      </c>
      <c r="F31" s="123">
        <v>11.5</v>
      </c>
      <c r="G31" s="123">
        <v>11.5</v>
      </c>
      <c r="H31" s="123">
        <v>11.5</v>
      </c>
    </row>
    <row r="32" spans="1:19">
      <c r="A32" s="61" t="s">
        <v>251</v>
      </c>
      <c r="B32" s="61"/>
      <c r="C32" s="61"/>
      <c r="D32" s="61"/>
      <c r="E32" s="122">
        <v>14.5</v>
      </c>
      <c r="F32" s="123">
        <v>14.8</v>
      </c>
      <c r="G32" s="123">
        <v>14.7</v>
      </c>
      <c r="H32" s="123">
        <v>14.7</v>
      </c>
    </row>
    <row r="33" spans="1:8">
      <c r="A33" s="61" t="s">
        <v>252</v>
      </c>
      <c r="B33" s="61"/>
      <c r="C33" s="61"/>
      <c r="D33" s="61"/>
      <c r="E33" s="122">
        <v>14.3</v>
      </c>
      <c r="F33" s="123">
        <v>14.8</v>
      </c>
      <c r="G33" s="123">
        <v>14.7</v>
      </c>
      <c r="H33" s="123">
        <v>14.6</v>
      </c>
    </row>
    <row r="34" spans="1:8">
      <c r="A34" s="61" t="s">
        <v>253</v>
      </c>
      <c r="B34" s="61"/>
      <c r="C34" s="61"/>
      <c r="D34" s="61"/>
      <c r="E34" s="122">
        <v>13.1</v>
      </c>
      <c r="F34" s="123">
        <v>13.3</v>
      </c>
      <c r="G34" s="123">
        <v>14.5</v>
      </c>
      <c r="H34" s="123">
        <v>13.6</v>
      </c>
    </row>
    <row r="35" spans="1:8">
      <c r="A35" s="61" t="s">
        <v>254</v>
      </c>
      <c r="B35" s="61"/>
      <c r="C35" s="61"/>
      <c r="D35" s="61"/>
      <c r="E35" s="122">
        <v>14.8</v>
      </c>
      <c r="F35" s="123">
        <v>15</v>
      </c>
      <c r="G35" s="123">
        <v>15</v>
      </c>
      <c r="H35" s="123">
        <v>14.9</v>
      </c>
    </row>
    <row r="36" spans="1:8">
      <c r="A36" s="61" t="s">
        <v>254</v>
      </c>
      <c r="B36" s="61"/>
      <c r="C36" s="61"/>
      <c r="D36" s="61"/>
      <c r="E36" s="122">
        <v>13.9</v>
      </c>
      <c r="F36" s="123">
        <v>14.3</v>
      </c>
      <c r="G36" s="123">
        <v>14</v>
      </c>
      <c r="H36" s="123">
        <v>14</v>
      </c>
    </row>
    <row r="37" spans="1:8">
      <c r="A37" s="61" t="s">
        <v>265</v>
      </c>
      <c r="B37" s="61"/>
      <c r="C37" s="61"/>
      <c r="D37" s="61"/>
      <c r="E37" s="122">
        <v>14</v>
      </c>
      <c r="F37" s="123">
        <v>14.3</v>
      </c>
      <c r="G37" s="123">
        <v>14.5</v>
      </c>
      <c r="H37" s="123">
        <v>14.3</v>
      </c>
    </row>
    <row r="38" spans="1:8">
      <c r="A38" s="61" t="s">
        <v>265</v>
      </c>
      <c r="B38" s="61"/>
      <c r="C38" s="61"/>
      <c r="D38" s="61"/>
      <c r="E38" s="122">
        <v>14.8</v>
      </c>
      <c r="F38" s="123">
        <v>14.8</v>
      </c>
      <c r="G38" s="123">
        <v>14.8</v>
      </c>
      <c r="H38" s="123">
        <v>14.8</v>
      </c>
    </row>
    <row r="39" spans="1:8">
      <c r="A39" s="61" t="s">
        <v>269</v>
      </c>
      <c r="B39" s="61"/>
      <c r="C39" s="61"/>
      <c r="D39" s="61"/>
      <c r="E39" s="122">
        <v>15.4</v>
      </c>
      <c r="F39" s="123">
        <v>15.4</v>
      </c>
      <c r="G39" s="123">
        <v>15.4</v>
      </c>
      <c r="H39" s="123">
        <v>15.4</v>
      </c>
    </row>
    <row r="40" spans="1:8">
      <c r="A40" s="61" t="s">
        <v>269</v>
      </c>
      <c r="B40" s="61"/>
      <c r="C40" s="61"/>
      <c r="D40" s="61"/>
      <c r="E40" s="122">
        <v>15.1</v>
      </c>
      <c r="F40" s="123">
        <v>15.3</v>
      </c>
      <c r="G40" s="123">
        <v>15.2</v>
      </c>
      <c r="H40" s="123">
        <v>15.2</v>
      </c>
    </row>
    <row r="41" spans="1:8">
      <c r="A41" s="61" t="s">
        <v>280</v>
      </c>
      <c r="B41" s="61"/>
      <c r="C41" s="61"/>
      <c r="D41" s="61"/>
      <c r="E41" s="122">
        <v>14.9</v>
      </c>
      <c r="F41" s="123">
        <v>14.9</v>
      </c>
      <c r="G41" s="123">
        <v>14.9</v>
      </c>
      <c r="H41" s="123">
        <v>14.9</v>
      </c>
    </row>
    <row r="42" spans="1:8">
      <c r="A42" s="61" t="s">
        <v>280</v>
      </c>
      <c r="B42" s="61"/>
      <c r="C42" s="61"/>
      <c r="D42" s="61"/>
      <c r="E42" s="122">
        <v>14.1</v>
      </c>
      <c r="F42" s="123">
        <v>14.3</v>
      </c>
      <c r="G42" s="123">
        <v>14.4</v>
      </c>
      <c r="H42" s="123">
        <v>14.3</v>
      </c>
    </row>
    <row r="43" spans="1:8">
      <c r="A43" s="61" t="s">
        <v>281</v>
      </c>
      <c r="B43" s="61"/>
      <c r="C43" s="61"/>
      <c r="D43" s="61"/>
      <c r="E43" s="122">
        <v>15</v>
      </c>
      <c r="F43" s="123">
        <v>14.8</v>
      </c>
      <c r="G43" s="123">
        <v>15.3</v>
      </c>
      <c r="H43" s="123">
        <v>15</v>
      </c>
    </row>
    <row r="44" spans="1:8">
      <c r="A44" s="61" t="s">
        <v>282</v>
      </c>
      <c r="B44" s="61"/>
      <c r="C44" s="61"/>
      <c r="D44" s="61"/>
      <c r="E44" s="122">
        <v>14.9</v>
      </c>
      <c r="F44" s="123">
        <v>15.1</v>
      </c>
      <c r="G44" s="123">
        <v>15</v>
      </c>
      <c r="H44" s="123">
        <v>15</v>
      </c>
    </row>
    <row r="45" spans="1:8">
      <c r="A45" s="61" t="s">
        <v>283</v>
      </c>
      <c r="B45" s="61"/>
      <c r="C45" s="61"/>
      <c r="D45" s="61"/>
      <c r="E45" s="122">
        <v>15.1</v>
      </c>
      <c r="F45" s="123">
        <v>15.1</v>
      </c>
      <c r="G45" s="123">
        <v>15.1</v>
      </c>
      <c r="H45" s="123">
        <v>15.1</v>
      </c>
    </row>
    <row r="46" spans="1:8">
      <c r="A46" s="61" t="s">
        <v>284</v>
      </c>
      <c r="B46" s="61"/>
      <c r="C46" s="61"/>
      <c r="D46" s="61"/>
      <c r="E46" s="122">
        <v>14.4</v>
      </c>
      <c r="F46" s="123">
        <v>14.4</v>
      </c>
      <c r="G46" s="123">
        <v>15.3</v>
      </c>
      <c r="H46" s="123">
        <v>14.7</v>
      </c>
    </row>
    <row r="47" spans="1:8">
      <c r="A47" s="61" t="s">
        <v>285</v>
      </c>
      <c r="B47" s="61"/>
      <c r="C47" s="61"/>
      <c r="D47" s="61"/>
      <c r="E47" s="122">
        <v>14.6</v>
      </c>
      <c r="F47" s="123">
        <v>14.8</v>
      </c>
      <c r="G47" s="123">
        <v>15</v>
      </c>
      <c r="H47" s="123">
        <v>14.8</v>
      </c>
    </row>
    <row r="48" spans="1:8">
      <c r="A48" s="61" t="s">
        <v>286</v>
      </c>
      <c r="B48" s="61"/>
      <c r="C48" s="61"/>
      <c r="D48" s="61"/>
      <c r="E48" s="122">
        <v>15</v>
      </c>
      <c r="F48" s="123">
        <v>15</v>
      </c>
      <c r="G48" s="123">
        <v>14.9</v>
      </c>
      <c r="H48" s="123">
        <v>15</v>
      </c>
    </row>
    <row r="49" spans="1:8">
      <c r="A49" s="61" t="s">
        <v>287</v>
      </c>
      <c r="B49" s="61"/>
      <c r="C49" s="61"/>
      <c r="D49" s="61"/>
      <c r="E49" s="122">
        <v>15.2</v>
      </c>
      <c r="F49" s="123">
        <v>15.3</v>
      </c>
      <c r="G49" s="123">
        <v>15.3</v>
      </c>
      <c r="H49" s="123">
        <v>15.2</v>
      </c>
    </row>
    <row r="50" spans="1:8">
      <c r="A50" s="61" t="s">
        <v>288</v>
      </c>
      <c r="B50" s="61"/>
      <c r="C50" s="61"/>
      <c r="D50" s="61"/>
      <c r="E50" s="122">
        <v>15.5</v>
      </c>
      <c r="F50" s="123">
        <v>15.5</v>
      </c>
      <c r="G50" s="123">
        <v>15.3</v>
      </c>
      <c r="H50" s="123">
        <v>15.4</v>
      </c>
    </row>
    <row r="51" spans="1:8">
      <c r="A51" s="61" t="s">
        <v>289</v>
      </c>
      <c r="B51" s="61"/>
      <c r="C51" s="61"/>
      <c r="D51" s="61"/>
      <c r="E51" s="122">
        <v>15.2</v>
      </c>
      <c r="F51" s="123">
        <v>15.3</v>
      </c>
      <c r="G51" s="123">
        <v>15.1</v>
      </c>
      <c r="H51" s="123">
        <v>15.2</v>
      </c>
    </row>
    <row r="52" spans="1:8">
      <c r="A52" s="61" t="s">
        <v>291</v>
      </c>
      <c r="B52" s="61"/>
      <c r="C52" s="61"/>
      <c r="D52" s="61"/>
      <c r="E52" s="122">
        <v>15.1</v>
      </c>
      <c r="F52" s="123">
        <v>15.1</v>
      </c>
      <c r="G52" s="123">
        <v>15.2</v>
      </c>
      <c r="H52" s="123">
        <v>15.1</v>
      </c>
    </row>
    <row r="53" spans="1:8">
      <c r="A53" s="61" t="s">
        <v>290</v>
      </c>
      <c r="B53" s="61"/>
      <c r="C53" s="61"/>
      <c r="D53" s="61"/>
      <c r="E53" s="122">
        <v>15</v>
      </c>
      <c r="F53" s="123">
        <v>15</v>
      </c>
      <c r="G53" s="123">
        <v>14.9</v>
      </c>
      <c r="H53" s="123">
        <v>15</v>
      </c>
    </row>
    <row r="54" spans="1:8">
      <c r="A54" s="61" t="s">
        <v>308</v>
      </c>
      <c r="B54" s="61"/>
      <c r="C54" s="61"/>
      <c r="D54" s="61"/>
      <c r="E54" s="122">
        <v>15.3</v>
      </c>
      <c r="F54" s="123">
        <v>15.4</v>
      </c>
      <c r="G54" s="123">
        <v>15.4</v>
      </c>
      <c r="H54" s="123">
        <v>15.4</v>
      </c>
    </row>
    <row r="55" spans="1:8">
      <c r="A55" s="61" t="s">
        <v>308</v>
      </c>
      <c r="B55" s="61"/>
      <c r="C55" s="61"/>
      <c r="D55" s="61"/>
      <c r="E55" s="122">
        <v>15.1</v>
      </c>
      <c r="F55" s="123">
        <v>15</v>
      </c>
      <c r="G55" s="123">
        <v>15.2</v>
      </c>
      <c r="H55" s="123">
        <v>15.1</v>
      </c>
    </row>
    <row r="56" spans="1:8">
      <c r="A56" s="61" t="s">
        <v>309</v>
      </c>
      <c r="B56" s="61"/>
      <c r="C56" s="61"/>
      <c r="D56" s="61"/>
      <c r="E56" s="122">
        <v>15.1</v>
      </c>
      <c r="F56" s="123">
        <v>15.1</v>
      </c>
      <c r="G56" s="123">
        <v>15.1</v>
      </c>
      <c r="H56" s="123">
        <v>15.1</v>
      </c>
    </row>
    <row r="57" spans="1:8">
      <c r="A57" s="61" t="s">
        <v>310</v>
      </c>
      <c r="B57" s="61"/>
      <c r="C57" s="61"/>
      <c r="D57" s="61"/>
      <c r="E57" s="122">
        <v>15.3</v>
      </c>
      <c r="F57" s="123">
        <v>15.3</v>
      </c>
      <c r="G57" s="123">
        <v>15.2</v>
      </c>
      <c r="H57" s="123">
        <v>15.2</v>
      </c>
    </row>
    <row r="58" spans="1:8">
      <c r="A58" s="61" t="s">
        <v>311</v>
      </c>
      <c r="B58" s="61"/>
      <c r="C58" s="61"/>
      <c r="D58" s="61"/>
      <c r="E58" s="122">
        <v>15</v>
      </c>
      <c r="F58" s="123">
        <v>15</v>
      </c>
      <c r="G58" s="123">
        <v>15</v>
      </c>
      <c r="H58" s="123">
        <v>15</v>
      </c>
    </row>
    <row r="59" spans="1:8">
      <c r="A59" s="61" t="s">
        <v>312</v>
      </c>
      <c r="B59" s="61"/>
      <c r="C59" s="61"/>
      <c r="D59" s="61"/>
      <c r="E59" s="122">
        <v>15.2</v>
      </c>
      <c r="F59" s="123">
        <v>15.2</v>
      </c>
      <c r="G59" s="123">
        <v>15.1</v>
      </c>
      <c r="H59" s="123">
        <v>15.2</v>
      </c>
    </row>
    <row r="60" spans="1:8">
      <c r="A60" s="61" t="s">
        <v>312</v>
      </c>
      <c r="B60" s="61"/>
      <c r="C60" s="61"/>
      <c r="D60" s="61"/>
      <c r="E60" s="122">
        <v>15.1</v>
      </c>
      <c r="F60" s="123">
        <v>15.1</v>
      </c>
      <c r="G60" s="123">
        <v>14.9</v>
      </c>
      <c r="H60" s="123">
        <v>15</v>
      </c>
    </row>
    <row r="61" spans="1:8">
      <c r="A61" s="61" t="s">
        <v>313</v>
      </c>
      <c r="B61" s="61"/>
      <c r="C61" s="61"/>
      <c r="D61" s="61"/>
      <c r="E61" s="122">
        <v>15.4</v>
      </c>
      <c r="F61" s="123">
        <v>14.7</v>
      </c>
      <c r="G61" s="123">
        <v>14.2</v>
      </c>
      <c r="H61" s="123">
        <v>14.8</v>
      </c>
    </row>
    <row r="62" spans="1:8">
      <c r="A62" s="61" t="s">
        <v>313</v>
      </c>
      <c r="B62" s="61"/>
      <c r="C62" s="61"/>
      <c r="D62" s="61"/>
      <c r="E62" s="122">
        <v>14.4</v>
      </c>
      <c r="F62" s="123">
        <v>14.4</v>
      </c>
      <c r="G62" s="123">
        <v>14.5</v>
      </c>
      <c r="H62" s="123">
        <v>14.4</v>
      </c>
    </row>
    <row r="63" spans="1:8">
      <c r="A63" s="61" t="s">
        <v>314</v>
      </c>
      <c r="B63" s="61"/>
      <c r="C63" s="61"/>
      <c r="D63" s="61"/>
      <c r="E63" s="122">
        <v>15.1</v>
      </c>
      <c r="F63" s="123">
        <v>15.2</v>
      </c>
      <c r="G63" s="123">
        <v>15.4</v>
      </c>
      <c r="H63" s="123">
        <v>15.2</v>
      </c>
    </row>
    <row r="64" spans="1:8">
      <c r="A64" s="95" t="s">
        <v>324</v>
      </c>
      <c r="B64" s="84"/>
      <c r="C64" s="84"/>
      <c r="D64" s="84"/>
      <c r="E64" s="122">
        <v>14.613919258117676</v>
      </c>
      <c r="F64" s="123">
        <v>14.544337272644043</v>
      </c>
      <c r="G64" s="123">
        <v>14.610519409179688</v>
      </c>
      <c r="H64" s="107">
        <f t="shared" ref="H64:H72" si="5">AVERAGE(E64:G64)</f>
        <v>14.589591979980469</v>
      </c>
    </row>
    <row r="65" spans="1:8">
      <c r="A65" s="95" t="s">
        <v>325</v>
      </c>
      <c r="B65" s="84"/>
      <c r="C65" s="84"/>
      <c r="D65" s="84"/>
      <c r="E65" s="122">
        <v>14.970376014709473</v>
      </c>
      <c r="F65" s="123">
        <v>14.902167320251465</v>
      </c>
      <c r="G65" s="123">
        <v>14.964475631713867</v>
      </c>
      <c r="H65" s="107">
        <f t="shared" si="5"/>
        <v>14.945672988891602</v>
      </c>
    </row>
    <row r="66" spans="1:8">
      <c r="A66" s="95" t="s">
        <v>326</v>
      </c>
      <c r="B66" s="84"/>
      <c r="C66" s="84"/>
      <c r="D66" s="84"/>
      <c r="E66" s="122">
        <v>15.184457778930664</v>
      </c>
      <c r="F66" s="123">
        <v>15.273150444030762</v>
      </c>
      <c r="G66" s="123">
        <v>15.250771522521973</v>
      </c>
      <c r="H66" s="107">
        <f t="shared" si="5"/>
        <v>15.236126581827799</v>
      </c>
    </row>
    <row r="67" spans="1:8">
      <c r="A67" s="95" t="s">
        <v>327</v>
      </c>
      <c r="B67" s="84"/>
      <c r="C67" s="84"/>
      <c r="D67" s="84"/>
      <c r="E67" s="122">
        <v>15.047176361083984</v>
      </c>
      <c r="F67" s="123">
        <v>15.114773750305176</v>
      </c>
      <c r="G67" s="123">
        <v>15.180623054504395</v>
      </c>
      <c r="H67" s="107">
        <f t="shared" si="5"/>
        <v>15.114191055297852</v>
      </c>
    </row>
    <row r="68" spans="1:8">
      <c r="A68" s="95" t="s">
        <v>328</v>
      </c>
      <c r="B68" s="84"/>
      <c r="E68" s="122">
        <v>14.840383529663086</v>
      </c>
      <c r="F68" s="123">
        <v>14.916571617126465</v>
      </c>
      <c r="G68" s="123">
        <v>14.954231262207031</v>
      </c>
      <c r="H68" s="107">
        <f t="shared" si="5"/>
        <v>14.903728802998861</v>
      </c>
    </row>
    <row r="69" spans="1:8">
      <c r="A69" s="95" t="s">
        <v>329</v>
      </c>
      <c r="E69" s="122">
        <v>15.199845314025879</v>
      </c>
      <c r="F69" s="123">
        <v>15.533450126647949</v>
      </c>
      <c r="G69" s="123">
        <v>15.423110961914062</v>
      </c>
      <c r="H69" s="107">
        <f t="shared" si="5"/>
        <v>15.385468800862631</v>
      </c>
    </row>
    <row r="70" spans="1:8">
      <c r="A70" s="95" t="s">
        <v>330</v>
      </c>
      <c r="B70" s="84"/>
      <c r="E70" s="122">
        <v>15.120054244995117</v>
      </c>
      <c r="F70" s="123">
        <v>15.144433975219727</v>
      </c>
      <c r="G70" s="123">
        <v>15.071084976196289</v>
      </c>
      <c r="H70" s="107">
        <f t="shared" si="5"/>
        <v>15.111857732137045</v>
      </c>
    </row>
    <row r="71" spans="1:8">
      <c r="A71" s="95" t="s">
        <v>330</v>
      </c>
      <c r="E71" s="122">
        <v>15.292695999145508</v>
      </c>
      <c r="F71" s="123">
        <v>15.627285957336426</v>
      </c>
      <c r="G71" s="123">
        <v>15.304715156555176</v>
      </c>
      <c r="H71" s="107">
        <f t="shared" si="5"/>
        <v>15.408232371012369</v>
      </c>
    </row>
    <row r="72" spans="1:8">
      <c r="A72" s="95" t="s">
        <v>331</v>
      </c>
      <c r="E72" s="122">
        <v>15.044212341308594</v>
      </c>
      <c r="F72" s="123">
        <v>15.046442985534668</v>
      </c>
      <c r="G72" s="123">
        <v>15.083253860473633</v>
      </c>
      <c r="H72" s="107">
        <f t="shared" si="5"/>
        <v>15.057969729105631</v>
      </c>
    </row>
    <row r="73" spans="1:8">
      <c r="A73" s="61"/>
      <c r="B73" s="61"/>
      <c r="C73" s="61"/>
      <c r="D73" s="61"/>
      <c r="E73" s="125"/>
      <c r="F73" s="125"/>
      <c r="G73" s="125"/>
      <c r="H73" s="125"/>
    </row>
    <row r="74" spans="1:8">
      <c r="A74" s="61"/>
      <c r="B74" s="61"/>
      <c r="C74" s="61"/>
      <c r="D74" s="61"/>
      <c r="E74" s="61"/>
      <c r="F74" s="61"/>
      <c r="G74" s="61"/>
      <c r="H74" s="61"/>
    </row>
    <row r="75" spans="1:8">
      <c r="A75" s="61"/>
      <c r="B75" s="61"/>
      <c r="C75" s="61"/>
      <c r="D75" s="61"/>
      <c r="E75" s="61"/>
      <c r="F75" s="61"/>
      <c r="G75" s="61" t="s">
        <v>255</v>
      </c>
      <c r="H75" s="124">
        <f>AVERAGE(H27:H72)</f>
        <v>14.788105218306832</v>
      </c>
    </row>
  </sheetData>
  <mergeCells count="20">
    <mergeCell ref="A2:A3"/>
    <mergeCell ref="B2:B3"/>
    <mergeCell ref="C2:C3"/>
    <mergeCell ref="D2:D3"/>
    <mergeCell ref="E2:E3"/>
    <mergeCell ref="E26:H26"/>
    <mergeCell ref="S2:S3"/>
    <mergeCell ref="M2:M3"/>
    <mergeCell ref="N2:N3"/>
    <mergeCell ref="O2:O3"/>
    <mergeCell ref="P2:P3"/>
    <mergeCell ref="Q2:Q3"/>
    <mergeCell ref="R2:R3"/>
    <mergeCell ref="L2:L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>
      <selection activeCell="O2" sqref="O2:Q21"/>
    </sheetView>
  </sheetViews>
  <sheetFormatPr baseColWidth="10" defaultRowHeight="14" x14ac:dyDescent="0"/>
  <cols>
    <col min="15" max="15" width="11.5" bestFit="1" customWidth="1"/>
  </cols>
  <sheetData>
    <row r="1" spans="1:26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>
      <c r="A2" s="121" t="s">
        <v>266</v>
      </c>
      <c r="B2" s="61"/>
      <c r="C2" s="61"/>
      <c r="D2" s="61"/>
      <c r="E2" s="61"/>
      <c r="F2" s="61"/>
      <c r="G2" s="61"/>
      <c r="H2" s="121" t="s">
        <v>228</v>
      </c>
      <c r="I2" s="61"/>
      <c r="J2" s="61"/>
      <c r="K2" s="61"/>
      <c r="L2" s="61"/>
      <c r="M2" s="61"/>
      <c r="N2" s="61"/>
      <c r="O2" s="121" t="s">
        <v>297</v>
      </c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>
      <c r="A3" s="150" t="s">
        <v>4</v>
      </c>
      <c r="B3" s="150" t="s">
        <v>117</v>
      </c>
      <c r="C3" s="150" t="s">
        <v>117</v>
      </c>
      <c r="D3" s="150" t="s">
        <v>5</v>
      </c>
      <c r="E3" s="150" t="s">
        <v>242</v>
      </c>
      <c r="F3" s="150" t="s">
        <v>243</v>
      </c>
      <c r="G3" s="61"/>
      <c r="H3" s="150" t="s">
        <v>4</v>
      </c>
      <c r="I3" s="150" t="s">
        <v>117</v>
      </c>
      <c r="J3" s="150" t="s">
        <v>117</v>
      </c>
      <c r="K3" s="150" t="s">
        <v>5</v>
      </c>
      <c r="L3" s="150" t="s">
        <v>242</v>
      </c>
      <c r="M3" s="150" t="s">
        <v>243</v>
      </c>
      <c r="N3" s="61"/>
      <c r="O3" s="150" t="s">
        <v>242</v>
      </c>
      <c r="P3" s="150" t="s">
        <v>242</v>
      </c>
      <c r="Q3" s="150" t="s">
        <v>243</v>
      </c>
      <c r="R3" s="61"/>
      <c r="S3" s="61"/>
      <c r="T3" s="61"/>
      <c r="U3" s="61"/>
      <c r="V3" s="61"/>
      <c r="W3" s="61"/>
      <c r="X3" s="61"/>
      <c r="Y3" s="61"/>
      <c r="Z3" s="61"/>
    </row>
    <row r="4" spans="1:26">
      <c r="A4" s="151"/>
      <c r="B4" s="151"/>
      <c r="C4" s="151"/>
      <c r="D4" s="151"/>
      <c r="E4" s="151"/>
      <c r="F4" s="151"/>
      <c r="G4" s="61"/>
      <c r="H4" s="151"/>
      <c r="I4" s="151"/>
      <c r="J4" s="151"/>
      <c r="K4" s="151"/>
      <c r="L4" s="151"/>
      <c r="M4" s="151"/>
      <c r="N4" s="61"/>
      <c r="O4" s="151"/>
      <c r="P4" s="151"/>
      <c r="Q4" s="151"/>
      <c r="R4" s="61"/>
      <c r="S4" s="61"/>
      <c r="T4" s="61"/>
      <c r="U4" s="61"/>
      <c r="V4" s="61"/>
      <c r="W4" s="61"/>
      <c r="X4" s="61"/>
      <c r="Y4" s="61"/>
      <c r="Z4" s="61"/>
    </row>
    <row r="5" spans="1:26">
      <c r="A5" s="40">
        <v>0</v>
      </c>
      <c r="B5" s="32">
        <v>10</v>
      </c>
      <c r="C5" s="32">
        <f>B5</f>
        <v>10</v>
      </c>
      <c r="D5" s="13">
        <f t="shared" ref="D5:D21" si="0">C5/60</f>
        <v>0.16666666666666666</v>
      </c>
      <c r="E5" s="118">
        <f>'Determination cell counts RI'!R4</f>
        <v>8.0766176133046841</v>
      </c>
      <c r="F5" s="118">
        <f>'Determination cell counts RI'!S4</f>
        <v>0.26266866804945338</v>
      </c>
      <c r="G5" s="61"/>
      <c r="H5" s="40">
        <v>0</v>
      </c>
      <c r="I5" s="32">
        <v>10</v>
      </c>
      <c r="J5" s="32">
        <f>I5</f>
        <v>10</v>
      </c>
      <c r="K5" s="13">
        <f t="shared" ref="K5:K21" si="1">J5/60</f>
        <v>0.16666666666666666</v>
      </c>
      <c r="L5" s="118">
        <f>'Determination cell count F. p'!R4</f>
        <v>6.8495678435597247</v>
      </c>
      <c r="M5" s="118">
        <f>'Determination cell count F. p'!S4</f>
        <v>0.29709214193916289</v>
      </c>
      <c r="N5" s="61"/>
      <c r="O5" s="62">
        <f>POWER(10,E5)+POWER(10,L5)</f>
        <v>126366145.44201492</v>
      </c>
      <c r="P5" s="120">
        <f>LOG(O5)</f>
        <v>8.1016307383684154</v>
      </c>
      <c r="Q5" s="120">
        <f>F5+M5</f>
        <v>0.55976080998861621</v>
      </c>
      <c r="R5" s="61"/>
      <c r="S5" s="61"/>
      <c r="T5" s="61"/>
      <c r="U5" s="61"/>
      <c r="V5" s="61"/>
      <c r="W5" s="61"/>
      <c r="X5" s="61"/>
      <c r="Y5" s="61"/>
      <c r="Z5" s="61"/>
    </row>
    <row r="6" spans="1:26">
      <c r="A6" s="40">
        <v>1</v>
      </c>
      <c r="B6" s="32">
        <v>110</v>
      </c>
      <c r="C6" s="32">
        <f>C5+B6</f>
        <v>120</v>
      </c>
      <c r="D6" s="13">
        <f t="shared" si="0"/>
        <v>2</v>
      </c>
      <c r="E6" s="118">
        <f>'Determination cell counts RI'!R5</f>
        <v>8.5674055476563655</v>
      </c>
      <c r="F6" s="118">
        <f>'Determination cell counts RI'!S5</f>
        <v>4.4516382055931739E-2</v>
      </c>
      <c r="G6" s="61"/>
      <c r="H6" s="40">
        <v>1</v>
      </c>
      <c r="I6" s="32">
        <v>110</v>
      </c>
      <c r="J6" s="32">
        <f>J5+I6</f>
        <v>120</v>
      </c>
      <c r="K6" s="13">
        <f t="shared" si="1"/>
        <v>2</v>
      </c>
      <c r="L6" s="118">
        <f>'Determination cell count F. p'!R5</f>
        <v>7.3452714390552716</v>
      </c>
      <c r="M6" s="118">
        <f>'Determination cell count F. p'!S5</f>
        <v>3.5784060979811509E-2</v>
      </c>
      <c r="N6" s="61"/>
      <c r="O6" s="62">
        <f t="shared" ref="O6:O21" si="2">POWER(10,E6)+POWER(10,L6)</f>
        <v>391467097.2394408</v>
      </c>
      <c r="P6" s="120">
        <f t="shared" ref="P6:P21" si="3">LOG(O6)</f>
        <v>8.5926952655310043</v>
      </c>
      <c r="Q6" s="120">
        <f t="shared" ref="Q6:Q21" si="4">F6+M6</f>
        <v>8.0300443035743241E-2</v>
      </c>
      <c r="R6" s="61"/>
      <c r="S6" s="61"/>
      <c r="T6" s="61"/>
      <c r="U6" s="61"/>
      <c r="V6" s="61"/>
      <c r="W6" s="61"/>
      <c r="X6" s="61"/>
      <c r="Y6" s="61"/>
      <c r="Z6" s="61"/>
    </row>
    <row r="7" spans="1:26">
      <c r="A7" s="40">
        <v>2</v>
      </c>
      <c r="B7" s="32">
        <v>80</v>
      </c>
      <c r="C7" s="32">
        <f>C6+B7</f>
        <v>200</v>
      </c>
      <c r="D7" s="13">
        <f t="shared" si="0"/>
        <v>3.3333333333333335</v>
      </c>
      <c r="E7" s="118">
        <f>'Determination cell counts RI'!R6</f>
        <v>8.6586897828220319</v>
      </c>
      <c r="F7" s="118">
        <f>'Determination cell counts RI'!S6</f>
        <v>5.0227906725778398E-2</v>
      </c>
      <c r="G7" s="61"/>
      <c r="H7" s="40">
        <v>2</v>
      </c>
      <c r="I7" s="32">
        <v>80</v>
      </c>
      <c r="J7" s="32">
        <f>J6+I7</f>
        <v>200</v>
      </c>
      <c r="K7" s="13">
        <f t="shared" si="1"/>
        <v>3.3333333333333335</v>
      </c>
      <c r="L7" s="118">
        <f>'Determination cell count F. p'!R6</f>
        <v>7.7273098005329377</v>
      </c>
      <c r="M7" s="118">
        <f>'Determination cell count F. p'!S6</f>
        <v>8.5432447654076427E-2</v>
      </c>
      <c r="N7" s="61"/>
      <c r="O7" s="62">
        <f t="shared" si="2"/>
        <v>509082832.57894129</v>
      </c>
      <c r="P7" s="120">
        <f t="shared" si="3"/>
        <v>8.7067884518950382</v>
      </c>
      <c r="Q7" s="120">
        <f t="shared" si="4"/>
        <v>0.13566035437985483</v>
      </c>
      <c r="R7" s="61"/>
      <c r="S7" s="61"/>
      <c r="T7" s="61"/>
      <c r="U7" s="61"/>
      <c r="V7" s="61"/>
      <c r="W7" s="61"/>
      <c r="X7" s="61"/>
      <c r="Y7" s="61"/>
      <c r="Z7" s="61"/>
    </row>
    <row r="8" spans="1:26">
      <c r="A8" s="40">
        <v>3</v>
      </c>
      <c r="B8" s="32">
        <v>80</v>
      </c>
      <c r="C8" s="32">
        <f>C7+B8</f>
        <v>280</v>
      </c>
      <c r="D8" s="13">
        <f t="shared" si="0"/>
        <v>4.666666666666667</v>
      </c>
      <c r="E8" s="118">
        <f>'Determination cell counts RI'!R7</f>
        <v>8.892121671361954</v>
      </c>
      <c r="F8" s="118">
        <f>'Determination cell counts RI'!S7</f>
        <v>6.862719849118383E-2</v>
      </c>
      <c r="G8" s="61"/>
      <c r="H8" s="40">
        <v>3</v>
      </c>
      <c r="I8" s="32">
        <v>80</v>
      </c>
      <c r="J8" s="32">
        <f>J7+I8</f>
        <v>280</v>
      </c>
      <c r="K8" s="13">
        <f t="shared" si="1"/>
        <v>4.666666666666667</v>
      </c>
      <c r="L8" s="118">
        <f>'Determination cell count F. p'!R7</f>
        <v>8.0120280182073653</v>
      </c>
      <c r="M8" s="118">
        <f>'Determination cell count F. p'!S7</f>
        <v>4.8615816226569013E-2</v>
      </c>
      <c r="N8" s="61"/>
      <c r="O8" s="62">
        <f t="shared" si="2"/>
        <v>882856879.49469447</v>
      </c>
      <c r="P8" s="120">
        <f t="shared" si="3"/>
        <v>8.9458903055214645</v>
      </c>
      <c r="Q8" s="120">
        <f t="shared" si="4"/>
        <v>0.11724301471775284</v>
      </c>
      <c r="R8" s="61"/>
      <c r="S8" s="61"/>
      <c r="T8" s="61"/>
      <c r="U8" s="61"/>
      <c r="V8" s="61"/>
      <c r="W8" s="61"/>
      <c r="X8" s="61"/>
      <c r="Y8" s="61"/>
      <c r="Z8" s="61"/>
    </row>
    <row r="9" spans="1:26">
      <c r="A9" s="40">
        <v>4</v>
      </c>
      <c r="B9" s="32">
        <v>80</v>
      </c>
      <c r="C9" s="32">
        <f t="shared" ref="C9:C19" si="5">C8+B9</f>
        <v>360</v>
      </c>
      <c r="D9" s="13">
        <f t="shared" si="0"/>
        <v>6</v>
      </c>
      <c r="E9" s="118">
        <f>'Determination cell counts RI'!R8</f>
        <v>9.2876348101320811</v>
      </c>
      <c r="F9" s="118">
        <f>'Determination cell counts RI'!S8</f>
        <v>2.5157055401183962E-2</v>
      </c>
      <c r="G9" s="61"/>
      <c r="H9" s="40">
        <v>4</v>
      </c>
      <c r="I9" s="32">
        <v>80</v>
      </c>
      <c r="J9" s="32">
        <f t="shared" ref="J9:J19" si="6">J8+I9</f>
        <v>360</v>
      </c>
      <c r="K9" s="13">
        <f t="shared" si="1"/>
        <v>6</v>
      </c>
      <c r="L9" s="118">
        <f>'Determination cell count F. p'!R8</f>
        <v>8.4962721541518533</v>
      </c>
      <c r="M9" s="118">
        <f>'Determination cell count F. p'!S8</f>
        <v>6.1516996749811294E-2</v>
      </c>
      <c r="N9" s="61"/>
      <c r="O9" s="62">
        <f t="shared" si="2"/>
        <v>2252779493.8693161</v>
      </c>
      <c r="P9" s="120">
        <f t="shared" si="3"/>
        <v>9.3527186842749028</v>
      </c>
      <c r="Q9" s="120">
        <f t="shared" si="4"/>
        <v>8.6674052150995259E-2</v>
      </c>
      <c r="R9" s="61"/>
      <c r="S9" s="61"/>
      <c r="T9" s="61"/>
      <c r="U9" s="61"/>
      <c r="V9" s="61"/>
      <c r="W9" s="61"/>
      <c r="X9" s="61"/>
      <c r="Y9" s="61"/>
      <c r="Z9" s="61"/>
    </row>
    <row r="10" spans="1:26">
      <c r="A10" s="40">
        <v>5</v>
      </c>
      <c r="B10" s="32">
        <v>80</v>
      </c>
      <c r="C10" s="32">
        <f t="shared" si="5"/>
        <v>440</v>
      </c>
      <c r="D10" s="13">
        <f t="shared" si="0"/>
        <v>7.333333333333333</v>
      </c>
      <c r="E10" s="118">
        <f>'Determination cell counts RI'!R9</f>
        <v>9.3931277413563059</v>
      </c>
      <c r="F10" s="118">
        <f>'Determination cell counts RI'!S9</f>
        <v>4.1624793037927127E-2</v>
      </c>
      <c r="G10" s="61"/>
      <c r="H10" s="40">
        <v>5</v>
      </c>
      <c r="I10" s="32">
        <v>80</v>
      </c>
      <c r="J10" s="32">
        <f t="shared" si="6"/>
        <v>440</v>
      </c>
      <c r="K10" s="13">
        <f t="shared" si="1"/>
        <v>7.333333333333333</v>
      </c>
      <c r="L10" s="118">
        <f>'Determination cell count F. p'!R9</f>
        <v>8.5891237124044846</v>
      </c>
      <c r="M10" s="118">
        <f>'Determination cell count F. p'!S9</f>
        <v>1.4590250457031089E-2</v>
      </c>
      <c r="N10" s="61"/>
      <c r="O10" s="62">
        <f t="shared" si="2"/>
        <v>2860712222.9851699</v>
      </c>
      <c r="P10" s="120">
        <f t="shared" si="3"/>
        <v>9.4564741715921876</v>
      </c>
      <c r="Q10" s="120">
        <f t="shared" si="4"/>
        <v>5.621504349495822E-2</v>
      </c>
      <c r="R10" s="61"/>
      <c r="S10" s="61"/>
      <c r="T10" s="61"/>
      <c r="U10" s="61"/>
      <c r="V10" s="61"/>
      <c r="W10" s="61"/>
      <c r="X10" s="61"/>
      <c r="Y10" s="61"/>
      <c r="Z10" s="61"/>
    </row>
    <row r="11" spans="1:26">
      <c r="A11" s="40">
        <v>6</v>
      </c>
      <c r="B11" s="32">
        <v>80</v>
      </c>
      <c r="C11" s="32">
        <f t="shared" si="5"/>
        <v>520</v>
      </c>
      <c r="D11" s="13">
        <f t="shared" si="0"/>
        <v>8.6666666666666661</v>
      </c>
      <c r="E11" s="118">
        <f>'Determination cell counts RI'!R10</f>
        <v>9.3670338530647239</v>
      </c>
      <c r="F11" s="118">
        <f>'Determination cell counts RI'!S10</f>
        <v>5.7903406800594907E-2</v>
      </c>
      <c r="G11" s="61"/>
      <c r="H11" s="40">
        <v>6</v>
      </c>
      <c r="I11" s="32">
        <v>80</v>
      </c>
      <c r="J11" s="32">
        <f t="shared" si="6"/>
        <v>520</v>
      </c>
      <c r="K11" s="13">
        <f t="shared" si="1"/>
        <v>8.6666666666666661</v>
      </c>
      <c r="L11" s="118">
        <f>'Determination cell count F. p'!R10</f>
        <v>8.5338813150025778</v>
      </c>
      <c r="M11" s="118">
        <f>'Determination cell count F. p'!S10</f>
        <v>5.4773025343050466E-2</v>
      </c>
      <c r="N11" s="61"/>
      <c r="O11" s="62">
        <f t="shared" si="2"/>
        <v>2670158736.7843699</v>
      </c>
      <c r="P11" s="120">
        <f t="shared" si="3"/>
        <v>9.4265370802635804</v>
      </c>
      <c r="Q11" s="120">
        <f t="shared" si="4"/>
        <v>0.11267643214364537</v>
      </c>
      <c r="R11" s="61"/>
      <c r="S11" s="61"/>
      <c r="T11" s="61"/>
      <c r="U11" s="61"/>
      <c r="V11" s="61"/>
      <c r="W11" s="61"/>
      <c r="X11" s="61"/>
      <c r="Y11" s="61"/>
      <c r="Z11" s="61"/>
    </row>
    <row r="12" spans="1:26">
      <c r="A12" s="40">
        <v>7</v>
      </c>
      <c r="B12" s="32">
        <v>80</v>
      </c>
      <c r="C12" s="32">
        <f t="shared" si="5"/>
        <v>600</v>
      </c>
      <c r="D12" s="13">
        <f t="shared" si="0"/>
        <v>10</v>
      </c>
      <c r="E12" s="118">
        <f>'Determination cell counts RI'!R11</f>
        <v>9.5594356390214905</v>
      </c>
      <c r="F12" s="118">
        <f>'Determination cell counts RI'!S11</f>
        <v>9.1258970421198484E-3</v>
      </c>
      <c r="G12" s="61"/>
      <c r="H12" s="40">
        <v>7</v>
      </c>
      <c r="I12" s="32">
        <v>80</v>
      </c>
      <c r="J12" s="32">
        <f t="shared" si="6"/>
        <v>600</v>
      </c>
      <c r="K12" s="13">
        <f t="shared" si="1"/>
        <v>10</v>
      </c>
      <c r="L12" s="118">
        <f>'Determination cell count F. p'!R11</f>
        <v>8.697842728041854</v>
      </c>
      <c r="M12" s="118">
        <f>'Determination cell count F. p'!S11</f>
        <v>1.5351200227940315E-2</v>
      </c>
      <c r="N12" s="61"/>
      <c r="O12" s="62">
        <f t="shared" si="2"/>
        <v>4124769310.0471539</v>
      </c>
      <c r="P12" s="120">
        <f t="shared" si="3"/>
        <v>9.6153996643586375</v>
      </c>
      <c r="Q12" s="120">
        <f t="shared" si="4"/>
        <v>2.4477097270060165E-2</v>
      </c>
      <c r="R12" s="61"/>
      <c r="S12" s="61"/>
      <c r="T12" s="61"/>
      <c r="U12" s="61"/>
      <c r="V12" s="61"/>
      <c r="W12" s="61"/>
      <c r="X12" s="61"/>
      <c r="Y12" s="61"/>
      <c r="Z12" s="61"/>
    </row>
    <row r="13" spans="1:26">
      <c r="A13" s="40">
        <v>8</v>
      </c>
      <c r="B13" s="32">
        <v>80</v>
      </c>
      <c r="C13" s="32">
        <f t="shared" si="5"/>
        <v>680</v>
      </c>
      <c r="D13" s="13">
        <f t="shared" si="0"/>
        <v>11.333333333333334</v>
      </c>
      <c r="E13" s="118">
        <f>'Determination cell counts RI'!R12</f>
        <v>9.6688139524508969</v>
      </c>
      <c r="F13" s="118">
        <f>'Determination cell counts RI'!S12</f>
        <v>4.0091389881318967E-2</v>
      </c>
      <c r="G13" s="61"/>
      <c r="H13" s="40">
        <v>8</v>
      </c>
      <c r="I13" s="32">
        <v>80</v>
      </c>
      <c r="J13" s="32">
        <f t="shared" si="6"/>
        <v>680</v>
      </c>
      <c r="K13" s="13">
        <f t="shared" si="1"/>
        <v>11.333333333333334</v>
      </c>
      <c r="L13" s="118">
        <f>'Determination cell count F. p'!R12</f>
        <v>8.7020231118007025</v>
      </c>
      <c r="M13" s="118">
        <f>'Determination cell count F. p'!S12</f>
        <v>2.5400723528397118E-2</v>
      </c>
      <c r="N13" s="61"/>
      <c r="O13" s="62">
        <f t="shared" si="2"/>
        <v>5168122511.9399338</v>
      </c>
      <c r="P13" s="120">
        <f t="shared" si="3"/>
        <v>9.7133328001938466</v>
      </c>
      <c r="Q13" s="120">
        <f t="shared" si="4"/>
        <v>6.5492113409716085E-2</v>
      </c>
      <c r="R13" s="61"/>
      <c r="S13" s="61"/>
      <c r="T13" s="61"/>
      <c r="U13" s="61"/>
      <c r="V13" s="61"/>
      <c r="W13" s="61"/>
      <c r="X13" s="61"/>
      <c r="Y13" s="61"/>
      <c r="Z13" s="61"/>
    </row>
    <row r="14" spans="1:26">
      <c r="A14" s="40">
        <v>9</v>
      </c>
      <c r="B14" s="32">
        <v>80</v>
      </c>
      <c r="C14" s="32">
        <f t="shared" si="5"/>
        <v>760</v>
      </c>
      <c r="D14" s="13">
        <f t="shared" si="0"/>
        <v>12.666666666666666</v>
      </c>
      <c r="E14" s="118">
        <f>'Determination cell counts RI'!R13</f>
        <v>9.7414340320282662</v>
      </c>
      <c r="F14" s="118">
        <f>'Determination cell counts RI'!S13</f>
        <v>1.793824097949491E-2</v>
      </c>
      <c r="G14" s="61"/>
      <c r="H14" s="40">
        <v>9</v>
      </c>
      <c r="I14" s="32">
        <v>80</v>
      </c>
      <c r="J14" s="32">
        <f t="shared" si="6"/>
        <v>760</v>
      </c>
      <c r="K14" s="13">
        <f t="shared" si="1"/>
        <v>12.666666666666666</v>
      </c>
      <c r="L14" s="118">
        <f>'Determination cell count F. p'!R13</f>
        <v>8.7597387783756098</v>
      </c>
      <c r="M14" s="118">
        <f>'Determination cell count F. p'!S13</f>
        <v>4.3594381293697609E-2</v>
      </c>
      <c r="N14" s="61"/>
      <c r="O14" s="62">
        <f t="shared" si="2"/>
        <v>6088678386.9019632</v>
      </c>
      <c r="P14" s="120">
        <f t="shared" si="3"/>
        <v>9.7845230345763436</v>
      </c>
      <c r="Q14" s="120">
        <f t="shared" si="4"/>
        <v>6.1532622273192519E-2</v>
      </c>
      <c r="R14" s="61"/>
      <c r="S14" s="61"/>
      <c r="T14" s="61"/>
      <c r="U14" s="61"/>
      <c r="V14" s="61"/>
      <c r="W14" s="61"/>
      <c r="X14" s="61"/>
      <c r="Y14" s="61"/>
      <c r="Z14" s="61"/>
    </row>
    <row r="15" spans="1:26">
      <c r="A15" s="40">
        <v>10</v>
      </c>
      <c r="B15" s="32">
        <v>80</v>
      </c>
      <c r="C15" s="32">
        <f t="shared" si="5"/>
        <v>840</v>
      </c>
      <c r="D15" s="13">
        <f t="shared" si="0"/>
        <v>14</v>
      </c>
      <c r="E15" s="118">
        <f>'Determination cell counts RI'!R14</f>
        <v>9.7933516514314203</v>
      </c>
      <c r="F15" s="118">
        <f>'Determination cell counts RI'!S14</f>
        <v>2.7098381598703449E-2</v>
      </c>
      <c r="G15" s="61"/>
      <c r="H15" s="40">
        <v>10</v>
      </c>
      <c r="I15" s="32">
        <v>80</v>
      </c>
      <c r="J15" s="32">
        <f t="shared" si="6"/>
        <v>840</v>
      </c>
      <c r="K15" s="13">
        <f t="shared" si="1"/>
        <v>14</v>
      </c>
      <c r="L15" s="118">
        <f>'Determination cell count F. p'!R14</f>
        <v>8.7186685182092223</v>
      </c>
      <c r="M15" s="118">
        <f>'Determination cell count F. p'!S14</f>
        <v>9.0879422765322723E-2</v>
      </c>
      <c r="N15" s="61"/>
      <c r="O15" s="62">
        <f t="shared" si="2"/>
        <v>6736920543.4675798</v>
      </c>
      <c r="P15" s="120">
        <f t="shared" si="3"/>
        <v>9.8284614252305058</v>
      </c>
      <c r="Q15" s="120">
        <f t="shared" si="4"/>
        <v>0.11797780436402618</v>
      </c>
      <c r="R15" s="61"/>
      <c r="S15" s="61"/>
      <c r="T15" s="61"/>
      <c r="U15" s="61"/>
      <c r="V15" s="61"/>
      <c r="W15" s="61"/>
      <c r="X15" s="61"/>
      <c r="Y15" s="61"/>
      <c r="Z15" s="61"/>
    </row>
    <row r="16" spans="1:26">
      <c r="A16" s="40">
        <v>11</v>
      </c>
      <c r="B16" s="32">
        <v>80</v>
      </c>
      <c r="C16" s="32">
        <f t="shared" si="5"/>
        <v>920</v>
      </c>
      <c r="D16" s="13">
        <f t="shared" si="0"/>
        <v>15.333333333333334</v>
      </c>
      <c r="E16" s="118">
        <f>'Determination cell counts RI'!R15</f>
        <v>9.903855735130545</v>
      </c>
      <c r="F16" s="118">
        <f>'Determination cell counts RI'!S15</f>
        <v>8.5764654892945286E-3</v>
      </c>
      <c r="G16" s="61"/>
      <c r="H16" s="40">
        <v>11</v>
      </c>
      <c r="I16" s="32">
        <v>80</v>
      </c>
      <c r="J16" s="32">
        <f t="shared" si="6"/>
        <v>920</v>
      </c>
      <c r="K16" s="13">
        <f t="shared" si="1"/>
        <v>15.333333333333334</v>
      </c>
      <c r="L16" s="118">
        <f>'Determination cell count F. p'!R15</f>
        <v>8.8027778707453503</v>
      </c>
      <c r="M16" s="118">
        <f>'Determination cell count F. p'!S15</f>
        <v>7.8718482505235679E-2</v>
      </c>
      <c r="N16" s="61"/>
      <c r="O16" s="62">
        <f t="shared" si="2"/>
        <v>8649124106.0723972</v>
      </c>
      <c r="P16" s="120">
        <f t="shared" si="3"/>
        <v>9.9369721288335864</v>
      </c>
      <c r="Q16" s="120">
        <f t="shared" si="4"/>
        <v>8.7294947994530206E-2</v>
      </c>
      <c r="R16" s="61"/>
      <c r="S16" s="61"/>
      <c r="T16" s="61"/>
      <c r="U16" s="61"/>
      <c r="V16" s="61"/>
      <c r="W16" s="61"/>
      <c r="X16" s="61"/>
      <c r="Y16" s="61"/>
      <c r="Z16" s="61"/>
    </row>
    <row r="17" spans="1:26">
      <c r="A17" s="40">
        <v>12</v>
      </c>
      <c r="B17" s="32">
        <v>80</v>
      </c>
      <c r="C17" s="32">
        <f t="shared" si="5"/>
        <v>1000</v>
      </c>
      <c r="D17" s="13">
        <f t="shared" si="0"/>
        <v>16.666666666666668</v>
      </c>
      <c r="E17" s="118">
        <f>'Determination cell counts RI'!R16</f>
        <v>9.9519459750011148</v>
      </c>
      <c r="F17" s="118">
        <f>'Determination cell counts RI'!S16</f>
        <v>4.7681020677269759E-2</v>
      </c>
      <c r="G17" s="61"/>
      <c r="H17" s="40">
        <v>12</v>
      </c>
      <c r="I17" s="32">
        <v>80</v>
      </c>
      <c r="J17" s="32">
        <f t="shared" si="6"/>
        <v>1000</v>
      </c>
      <c r="K17" s="13">
        <f t="shared" si="1"/>
        <v>16.666666666666668</v>
      </c>
      <c r="L17" s="118">
        <f>'Determination cell count F. p'!R16</f>
        <v>8.8429700845505845</v>
      </c>
      <c r="M17" s="118">
        <f>'Determination cell count F. p'!S16</f>
        <v>4.3504785759545188E-2</v>
      </c>
      <c r="N17" s="61"/>
      <c r="O17" s="62">
        <f t="shared" si="2"/>
        <v>9649112446.5878029</v>
      </c>
      <c r="P17" s="120">
        <f t="shared" si="3"/>
        <v>9.9844873675120187</v>
      </c>
      <c r="Q17" s="120">
        <f t="shared" si="4"/>
        <v>9.1185806436814953E-2</v>
      </c>
      <c r="R17" s="61"/>
      <c r="S17" s="61"/>
      <c r="T17" s="61"/>
      <c r="U17" s="61"/>
      <c r="V17" s="61"/>
      <c r="W17" s="61"/>
      <c r="X17" s="61"/>
      <c r="Y17" s="61"/>
      <c r="Z17" s="61"/>
    </row>
    <row r="18" spans="1:26">
      <c r="A18" s="40">
        <v>13</v>
      </c>
      <c r="B18" s="32">
        <v>80</v>
      </c>
      <c r="C18" s="32">
        <f t="shared" si="5"/>
        <v>1080</v>
      </c>
      <c r="D18" s="13">
        <f t="shared" si="0"/>
        <v>18</v>
      </c>
      <c r="E18" s="118">
        <f>'Determination cell counts RI'!R17</f>
        <v>10.030948868998657</v>
      </c>
      <c r="F18" s="118">
        <f>'Determination cell counts RI'!S17</f>
        <v>2.2624466358724962E-2</v>
      </c>
      <c r="G18" s="61"/>
      <c r="H18" s="40">
        <v>13</v>
      </c>
      <c r="I18" s="32">
        <v>80</v>
      </c>
      <c r="J18" s="32">
        <f t="shared" si="6"/>
        <v>1080</v>
      </c>
      <c r="K18" s="13">
        <f t="shared" si="1"/>
        <v>18</v>
      </c>
      <c r="L18" s="118">
        <f>'Determination cell count F. p'!R17</f>
        <v>8.8329322492909288</v>
      </c>
      <c r="M18" s="118">
        <f>'Determination cell count F. p'!S17</f>
        <v>2.7180539477342315E-2</v>
      </c>
      <c r="N18" s="61"/>
      <c r="O18" s="62">
        <f t="shared" si="2"/>
        <v>11419292918.467724</v>
      </c>
      <c r="P18" s="120">
        <f t="shared" si="3"/>
        <v>10.057639213269308</v>
      </c>
      <c r="Q18" s="120">
        <f t="shared" si="4"/>
        <v>4.9805005836067277E-2</v>
      </c>
      <c r="R18" s="61"/>
      <c r="S18" s="61"/>
      <c r="T18" s="61"/>
      <c r="U18" s="61"/>
      <c r="V18" s="61"/>
      <c r="W18" s="61"/>
      <c r="X18" s="61"/>
      <c r="Y18" s="61"/>
      <c r="Z18" s="61"/>
    </row>
    <row r="19" spans="1:26">
      <c r="A19" s="40">
        <v>14</v>
      </c>
      <c r="B19" s="32">
        <v>360</v>
      </c>
      <c r="C19" s="32">
        <f t="shared" si="5"/>
        <v>1440</v>
      </c>
      <c r="D19" s="13">
        <f t="shared" si="0"/>
        <v>24</v>
      </c>
      <c r="E19" s="118">
        <f>'Determination cell counts RI'!R18</f>
        <v>9.7240317580221376</v>
      </c>
      <c r="F19" s="118">
        <f>'Determination cell counts RI'!S18</f>
        <v>2.4997337213074025E-2</v>
      </c>
      <c r="G19" s="61"/>
      <c r="H19" s="40">
        <v>14</v>
      </c>
      <c r="I19" s="32">
        <v>360</v>
      </c>
      <c r="J19" s="32">
        <f t="shared" si="6"/>
        <v>1440</v>
      </c>
      <c r="K19" s="13">
        <f t="shared" si="1"/>
        <v>24</v>
      </c>
      <c r="L19" s="118">
        <f>'Determination cell count F. p'!R18</f>
        <v>8.6580277255806593</v>
      </c>
      <c r="M19" s="118">
        <f>'Determination cell count F. p'!S18</f>
        <v>5.7958593672536571E-2</v>
      </c>
      <c r="N19" s="61"/>
      <c r="O19" s="62">
        <f t="shared" si="2"/>
        <v>5752038880.1226692</v>
      </c>
      <c r="P19" s="120">
        <f t="shared" si="3"/>
        <v>9.7598218129390926</v>
      </c>
      <c r="Q19" s="120">
        <f t="shared" si="4"/>
        <v>8.2955930885610596E-2</v>
      </c>
      <c r="R19" s="61"/>
      <c r="S19" s="61"/>
      <c r="T19" s="61"/>
      <c r="U19" s="61"/>
      <c r="V19" s="61"/>
      <c r="W19" s="61"/>
      <c r="X19" s="61"/>
      <c r="Y19" s="61"/>
      <c r="Z19" s="61"/>
    </row>
    <row r="20" spans="1:26">
      <c r="A20" s="40">
        <v>15</v>
      </c>
      <c r="B20" s="32">
        <v>360</v>
      </c>
      <c r="C20" s="32">
        <f>C19+B20</f>
        <v>1800</v>
      </c>
      <c r="D20" s="13">
        <f t="shared" si="0"/>
        <v>30</v>
      </c>
      <c r="E20" s="118">
        <f>'Determination cell counts RI'!R19</f>
        <v>9.8144879770710496</v>
      </c>
      <c r="F20" s="118">
        <f>'Determination cell counts RI'!S19</f>
        <v>2.012211139870386E-2</v>
      </c>
      <c r="G20" s="61"/>
      <c r="H20" s="40">
        <v>15</v>
      </c>
      <c r="I20" s="32">
        <v>360</v>
      </c>
      <c r="J20" s="32">
        <f>J19+I20</f>
        <v>1800</v>
      </c>
      <c r="K20" s="13">
        <f t="shared" si="1"/>
        <v>30</v>
      </c>
      <c r="L20" s="118">
        <f>'Determination cell count F. p'!R19</f>
        <v>8.4370268189017725</v>
      </c>
      <c r="M20" s="118">
        <f>'Determination cell count F. p'!S19</f>
        <v>9.1507171231511863E-2</v>
      </c>
      <c r="N20" s="61"/>
      <c r="O20" s="62">
        <f t="shared" si="2"/>
        <v>6797153573.2656956</v>
      </c>
      <c r="P20" s="120">
        <f t="shared" si="3"/>
        <v>9.8323270823789919</v>
      </c>
      <c r="Q20" s="120">
        <f t="shared" si="4"/>
        <v>0.11162928263021572</v>
      </c>
      <c r="R20" s="61"/>
      <c r="S20" s="61"/>
      <c r="T20" s="61"/>
      <c r="U20" s="61"/>
      <c r="V20" s="61"/>
      <c r="W20" s="61"/>
      <c r="X20" s="61"/>
      <c r="Y20" s="61"/>
      <c r="Z20" s="61"/>
    </row>
    <row r="21" spans="1:26">
      <c r="A21" s="40">
        <v>16</v>
      </c>
      <c r="B21" s="32">
        <v>1080</v>
      </c>
      <c r="C21" s="32">
        <f>C20+B21</f>
        <v>2880</v>
      </c>
      <c r="D21" s="13">
        <f t="shared" si="0"/>
        <v>48</v>
      </c>
      <c r="E21" s="118">
        <f>'Determination cell counts RI'!R20</f>
        <v>9.3291625972074126</v>
      </c>
      <c r="F21" s="118">
        <f>'Determination cell counts RI'!S20</f>
        <v>7.4873298494758905E-2</v>
      </c>
      <c r="G21" s="61"/>
      <c r="H21" s="40">
        <v>16</v>
      </c>
      <c r="I21" s="32">
        <v>1080</v>
      </c>
      <c r="J21" s="32">
        <f>J20+I21</f>
        <v>2880</v>
      </c>
      <c r="K21" s="13">
        <f t="shared" si="1"/>
        <v>48</v>
      </c>
      <c r="L21" s="118">
        <f>'Determination cell count F. p'!R20</f>
        <v>8.1525970022325502</v>
      </c>
      <c r="M21" s="118">
        <f>'Determination cell count F. p'!S20</f>
        <v>0.10939689934482366</v>
      </c>
      <c r="N21" s="61"/>
      <c r="O21" s="62">
        <f t="shared" si="2"/>
        <v>2275944618.5052137</v>
      </c>
      <c r="P21" s="120">
        <f t="shared" si="3"/>
        <v>9.3571616899856807</v>
      </c>
      <c r="Q21" s="120">
        <f t="shared" si="4"/>
        <v>0.18427019783958257</v>
      </c>
      <c r="R21" s="61"/>
      <c r="S21" s="61"/>
      <c r="T21" s="61"/>
      <c r="U21" s="61"/>
      <c r="V21" s="61"/>
      <c r="W21" s="61"/>
      <c r="X21" s="61"/>
      <c r="Y21" s="61"/>
      <c r="Z21" s="61"/>
    </row>
    <row r="22" spans="1:26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</row>
    <row r="24" spans="1:26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</row>
    <row r="25" spans="1:26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</row>
    <row r="26" spans="1:26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</row>
    <row r="27" spans="1:26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</row>
    <row r="28" spans="1:26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</row>
    <row r="29" spans="1:26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</row>
    <row r="30" spans="1:26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</row>
    <row r="31" spans="1:26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</row>
    <row r="32" spans="1:26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</row>
    <row r="33" spans="1:26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</row>
    <row r="34" spans="1:26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</row>
    <row r="35" spans="1:26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</row>
    <row r="36" spans="1:26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</row>
    <row r="37" spans="1:26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</row>
    <row r="38" spans="1:26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</row>
    <row r="39" spans="1:26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</row>
    <row r="40" spans="1:26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</row>
    <row r="41" spans="1:26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</row>
    <row r="42" spans="1:26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</row>
    <row r="43" spans="1:26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</row>
    <row r="44" spans="1:26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</sheetData>
  <mergeCells count="15">
    <mergeCell ref="F3:F4"/>
    <mergeCell ref="A3:A4"/>
    <mergeCell ref="B3:B4"/>
    <mergeCell ref="C3:C4"/>
    <mergeCell ref="D3:D4"/>
    <mergeCell ref="E3:E4"/>
    <mergeCell ref="O3:O4"/>
    <mergeCell ref="P3:P4"/>
    <mergeCell ref="Q3:Q4"/>
    <mergeCell ref="H3:H4"/>
    <mergeCell ref="I3:I4"/>
    <mergeCell ref="J3:J4"/>
    <mergeCell ref="K3:K4"/>
    <mergeCell ref="L3:L4"/>
    <mergeCell ref="M3:M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Fermentation</vt:lpstr>
      <vt:lpstr>Calculation</vt:lpstr>
      <vt:lpstr>Plate Count</vt:lpstr>
      <vt:lpstr>Flow cytometer</vt:lpstr>
      <vt:lpstr>Calibration R. intestinalis </vt:lpstr>
      <vt:lpstr>Calibration F. prausnitzii</vt:lpstr>
      <vt:lpstr>Determination cell counts RI</vt:lpstr>
      <vt:lpstr>Determination cell count F. p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2016-04-13T15:23:15Z</dcterms:modified>
</cp:coreProperties>
</file>