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520" windowHeight="16020" tabRatio="930" firstSheet="11" activeTab="23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 F. prausnitzii" sheetId="30" r:id="rId7"/>
    <sheet name="Determination cell counts FP" sheetId="31" r:id="rId8"/>
    <sheet name="CalibrationB. hydrogenotrophica" sheetId="27" r:id="rId9"/>
    <sheet name="Determination cell counts BH" sheetId="28" r:id="rId10"/>
    <sheet name="Total cell count" sheetId="29" r:id="rId11"/>
    <sheet name="OD600nm" sheetId="4" r:id="rId12"/>
    <sheet name="CDM" sheetId="5" r:id="rId13"/>
    <sheet name="H2" sheetId="17" r:id="rId14"/>
    <sheet name="CO2" sheetId="7" r:id="rId15"/>
    <sheet name="Metabolites" sheetId="8" r:id="rId16"/>
    <sheet name="D-Fructose" sheetId="19" r:id="rId17"/>
    <sheet name="Formic acid" sheetId="18" r:id="rId18"/>
    <sheet name="Acetic acid" sheetId="15" r:id="rId19"/>
    <sheet name="Propionic acid" sheetId="20" r:id="rId20"/>
    <sheet name="Butyric acid" sheetId="21" r:id="rId21"/>
    <sheet name="Lactic acid" sheetId="14" r:id="rId22"/>
    <sheet name="Ethanol" sheetId="16" r:id="rId23"/>
    <sheet name="Graph" sheetId="13" r:id="rId24"/>
    <sheet name="Graph (2)" sheetId="24" r:id="rId25"/>
    <sheet name="Carbon recovery" sheetId="23" r:id="rId26"/>
  </sheets>
  <externalReferences>
    <externalReference r:id="rId27"/>
  </externalReferences>
  <definedNames>
    <definedName name="_2012_05_10_FPRAU_fruc1" localSheetId="14">'CO2'!$I$5:$I$293</definedName>
    <definedName name="_2012_06_08_BIF_REC_OLI_1" localSheetId="14">'CO2'!$N$5:$N$201</definedName>
    <definedName name="_2012_06_08_BIF_REC_OLI_1" localSheetId="13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8" l="1"/>
  <c r="J10" i="28"/>
  <c r="H10" i="28"/>
  <c r="H5" i="31"/>
  <c r="I5" i="31"/>
  <c r="J5" i="31"/>
  <c r="H6" i="31"/>
  <c r="I6" i="31"/>
  <c r="J6" i="31"/>
  <c r="H7" i="31"/>
  <c r="I7" i="31"/>
  <c r="J7" i="31"/>
  <c r="H8" i="31"/>
  <c r="I8" i="31"/>
  <c r="J8" i="31"/>
  <c r="H9" i="31"/>
  <c r="I9" i="31"/>
  <c r="J9" i="31"/>
  <c r="H10" i="31"/>
  <c r="I10" i="31"/>
  <c r="J10" i="31"/>
  <c r="I4" i="31"/>
  <c r="J4" i="31"/>
  <c r="H4" i="31"/>
  <c r="I6" i="28"/>
  <c r="H10" i="26"/>
  <c r="I10" i="26"/>
  <c r="J10" i="26"/>
  <c r="H6" i="28"/>
  <c r="H68" i="28"/>
  <c r="H65" i="28"/>
  <c r="H64" i="28"/>
  <c r="H63" i="28"/>
  <c r="H62" i="28"/>
  <c r="H61" i="28"/>
  <c r="H60" i="28"/>
  <c r="H59" i="28"/>
  <c r="H58" i="28"/>
  <c r="H57" i="28"/>
  <c r="H77" i="31"/>
  <c r="H75" i="31"/>
  <c r="H74" i="31"/>
  <c r="H73" i="31"/>
  <c r="H72" i="26"/>
  <c r="H70" i="26"/>
  <c r="H69" i="26"/>
  <c r="H68" i="26"/>
  <c r="H67" i="26"/>
  <c r="H66" i="26"/>
  <c r="H5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" i="28"/>
  <c r="B25" i="28"/>
  <c r="B24" i="28"/>
  <c r="K5" i="28"/>
  <c r="I5" i="28"/>
  <c r="L5" i="28"/>
  <c r="J5" i="28"/>
  <c r="M5" i="28"/>
  <c r="O5" i="28"/>
  <c r="S5" i="28"/>
  <c r="M6" i="29"/>
  <c r="K6" i="28"/>
  <c r="L6" i="28"/>
  <c r="J6" i="28"/>
  <c r="M6" i="28"/>
  <c r="O6" i="28"/>
  <c r="S6" i="28"/>
  <c r="M7" i="29"/>
  <c r="H7" i="28"/>
  <c r="K7" i="28"/>
  <c r="I7" i="28"/>
  <c r="L7" i="28"/>
  <c r="J7" i="28"/>
  <c r="M7" i="28"/>
  <c r="O7" i="28"/>
  <c r="S7" i="28"/>
  <c r="M8" i="29"/>
  <c r="H8" i="28"/>
  <c r="K8" i="28"/>
  <c r="I8" i="28"/>
  <c r="L8" i="28"/>
  <c r="J8" i="28"/>
  <c r="M8" i="28"/>
  <c r="O8" i="28"/>
  <c r="S8" i="28"/>
  <c r="M9" i="29"/>
  <c r="H9" i="28"/>
  <c r="K9" i="28"/>
  <c r="I9" i="28"/>
  <c r="L9" i="28"/>
  <c r="J9" i="28"/>
  <c r="M9" i="28"/>
  <c r="O9" i="28"/>
  <c r="S9" i="28"/>
  <c r="M10" i="29"/>
  <c r="K10" i="28"/>
  <c r="L10" i="28"/>
  <c r="M10" i="28"/>
  <c r="O10" i="28"/>
  <c r="S10" i="28"/>
  <c r="M11" i="29"/>
  <c r="H11" i="28"/>
  <c r="K11" i="28"/>
  <c r="I11" i="28"/>
  <c r="L11" i="28"/>
  <c r="J11" i="28"/>
  <c r="M11" i="28"/>
  <c r="O11" i="28"/>
  <c r="S11" i="28"/>
  <c r="M12" i="29"/>
  <c r="H12" i="28"/>
  <c r="K12" i="28"/>
  <c r="I12" i="28"/>
  <c r="L12" i="28"/>
  <c r="J12" i="28"/>
  <c r="M12" i="28"/>
  <c r="O12" i="28"/>
  <c r="S12" i="28"/>
  <c r="M13" i="29"/>
  <c r="H13" i="28"/>
  <c r="K13" i="28"/>
  <c r="I13" i="28"/>
  <c r="L13" i="28"/>
  <c r="J13" i="28"/>
  <c r="M13" i="28"/>
  <c r="O13" i="28"/>
  <c r="S13" i="28"/>
  <c r="M14" i="29"/>
  <c r="H14" i="28"/>
  <c r="K14" i="28"/>
  <c r="I14" i="28"/>
  <c r="L14" i="28"/>
  <c r="J14" i="28"/>
  <c r="M14" i="28"/>
  <c r="O14" i="28"/>
  <c r="S14" i="28"/>
  <c r="M15" i="29"/>
  <c r="H15" i="28"/>
  <c r="K15" i="28"/>
  <c r="I15" i="28"/>
  <c r="L15" i="28"/>
  <c r="J15" i="28"/>
  <c r="M15" i="28"/>
  <c r="O15" i="28"/>
  <c r="S15" i="28"/>
  <c r="M16" i="29"/>
  <c r="H16" i="28"/>
  <c r="K16" i="28"/>
  <c r="I16" i="28"/>
  <c r="L16" i="28"/>
  <c r="J16" i="28"/>
  <c r="M16" i="28"/>
  <c r="O16" i="28"/>
  <c r="S16" i="28"/>
  <c r="M17" i="29"/>
  <c r="H17" i="28"/>
  <c r="K17" i="28"/>
  <c r="I17" i="28"/>
  <c r="L17" i="28"/>
  <c r="J17" i="28"/>
  <c r="M17" i="28"/>
  <c r="O17" i="28"/>
  <c r="S17" i="28"/>
  <c r="M18" i="29"/>
  <c r="H18" i="28"/>
  <c r="K18" i="28"/>
  <c r="I18" i="28"/>
  <c r="L18" i="28"/>
  <c r="J18" i="28"/>
  <c r="M18" i="28"/>
  <c r="O18" i="28"/>
  <c r="S18" i="28"/>
  <c r="M19" i="29"/>
  <c r="H19" i="28"/>
  <c r="K19" i="28"/>
  <c r="I19" i="28"/>
  <c r="L19" i="28"/>
  <c r="J19" i="28"/>
  <c r="M19" i="28"/>
  <c r="O19" i="28"/>
  <c r="S19" i="28"/>
  <c r="M20" i="29"/>
  <c r="H20" i="28"/>
  <c r="K20" i="28"/>
  <c r="I20" i="28"/>
  <c r="L20" i="28"/>
  <c r="J20" i="28"/>
  <c r="M20" i="28"/>
  <c r="O20" i="28"/>
  <c r="S20" i="28"/>
  <c r="M21" i="29"/>
  <c r="H4" i="28"/>
  <c r="K4" i="28"/>
  <c r="I4" i="28"/>
  <c r="L4" i="28"/>
  <c r="J4" i="28"/>
  <c r="M4" i="28"/>
  <c r="O4" i="28"/>
  <c r="S4" i="28"/>
  <c r="M5" i="29"/>
  <c r="P5" i="28"/>
  <c r="R5" i="28"/>
  <c r="L6" i="29"/>
  <c r="P6" i="28"/>
  <c r="R6" i="28"/>
  <c r="L7" i="29"/>
  <c r="P7" i="28"/>
  <c r="R7" i="28"/>
  <c r="L8" i="29"/>
  <c r="P8" i="28"/>
  <c r="R8" i="28"/>
  <c r="L9" i="29"/>
  <c r="P9" i="28"/>
  <c r="R9" i="28"/>
  <c r="L10" i="29"/>
  <c r="P10" i="28"/>
  <c r="R10" i="28"/>
  <c r="L11" i="29"/>
  <c r="P11" i="28"/>
  <c r="R11" i="28"/>
  <c r="L12" i="29"/>
  <c r="P12" i="28"/>
  <c r="R12" i="28"/>
  <c r="L13" i="29"/>
  <c r="P13" i="28"/>
  <c r="R13" i="28"/>
  <c r="L14" i="29"/>
  <c r="P14" i="28"/>
  <c r="R14" i="28"/>
  <c r="L15" i="29"/>
  <c r="P15" i="28"/>
  <c r="R15" i="28"/>
  <c r="L16" i="29"/>
  <c r="P16" i="28"/>
  <c r="R16" i="28"/>
  <c r="L17" i="29"/>
  <c r="P17" i="28"/>
  <c r="R17" i="28"/>
  <c r="L18" i="29"/>
  <c r="P18" i="28"/>
  <c r="R18" i="28"/>
  <c r="L19" i="29"/>
  <c r="P19" i="28"/>
  <c r="R19" i="28"/>
  <c r="L20" i="29"/>
  <c r="P20" i="28"/>
  <c r="R20" i="28"/>
  <c r="L21" i="29"/>
  <c r="P4" i="28"/>
  <c r="R4" i="28"/>
  <c r="L5" i="29"/>
  <c r="H72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B28" i="31"/>
  <c r="B27" i="31"/>
  <c r="K5" i="31"/>
  <c r="L5" i="31"/>
  <c r="M5" i="31"/>
  <c r="O5" i="31"/>
  <c r="S5" i="31"/>
  <c r="F27" i="29"/>
  <c r="K6" i="31"/>
  <c r="L6" i="31"/>
  <c r="M6" i="31"/>
  <c r="O6" i="31"/>
  <c r="S6" i="31"/>
  <c r="F28" i="29"/>
  <c r="K7" i="31"/>
  <c r="L7" i="31"/>
  <c r="M7" i="31"/>
  <c r="O7" i="31"/>
  <c r="S7" i="31"/>
  <c r="F29" i="29"/>
  <c r="K8" i="31"/>
  <c r="L8" i="31"/>
  <c r="M8" i="31"/>
  <c r="O8" i="31"/>
  <c r="S8" i="31"/>
  <c r="F30" i="29"/>
  <c r="K9" i="31"/>
  <c r="L9" i="31"/>
  <c r="M9" i="31"/>
  <c r="O9" i="31"/>
  <c r="S9" i="31"/>
  <c r="F31" i="29"/>
  <c r="K10" i="31"/>
  <c r="L10" i="31"/>
  <c r="M10" i="31"/>
  <c r="O10" i="31"/>
  <c r="S10" i="31"/>
  <c r="F32" i="29"/>
  <c r="H11" i="31"/>
  <c r="K11" i="31"/>
  <c r="I11" i="31"/>
  <c r="L11" i="31"/>
  <c r="J11" i="31"/>
  <c r="M11" i="31"/>
  <c r="O11" i="31"/>
  <c r="S11" i="31"/>
  <c r="F33" i="29"/>
  <c r="H12" i="31"/>
  <c r="K12" i="31"/>
  <c r="I12" i="31"/>
  <c r="L12" i="31"/>
  <c r="J12" i="31"/>
  <c r="M12" i="31"/>
  <c r="O12" i="31"/>
  <c r="S12" i="31"/>
  <c r="F34" i="29"/>
  <c r="H13" i="31"/>
  <c r="K13" i="31"/>
  <c r="I13" i="31"/>
  <c r="L13" i="31"/>
  <c r="J13" i="31"/>
  <c r="M13" i="31"/>
  <c r="O13" i="31"/>
  <c r="S13" i="31"/>
  <c r="F35" i="29"/>
  <c r="H14" i="31"/>
  <c r="K14" i="31"/>
  <c r="I14" i="31"/>
  <c r="L14" i="31"/>
  <c r="J14" i="31"/>
  <c r="M14" i="31"/>
  <c r="O14" i="31"/>
  <c r="S14" i="31"/>
  <c r="F36" i="29"/>
  <c r="H15" i="31"/>
  <c r="K15" i="31"/>
  <c r="I15" i="31"/>
  <c r="L15" i="31"/>
  <c r="J15" i="31"/>
  <c r="M15" i="31"/>
  <c r="O15" i="31"/>
  <c r="S15" i="31"/>
  <c r="F37" i="29"/>
  <c r="H16" i="31"/>
  <c r="K16" i="31"/>
  <c r="I16" i="31"/>
  <c r="L16" i="31"/>
  <c r="J16" i="31"/>
  <c r="M16" i="31"/>
  <c r="O16" i="31"/>
  <c r="S16" i="31"/>
  <c r="F38" i="29"/>
  <c r="H17" i="31"/>
  <c r="K17" i="31"/>
  <c r="I17" i="31"/>
  <c r="L17" i="31"/>
  <c r="J17" i="31"/>
  <c r="M17" i="31"/>
  <c r="O17" i="31"/>
  <c r="S17" i="31"/>
  <c r="F39" i="29"/>
  <c r="H18" i="31"/>
  <c r="K18" i="31"/>
  <c r="I18" i="31"/>
  <c r="L18" i="31"/>
  <c r="J18" i="31"/>
  <c r="M18" i="31"/>
  <c r="O18" i="31"/>
  <c r="S18" i="31"/>
  <c r="F40" i="29"/>
  <c r="H19" i="31"/>
  <c r="K19" i="31"/>
  <c r="I19" i="31"/>
  <c r="L19" i="31"/>
  <c r="J19" i="31"/>
  <c r="M19" i="31"/>
  <c r="O19" i="31"/>
  <c r="S19" i="31"/>
  <c r="F41" i="29"/>
  <c r="H20" i="31"/>
  <c r="K20" i="31"/>
  <c r="I20" i="31"/>
  <c r="L20" i="31"/>
  <c r="J20" i="31"/>
  <c r="M20" i="31"/>
  <c r="O20" i="31"/>
  <c r="S20" i="31"/>
  <c r="F42" i="29"/>
  <c r="K4" i="31"/>
  <c r="L4" i="31"/>
  <c r="M4" i="31"/>
  <c r="O4" i="31"/>
  <c r="S4" i="31"/>
  <c r="F26" i="29"/>
  <c r="P5" i="31"/>
  <c r="R5" i="31"/>
  <c r="E27" i="29"/>
  <c r="P6" i="31"/>
  <c r="R6" i="31"/>
  <c r="E28" i="29"/>
  <c r="P7" i="31"/>
  <c r="R7" i="31"/>
  <c r="E29" i="29"/>
  <c r="P8" i="31"/>
  <c r="R8" i="31"/>
  <c r="E30" i="29"/>
  <c r="P9" i="31"/>
  <c r="R9" i="31"/>
  <c r="E31" i="29"/>
  <c r="P10" i="31"/>
  <c r="R10" i="31"/>
  <c r="E32" i="29"/>
  <c r="P11" i="31"/>
  <c r="R11" i="31"/>
  <c r="E33" i="29"/>
  <c r="P12" i="31"/>
  <c r="R12" i="31"/>
  <c r="E34" i="29"/>
  <c r="P13" i="31"/>
  <c r="R13" i="31"/>
  <c r="E35" i="29"/>
  <c r="P14" i="31"/>
  <c r="R14" i="31"/>
  <c r="E36" i="29"/>
  <c r="P15" i="31"/>
  <c r="R15" i="31"/>
  <c r="E37" i="29"/>
  <c r="P16" i="31"/>
  <c r="R16" i="31"/>
  <c r="E38" i="29"/>
  <c r="P17" i="31"/>
  <c r="R17" i="31"/>
  <c r="E39" i="29"/>
  <c r="P18" i="31"/>
  <c r="R18" i="31"/>
  <c r="E40" i="29"/>
  <c r="P19" i="31"/>
  <c r="R19" i="31"/>
  <c r="E41" i="29"/>
  <c r="P20" i="31"/>
  <c r="R20" i="31"/>
  <c r="E42" i="29"/>
  <c r="P4" i="31"/>
  <c r="R4" i="31"/>
  <c r="E26" i="29"/>
  <c r="H65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5" i="26"/>
  <c r="B25" i="26"/>
  <c r="B24" i="26"/>
  <c r="K5" i="26"/>
  <c r="I5" i="26"/>
  <c r="L5" i="26"/>
  <c r="J5" i="26"/>
  <c r="M5" i="26"/>
  <c r="O5" i="26"/>
  <c r="S5" i="26"/>
  <c r="F6" i="29"/>
  <c r="H6" i="26"/>
  <c r="K6" i="26"/>
  <c r="I6" i="26"/>
  <c r="L6" i="26"/>
  <c r="J6" i="26"/>
  <c r="M6" i="26"/>
  <c r="O6" i="26"/>
  <c r="S6" i="26"/>
  <c r="F7" i="29"/>
  <c r="H7" i="26"/>
  <c r="K7" i="26"/>
  <c r="I7" i="26"/>
  <c r="L7" i="26"/>
  <c r="J7" i="26"/>
  <c r="M7" i="26"/>
  <c r="O7" i="26"/>
  <c r="S7" i="26"/>
  <c r="F8" i="29"/>
  <c r="H8" i="26"/>
  <c r="K8" i="26"/>
  <c r="I8" i="26"/>
  <c r="L8" i="26"/>
  <c r="J8" i="26"/>
  <c r="M8" i="26"/>
  <c r="O8" i="26"/>
  <c r="S8" i="26"/>
  <c r="F9" i="29"/>
  <c r="H9" i="26"/>
  <c r="K9" i="26"/>
  <c r="I9" i="26"/>
  <c r="L9" i="26"/>
  <c r="J9" i="26"/>
  <c r="M9" i="26"/>
  <c r="O9" i="26"/>
  <c r="S9" i="26"/>
  <c r="F10" i="29"/>
  <c r="K10" i="26"/>
  <c r="L10" i="26"/>
  <c r="M10" i="26"/>
  <c r="O10" i="26"/>
  <c r="S10" i="26"/>
  <c r="F11" i="29"/>
  <c r="H11" i="26"/>
  <c r="K11" i="26"/>
  <c r="I11" i="26"/>
  <c r="L11" i="26"/>
  <c r="J11" i="26"/>
  <c r="M11" i="26"/>
  <c r="O11" i="26"/>
  <c r="S11" i="26"/>
  <c r="F12" i="29"/>
  <c r="H12" i="26"/>
  <c r="K12" i="26"/>
  <c r="I12" i="26"/>
  <c r="L12" i="26"/>
  <c r="J12" i="26"/>
  <c r="M12" i="26"/>
  <c r="O12" i="26"/>
  <c r="S12" i="26"/>
  <c r="F13" i="29"/>
  <c r="H13" i="26"/>
  <c r="K13" i="26"/>
  <c r="I13" i="26"/>
  <c r="L13" i="26"/>
  <c r="J13" i="26"/>
  <c r="M13" i="26"/>
  <c r="O13" i="26"/>
  <c r="S13" i="26"/>
  <c r="F14" i="29"/>
  <c r="H14" i="26"/>
  <c r="K14" i="26"/>
  <c r="I14" i="26"/>
  <c r="L14" i="26"/>
  <c r="J14" i="26"/>
  <c r="M14" i="26"/>
  <c r="O14" i="26"/>
  <c r="S14" i="26"/>
  <c r="F15" i="29"/>
  <c r="H15" i="26"/>
  <c r="K15" i="26"/>
  <c r="I15" i="26"/>
  <c r="L15" i="26"/>
  <c r="J15" i="26"/>
  <c r="M15" i="26"/>
  <c r="O15" i="26"/>
  <c r="S15" i="26"/>
  <c r="F16" i="29"/>
  <c r="H16" i="26"/>
  <c r="K16" i="26"/>
  <c r="I16" i="26"/>
  <c r="L16" i="26"/>
  <c r="J16" i="26"/>
  <c r="M16" i="26"/>
  <c r="O16" i="26"/>
  <c r="S16" i="26"/>
  <c r="F17" i="29"/>
  <c r="H17" i="26"/>
  <c r="K17" i="26"/>
  <c r="I17" i="26"/>
  <c r="L17" i="26"/>
  <c r="J17" i="26"/>
  <c r="M17" i="26"/>
  <c r="O17" i="26"/>
  <c r="S17" i="26"/>
  <c r="F18" i="29"/>
  <c r="H18" i="26"/>
  <c r="K18" i="26"/>
  <c r="I18" i="26"/>
  <c r="L18" i="26"/>
  <c r="J18" i="26"/>
  <c r="M18" i="26"/>
  <c r="O18" i="26"/>
  <c r="S18" i="26"/>
  <c r="F19" i="29"/>
  <c r="H19" i="26"/>
  <c r="K19" i="26"/>
  <c r="I19" i="26"/>
  <c r="L19" i="26"/>
  <c r="J19" i="26"/>
  <c r="M19" i="26"/>
  <c r="O19" i="26"/>
  <c r="S19" i="26"/>
  <c r="F20" i="29"/>
  <c r="H20" i="26"/>
  <c r="K20" i="26"/>
  <c r="I20" i="26"/>
  <c r="L20" i="26"/>
  <c r="J20" i="26"/>
  <c r="M20" i="26"/>
  <c r="O20" i="26"/>
  <c r="S20" i="26"/>
  <c r="F21" i="29"/>
  <c r="H4" i="26"/>
  <c r="K4" i="26"/>
  <c r="I4" i="26"/>
  <c r="L4" i="26"/>
  <c r="J4" i="26"/>
  <c r="M4" i="26"/>
  <c r="O4" i="26"/>
  <c r="S4" i="26"/>
  <c r="F5" i="29"/>
  <c r="P5" i="26"/>
  <c r="R5" i="26"/>
  <c r="E6" i="29"/>
  <c r="P6" i="26"/>
  <c r="R6" i="26"/>
  <c r="E7" i="29"/>
  <c r="P7" i="26"/>
  <c r="R7" i="26"/>
  <c r="E8" i="29"/>
  <c r="P8" i="26"/>
  <c r="R8" i="26"/>
  <c r="E9" i="29"/>
  <c r="P9" i="26"/>
  <c r="R9" i="26"/>
  <c r="E10" i="29"/>
  <c r="P10" i="26"/>
  <c r="R10" i="26"/>
  <c r="E11" i="29"/>
  <c r="P11" i="26"/>
  <c r="R11" i="26"/>
  <c r="E12" i="29"/>
  <c r="P12" i="26"/>
  <c r="R12" i="26"/>
  <c r="E13" i="29"/>
  <c r="P13" i="26"/>
  <c r="R13" i="26"/>
  <c r="E14" i="29"/>
  <c r="P14" i="26"/>
  <c r="R14" i="26"/>
  <c r="E15" i="29"/>
  <c r="P15" i="26"/>
  <c r="R15" i="26"/>
  <c r="E16" i="29"/>
  <c r="P16" i="26"/>
  <c r="R16" i="26"/>
  <c r="E17" i="29"/>
  <c r="P17" i="26"/>
  <c r="R17" i="26"/>
  <c r="E18" i="29"/>
  <c r="P18" i="26"/>
  <c r="R18" i="26"/>
  <c r="E19" i="29"/>
  <c r="P19" i="26"/>
  <c r="R19" i="26"/>
  <c r="E20" i="29"/>
  <c r="P20" i="26"/>
  <c r="R20" i="26"/>
  <c r="E21" i="29"/>
  <c r="P4" i="26"/>
  <c r="R4" i="26"/>
  <c r="E5" i="29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O5" i="29"/>
  <c r="Q15" i="26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4" i="31"/>
  <c r="Q5" i="26"/>
  <c r="Q6" i="26"/>
  <c r="Q7" i="26"/>
  <c r="Q8" i="26"/>
  <c r="Q9" i="26"/>
  <c r="Q10" i="26"/>
  <c r="Q11" i="26"/>
  <c r="Q12" i="26"/>
  <c r="Q13" i="26"/>
  <c r="Q14" i="26"/>
  <c r="Q16" i="26"/>
  <c r="Q17" i="26"/>
  <c r="Q18" i="26"/>
  <c r="Q19" i="26"/>
  <c r="Q20" i="26"/>
  <c r="Q4" i="26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5" i="29"/>
  <c r="P5" i="29"/>
  <c r="O21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D27" i="29"/>
  <c r="K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6" i="29"/>
  <c r="N18" i="31"/>
  <c r="N19" i="31"/>
  <c r="N20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D48" i="30"/>
  <c r="F40" i="30"/>
  <c r="I38" i="30"/>
  <c r="J38" i="30"/>
  <c r="K38" i="30"/>
  <c r="L38" i="30"/>
  <c r="F38" i="30"/>
  <c r="G37" i="30"/>
  <c r="H37" i="30"/>
  <c r="I37" i="30"/>
  <c r="J37" i="30"/>
  <c r="K37" i="30"/>
  <c r="L37" i="30"/>
  <c r="F37" i="30"/>
  <c r="G36" i="30"/>
  <c r="H36" i="30"/>
  <c r="I36" i="30"/>
  <c r="J36" i="30"/>
  <c r="K36" i="30"/>
  <c r="L36" i="30"/>
  <c r="F36" i="30"/>
  <c r="G35" i="30"/>
  <c r="H35" i="30"/>
  <c r="I35" i="30"/>
  <c r="J35" i="30"/>
  <c r="K35" i="30"/>
  <c r="L35" i="30"/>
  <c r="F35" i="30"/>
  <c r="G34" i="30"/>
  <c r="H34" i="30"/>
  <c r="I34" i="30"/>
  <c r="J34" i="30"/>
  <c r="K34" i="30"/>
  <c r="L34" i="30"/>
  <c r="F34" i="30"/>
  <c r="G33" i="30"/>
  <c r="H33" i="30"/>
  <c r="I33" i="30"/>
  <c r="J33" i="30"/>
  <c r="K33" i="30"/>
  <c r="L33" i="30"/>
  <c r="F33" i="30"/>
  <c r="G32" i="30"/>
  <c r="H32" i="30"/>
  <c r="I32" i="30"/>
  <c r="J32" i="30"/>
  <c r="K32" i="30"/>
  <c r="L32" i="30"/>
  <c r="F32" i="30"/>
  <c r="G31" i="30"/>
  <c r="H31" i="30"/>
  <c r="I31" i="30"/>
  <c r="J31" i="30"/>
  <c r="K31" i="30"/>
  <c r="L31" i="30"/>
  <c r="F31" i="30"/>
  <c r="G30" i="30"/>
  <c r="H30" i="30"/>
  <c r="I30" i="30"/>
  <c r="J30" i="30"/>
  <c r="K30" i="30"/>
  <c r="L30" i="30"/>
  <c r="F30" i="30"/>
  <c r="G29" i="30"/>
  <c r="H29" i="30"/>
  <c r="I29" i="30"/>
  <c r="J29" i="30"/>
  <c r="K29" i="30"/>
  <c r="L29" i="30"/>
  <c r="F29" i="30"/>
  <c r="G28" i="30"/>
  <c r="H28" i="30"/>
  <c r="I28" i="30"/>
  <c r="J28" i="30"/>
  <c r="K28" i="30"/>
  <c r="L28" i="30"/>
  <c r="F28" i="30"/>
  <c r="G27" i="30"/>
  <c r="H27" i="30"/>
  <c r="I27" i="30"/>
  <c r="J27" i="30"/>
  <c r="K27" i="30"/>
  <c r="L27" i="30"/>
  <c r="F27" i="30"/>
  <c r="G26" i="30"/>
  <c r="H26" i="30"/>
  <c r="I26" i="30"/>
  <c r="J26" i="30"/>
  <c r="K26" i="30"/>
  <c r="L26" i="30"/>
  <c r="F26" i="30"/>
  <c r="G25" i="30"/>
  <c r="H25" i="30"/>
  <c r="I25" i="30"/>
  <c r="J25" i="30"/>
  <c r="K25" i="30"/>
  <c r="L25" i="30"/>
  <c r="F25" i="30"/>
  <c r="G24" i="30"/>
  <c r="H24" i="30"/>
  <c r="I24" i="30"/>
  <c r="J24" i="30"/>
  <c r="K24" i="30"/>
  <c r="L24" i="30"/>
  <c r="F24" i="30"/>
  <c r="G23" i="30"/>
  <c r="H23" i="30"/>
  <c r="I23" i="30"/>
  <c r="J23" i="30"/>
  <c r="K23" i="30"/>
  <c r="L23" i="30"/>
  <c r="F23" i="30"/>
  <c r="O19" i="30"/>
  <c r="K19" i="30"/>
  <c r="G19" i="30"/>
  <c r="P19" i="30"/>
  <c r="R19" i="30"/>
  <c r="Q19" i="30"/>
  <c r="O18" i="30"/>
  <c r="K18" i="30"/>
  <c r="G18" i="30"/>
  <c r="P18" i="30"/>
  <c r="R18" i="30"/>
  <c r="Q18" i="30"/>
  <c r="O17" i="30"/>
  <c r="K17" i="30"/>
  <c r="G17" i="30"/>
  <c r="P17" i="30"/>
  <c r="R17" i="30"/>
  <c r="Q17" i="30"/>
  <c r="O16" i="30"/>
  <c r="K16" i="30"/>
  <c r="G16" i="30"/>
  <c r="P16" i="30"/>
  <c r="R16" i="30"/>
  <c r="Q16" i="30"/>
  <c r="O15" i="30"/>
  <c r="K15" i="30"/>
  <c r="G15" i="30"/>
  <c r="P15" i="30"/>
  <c r="R15" i="30"/>
  <c r="Q15" i="30"/>
  <c r="O14" i="30"/>
  <c r="K14" i="30"/>
  <c r="G14" i="30"/>
  <c r="P14" i="30"/>
  <c r="R14" i="30"/>
  <c r="Q14" i="30"/>
  <c r="O13" i="30"/>
  <c r="K13" i="30"/>
  <c r="G13" i="30"/>
  <c r="P13" i="30"/>
  <c r="R13" i="30"/>
  <c r="Q13" i="30"/>
  <c r="O12" i="30"/>
  <c r="K12" i="30"/>
  <c r="G12" i="30"/>
  <c r="P12" i="30"/>
  <c r="R12" i="30"/>
  <c r="Q12" i="30"/>
  <c r="O11" i="30"/>
  <c r="K11" i="30"/>
  <c r="G11" i="30"/>
  <c r="P11" i="30"/>
  <c r="R11" i="30"/>
  <c r="Q11" i="30"/>
  <c r="O10" i="30"/>
  <c r="K10" i="30"/>
  <c r="G10" i="30"/>
  <c r="P10" i="30"/>
  <c r="R10" i="30"/>
  <c r="Q10" i="30"/>
  <c r="O9" i="30"/>
  <c r="K9" i="30"/>
  <c r="G9" i="30"/>
  <c r="P9" i="30"/>
  <c r="R9" i="30"/>
  <c r="Q9" i="30"/>
  <c r="L8" i="30"/>
  <c r="O8" i="30"/>
  <c r="H8" i="30"/>
  <c r="K8" i="30"/>
  <c r="D8" i="30"/>
  <c r="G8" i="30"/>
  <c r="P8" i="30"/>
  <c r="R8" i="30"/>
  <c r="Q8" i="30"/>
  <c r="L7" i="30"/>
  <c r="O7" i="30"/>
  <c r="H7" i="30"/>
  <c r="K7" i="30"/>
  <c r="D7" i="30"/>
  <c r="G7" i="30"/>
  <c r="P7" i="30"/>
  <c r="R7" i="30"/>
  <c r="Q7" i="30"/>
  <c r="O6" i="30"/>
  <c r="K6" i="30"/>
  <c r="G6" i="30"/>
  <c r="P6" i="30"/>
  <c r="R6" i="30"/>
  <c r="Q6" i="30"/>
  <c r="O5" i="30"/>
  <c r="K5" i="30"/>
  <c r="G5" i="30"/>
  <c r="P5" i="30"/>
  <c r="R5" i="30"/>
  <c r="Q5" i="30"/>
  <c r="O4" i="30"/>
  <c r="K4" i="30"/>
  <c r="G4" i="30"/>
  <c r="P4" i="30"/>
  <c r="R4" i="30"/>
  <c r="Q4" i="30"/>
  <c r="P21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K21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D21" i="29"/>
  <c r="P20" i="29"/>
  <c r="K20" i="29"/>
  <c r="D20" i="29"/>
  <c r="P19" i="29"/>
  <c r="K19" i="29"/>
  <c r="D19" i="29"/>
  <c r="P18" i="29"/>
  <c r="K18" i="29"/>
  <c r="D18" i="29"/>
  <c r="P17" i="29"/>
  <c r="K17" i="29"/>
  <c r="D17" i="29"/>
  <c r="P16" i="29"/>
  <c r="K16" i="29"/>
  <c r="D16" i="29"/>
  <c r="P15" i="29"/>
  <c r="K15" i="29"/>
  <c r="D15" i="29"/>
  <c r="P14" i="29"/>
  <c r="K14" i="29"/>
  <c r="D14" i="29"/>
  <c r="P13" i="29"/>
  <c r="K13" i="29"/>
  <c r="D13" i="29"/>
  <c r="P12" i="29"/>
  <c r="K12" i="29"/>
  <c r="D12" i="29"/>
  <c r="P11" i="29"/>
  <c r="K11" i="29"/>
  <c r="D11" i="29"/>
  <c r="P10" i="29"/>
  <c r="K10" i="29"/>
  <c r="D10" i="29"/>
  <c r="P9" i="29"/>
  <c r="K9" i="29"/>
  <c r="D9" i="29"/>
  <c r="P8" i="29"/>
  <c r="K8" i="29"/>
  <c r="D8" i="29"/>
  <c r="P7" i="29"/>
  <c r="K7" i="29"/>
  <c r="D7" i="29"/>
  <c r="P6" i="29"/>
  <c r="K6" i="29"/>
  <c r="D6" i="29"/>
  <c r="D5" i="29"/>
  <c r="N20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N19" i="28"/>
  <c r="D19" i="28"/>
  <c r="N18" i="28"/>
  <c r="D18" i="28"/>
  <c r="N17" i="28"/>
  <c r="D17" i="28"/>
  <c r="N16" i="28"/>
  <c r="D16" i="28"/>
  <c r="N15" i="28"/>
  <c r="D15" i="28"/>
  <c r="N14" i="28"/>
  <c r="D14" i="28"/>
  <c r="N13" i="28"/>
  <c r="D13" i="28"/>
  <c r="N12" i="28"/>
  <c r="D12" i="28"/>
  <c r="N11" i="28"/>
  <c r="D11" i="28"/>
  <c r="N10" i="28"/>
  <c r="D10" i="28"/>
  <c r="N9" i="28"/>
  <c r="D9" i="28"/>
  <c r="N8" i="28"/>
  <c r="D8" i="28"/>
  <c r="N7" i="28"/>
  <c r="D7" i="28"/>
  <c r="N6" i="28"/>
  <c r="D6" i="28"/>
  <c r="N5" i="28"/>
  <c r="D5" i="28"/>
  <c r="N4" i="28"/>
  <c r="D4" i="28"/>
  <c r="D48" i="27"/>
  <c r="F40" i="27"/>
  <c r="G38" i="27"/>
  <c r="H38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O8" i="27"/>
  <c r="K8" i="27"/>
  <c r="G8" i="27"/>
  <c r="P8" i="27"/>
  <c r="R8" i="27"/>
  <c r="Q8" i="27"/>
  <c r="O7" i="27"/>
  <c r="K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B12" i="23"/>
  <c r="B4" i="23"/>
  <c r="B3" i="23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4" i="22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F3" i="2"/>
  <c r="I3" i="2"/>
  <c r="J3" i="2"/>
  <c r="K3" i="2"/>
  <c r="I4" i="2"/>
  <c r="J4" i="2"/>
  <c r="K4" i="2"/>
  <c r="F4" i="2"/>
  <c r="I5" i="2"/>
  <c r="J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T20" i="8"/>
  <c r="T4" i="8"/>
  <c r="P4" i="8"/>
  <c r="P20" i="8"/>
  <c r="L20" i="8"/>
  <c r="L4" i="8"/>
  <c r="B5" i="23"/>
  <c r="L41" i="8"/>
  <c r="L25" i="8"/>
  <c r="B6" i="23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J20" i="2"/>
  <c r="K20" i="2"/>
  <c r="C101" i="7"/>
  <c r="D101" i="7"/>
  <c r="E101" i="7"/>
  <c r="F101" i="7"/>
  <c r="G101" i="7"/>
  <c r="B8" i="23"/>
  <c r="H4" i="8"/>
  <c r="H20" i="8"/>
  <c r="B2" i="23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D101" i="17"/>
  <c r="E101" i="17"/>
  <c r="F101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D82" i="17"/>
  <c r="E82" i="17"/>
  <c r="F82" i="17"/>
  <c r="D83" i="17"/>
  <c r="E83" i="17"/>
  <c r="F83" i="17"/>
  <c r="D84" i="17"/>
  <c r="E84" i="17"/>
  <c r="F84" i="17"/>
  <c r="D85" i="17"/>
  <c r="E85" i="17"/>
  <c r="F85" i="17"/>
  <c r="D86" i="17"/>
  <c r="E86" i="17"/>
  <c r="F86" i="17"/>
  <c r="D87" i="17"/>
  <c r="E87" i="17"/>
  <c r="F87" i="17"/>
  <c r="D88" i="17"/>
  <c r="E88" i="17"/>
  <c r="F88" i="17"/>
  <c r="D89" i="17"/>
  <c r="E89" i="17"/>
  <c r="F89" i="17"/>
  <c r="D90" i="17"/>
  <c r="E90" i="17"/>
  <c r="F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65" i="17"/>
  <c r="E65" i="17"/>
  <c r="F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29" i="17"/>
  <c r="E29" i="17"/>
  <c r="F29" i="17"/>
  <c r="D30" i="17"/>
  <c r="E30" i="17"/>
  <c r="F30" i="17"/>
  <c r="D28" i="17"/>
  <c r="E28" i="17"/>
  <c r="F28" i="17"/>
  <c r="D26" i="17"/>
  <c r="E26" i="17"/>
  <c r="F26" i="17"/>
  <c r="D27" i="17"/>
  <c r="E27" i="17"/>
  <c r="F27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0" i="17"/>
  <c r="E10" i="17"/>
  <c r="F10" i="17"/>
  <c r="D11" i="17"/>
  <c r="E11" i="17"/>
  <c r="F11" i="17"/>
  <c r="D9" i="17"/>
  <c r="E9" i="17"/>
  <c r="F9" i="17"/>
  <c r="D6" i="17"/>
  <c r="E6" i="17"/>
  <c r="F6" i="17"/>
  <c r="D7" i="17"/>
  <c r="E7" i="17"/>
  <c r="F7" i="17"/>
  <c r="D8" i="17"/>
  <c r="E8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H19" i="22"/>
  <c r="U19" i="22"/>
  <c r="L19" i="22"/>
  <c r="V19" i="22"/>
  <c r="X19" i="22"/>
  <c r="H20" i="22"/>
  <c r="U20" i="22"/>
  <c r="L20" i="22"/>
  <c r="V20" i="22"/>
  <c r="X20" i="22"/>
  <c r="H4" i="22"/>
  <c r="U4" i="22"/>
  <c r="L4" i="22"/>
  <c r="V4" i="22"/>
  <c r="P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<sst xmlns="http://schemas.openxmlformats.org/spreadsheetml/2006/main" count="925" uniqueCount="368">
  <si>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</si>
  <si>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</si>
  <si>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</si>
  <si>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</si>
  <si>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</si>
  <si>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</si>
  <si>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</si>
  <si>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</si>
  <si>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</si>
  <si>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</si>
  <si>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</si>
  <si>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</si>
  <si>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</si>
  <si>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</si>
  <si>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</si>
  <si>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</si>
  <si>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</si>
  <si>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</si>
  <si>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</si>
  <si>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</si>
  <si>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</si>
  <si>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</si>
  <si>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</si>
  <si>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</si>
  <si>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</si>
  <si>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</si>
  <si>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</si>
  <si>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</si>
  <si>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</si>
  <si>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</si>
  <si>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</si>
  <si>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</si>
  <si>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</si>
  <si>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</si>
  <si>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</si>
  <si>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</si>
  <si>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</si>
  <si>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</si>
  <si>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</si>
  <si>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</si>
  <si>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</si>
  <si>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</si>
  <si>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</si>
  <si>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</si>
  <si>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</si>
  <si>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</si>
  <si>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</si>
  <si>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</si>
  <si>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</si>
  <si>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</si>
  <si>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</si>
  <si>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</si>
  <si>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</si>
  <si>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</si>
  <si>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</si>
  <si>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</si>
  <si>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</si>
  <si>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</si>
  <si>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</si>
  <si>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</si>
  <si>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</si>
  <si>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</si>
  <si>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</si>
  <si>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</si>
  <si>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</si>
  <si>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</si>
  <si>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</si>
  <si>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</si>
  <si>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</si>
  <si>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</si>
  <si>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</si>
  <si>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</si>
  <si>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</si>
  <si>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</si>
  <si>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</si>
  <si>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</si>
  <si>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</si>
  <si>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</si>
  <si>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</si>
  <si>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</si>
  <si>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</si>
  <si>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</si>
  <si>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</si>
  <si>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</si>
  <si>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</si>
  <si>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</si>
  <si>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</si>
  <si>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</si>
  <si>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</si>
  <si>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</si>
  <si>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</si>
  <si>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</si>
  <si>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</si>
  <si>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</si>
  <si>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</si>
  <si>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</si>
  <si>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</si>
  <si>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</si>
  <si>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</si>
  <si>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</si>
  <si>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</si>
  <si>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</si>
  <si>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</si>
  <si>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</si>
  <si>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</si>
  <si>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</si>
  <si>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</si>
  <si>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</si>
  <si>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</si>
  <si>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</si>
  <si>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</si>
  <si>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</si>
  <si>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</si>
  <si>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</si>
  <si>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</si>
  <si>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</si>
  <si>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</si>
  <si>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</si>
  <si>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</si>
  <si>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</si>
  <si>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</si>
  <si>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</si>
  <si>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</si>
  <si>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</si>
  <si>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</si>
  <si>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</si>
  <si>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</si>
  <si>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</si>
  <si>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</si>
  <si>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</si>
  <si>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</si>
  <si>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</si>
  <si>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</si>
  <si>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</si>
  <si>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</si>
  <si>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</si>
  <si>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</si>
  <si>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</si>
  <si>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</si>
  <si>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</si>
  <si>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</si>
  <si>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</si>
  <si>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</si>
  <si>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</si>
  <si>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</si>
  <si>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</si>
  <si>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</si>
  <si>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</si>
  <si>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</si>
  <si>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</si>
  <si>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t>0.40</t>
  </si>
  <si>
    <t>0.20</t>
  </si>
  <si>
    <t xml:space="preserve">2x-z-y </t>
  </si>
  <si>
    <t>2x-z-y</t>
  </si>
  <si>
    <t>2x-z-y-f mol H2</t>
  </si>
  <si>
    <t>2x-z-y-f</t>
  </si>
  <si>
    <t>2x-z</t>
  </si>
  <si>
    <t>x mol D-fructose consumed</t>
  </si>
  <si>
    <t>2x-z-f mol CO2produced</t>
  </si>
  <si>
    <t>y mol acetate consumed</t>
  </si>
  <si>
    <t>2x-z+y mol acetyl-CoA produced</t>
  </si>
  <si>
    <t>(2x-2+y)/2 mol butyrate produced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</si>
  <si>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</si>
  <si>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</si>
  <si>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</si>
  <si>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</si>
  <si>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</si>
  <si>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</si>
  <si>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</si>
  <si>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</si>
  <si>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</si>
  <si>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</si>
  <si>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</si>
  <si>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</si>
  <si>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</si>
  <si>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</si>
  <si>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</si>
  <si>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</si>
  <si>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</si>
  <si>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</si>
  <si>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Faecalibacterium prausnitzii</t>
    </r>
    <r>
      <rPr>
        <sz val="11"/>
        <color theme="1"/>
        <rFont val="Calibri"/>
        <family val="2"/>
        <scheme val="minor"/>
      </rPr>
      <t xml:space="preserve"> DSM 17677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Blautia hydrogenotrophica</t>
    </r>
    <r>
      <rPr>
        <sz val="11"/>
        <color theme="1"/>
        <rFont val="Calibri"/>
        <family val="2"/>
        <scheme val="minor"/>
      </rPr>
      <t xml:space="preserve"> DSM 10507</t>
    </r>
    <r>
      <rPr>
        <vertAlign val="superscript"/>
        <sz val="11"/>
        <color theme="1"/>
        <rFont val="Calibri"/>
        <family val="2"/>
        <scheme val="minor"/>
      </rPr>
      <t>T</t>
    </r>
  </si>
  <si>
    <t>Na-acetate trihydrate (0 mM)</t>
  </si>
  <si>
    <t>0.00</t>
  </si>
  <si>
    <t>Acetic acid produced</t>
  </si>
  <si>
    <t>Formic acid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</si>
  <si>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</si>
  <si>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</si>
  <si>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</si>
  <si>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</si>
  <si>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</si>
  <si>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</si>
  <si>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</si>
  <si>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</si>
  <si>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</si>
  <si>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</si>
  <si>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</si>
  <si>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</si>
  <si>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</si>
  <si>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</si>
  <si>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</si>
  <si>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</si>
  <si>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</si>
  <si>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</si>
  <si>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</si>
  <si>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</si>
  <si>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</si>
  <si>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</si>
  <si>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</si>
  <si>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</si>
  <si>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</si>
  <si>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</si>
  <si>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</si>
  <si>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</si>
  <si>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</si>
  <si>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</si>
  <si>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</si>
  <si>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</si>
  <si>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</si>
  <si>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</si>
  <si>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</si>
  <si>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</si>
  <si>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</si>
  <si>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</si>
  <si>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</si>
  <si>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</si>
  <si>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</si>
  <si>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</si>
  <si>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</si>
  <si>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</si>
  <si>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</si>
  <si>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</si>
  <si>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</si>
  <si>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</si>
  <si>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</si>
  <si>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</si>
  <si>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</si>
  <si>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</si>
  <si>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</si>
  <si>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</si>
  <si>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</si>
  <si>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</si>
  <si>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</si>
  <si>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</si>
  <si>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</si>
  <si>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</si>
  <si>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</si>
  <si>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</si>
  <si>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</si>
  <si>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</si>
  <si>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IPC value epp 7</t>
  </si>
  <si>
    <t>plate 20150807</t>
  </si>
  <si>
    <t>plate 20150831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</si>
  <si>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</si>
  <si>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</si>
  <si>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</si>
  <si>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</si>
  <si>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</si>
  <si>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</si>
  <si>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BH10 epp</t>
  </si>
  <si>
    <t>Ct Threshold</t>
  </si>
  <si>
    <t>baseline</t>
  </si>
  <si>
    <t>Taqman probe BH4O</t>
  </si>
  <si>
    <t>B. hydrogenotrophica</t>
  </si>
  <si>
    <t>STDV  (cells/ml medium)</t>
  </si>
  <si>
    <t xml:space="preserve">Dilution per ml </t>
  </si>
  <si>
    <t>IPC value  epp 10 plate  20150724</t>
  </si>
  <si>
    <t>IPC value  epp 10 plate  20150821</t>
  </si>
  <si>
    <t>IPC value  epp 9 plate  20150901</t>
  </si>
  <si>
    <t>Total Average</t>
  </si>
  <si>
    <t xml:space="preserve">Total cell count </t>
  </si>
  <si>
    <t>IPC FP10 epp</t>
  </si>
  <si>
    <t>F. prausnitzii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</si>
  <si>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</si>
  <si>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</si>
  <si>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</si>
  <si>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</si>
  <si>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</si>
  <si>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</si>
  <si>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</si>
  <si>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</si>
  <si>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</si>
  <si>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</si>
  <si>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</si>
  <si>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</si>
  <si>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</si>
  <si>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</si>
  <si>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</si>
  <si>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plate 20150902</t>
  </si>
  <si>
    <t>IPC value epp 6 plate 20150902</t>
  </si>
  <si>
    <t>IPC value  epp 9 plate  20150902</t>
  </si>
  <si>
    <t>IPC value  epp 8 plate  20150902</t>
  </si>
  <si>
    <t>IPC value epp 6</t>
  </si>
  <si>
    <t>plate 20150903</t>
  </si>
  <si>
    <t>plate 20150908</t>
  </si>
  <si>
    <t>plate 20150910</t>
  </si>
  <si>
    <t>plate 20150911</t>
  </si>
  <si>
    <t>IPC value epp 5</t>
  </si>
  <si>
    <t>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</si>
  <si>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</si>
  <si>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</si>
  <si>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</si>
  <si>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</si>
  <si>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</si>
  <si>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</si>
  <si>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</si>
  <si>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</si>
  <si>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</si>
  <si>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</si>
  <si>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</si>
  <si>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</si>
  <si>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IPC value  epp 8 plate  20150903</t>
  </si>
  <si>
    <t>IPC value  epp 8 plate  20150907</t>
  </si>
  <si>
    <t>IPC value  epp 8 plate  20150908</t>
  </si>
  <si>
    <t>IPC value  epp 7 plate  20150910</t>
  </si>
  <si>
    <t>IPC value  epp 7 plate  20150914</t>
  </si>
  <si>
    <t>IPC value  epp 6 plate  20150910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</si>
  <si>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</si>
  <si>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</si>
  <si>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</si>
  <si>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</si>
  <si>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</si>
  <si>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</si>
  <si>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</si>
  <si>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</si>
  <si>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</si>
  <si>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</si>
  <si>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IPC value epp 5 plate 20150910</t>
  </si>
  <si>
    <t>IPC value epp 5 plate 20150911</t>
  </si>
  <si>
    <t>IPC value epp 5 plate 20150922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</si>
  <si>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</si>
  <si>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</si>
  <si>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</si>
  <si>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</si>
  <si>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</si>
  <si>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</si>
  <si>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</si>
  <si>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</si>
  <si>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</si>
  <si>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</si>
  <si>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</si>
  <si>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plate 20160222</t>
  </si>
  <si>
    <t>plate 20160223</t>
  </si>
  <si>
    <t>IPC value epp 1</t>
  </si>
  <si>
    <t>plate 20160225</t>
  </si>
  <si>
    <t>plate 20160308</t>
  </si>
  <si>
    <t>plate 20160310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</si>
  <si>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</si>
  <si>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</si>
  <si>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</si>
  <si>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</si>
  <si>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</si>
  <si>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epp 9 plate 20160310</t>
  </si>
  <si>
    <t>IPC value  epp 3 plate  20160222</t>
  </si>
  <si>
    <t>IPC value  epp 2 plate  20160223</t>
  </si>
  <si>
    <t>IPC value  epp 2 plate  20160224</t>
  </si>
  <si>
    <t>IPC value  epp 2 plate  20160308</t>
  </si>
  <si>
    <t>IPC value  epp 1 plate  20160310</t>
  </si>
  <si>
    <t>plate 20160311</t>
  </si>
  <si>
    <t>plate 20160318</t>
  </si>
  <si>
    <t>plate 20160405</t>
  </si>
  <si>
    <t>IPC value epp 8 plate 20160325</t>
  </si>
  <si>
    <t>IPC value epp 8 plate 20160405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</si>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</sst>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454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65" fontId="0" fillId="0" borderId="0" xfId="0" applyNumberFormat="1"/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" fontId="18" fillId="11" borderId="0" xfId="0" applyNumberFormat="1" applyFont="1" applyFill="1"/>
    <xf numFmtId="0" fontId="29" fillId="2" borderId="4" xfId="363" applyFill="1" applyBorder="1" applyAlignment="1">
      <alignment horizontal="center" vertical="center"/>
    </xf>
    <xf numFmtId="0" fontId="29" fillId="0" borderId="0" xfId="363"/>
    <xf numFmtId="0" fontId="29" fillId="2" borderId="16" xfId="363" applyFill="1" applyBorder="1" applyAlignment="1">
      <alignment horizontal="center" vertical="center"/>
    </xf>
    <xf numFmtId="0" fontId="29" fillId="2" borderId="3" xfId="363" applyFill="1" applyBorder="1" applyAlignment="1">
      <alignment horizontal="center" vertical="center"/>
    </xf>
    <xf numFmtId="0" fontId="29" fillId="0" borderId="3" xfId="363" applyFill="1" applyBorder="1" applyAlignment="1">
      <alignment horizontal="center" vertical="center"/>
    </xf>
    <xf numFmtId="0" fontId="29" fillId="0" borderId="16" xfId="363" applyFill="1" applyBorder="1" applyAlignment="1">
      <alignment horizontal="center" vertical="center"/>
    </xf>
    <xf numFmtId="11" fontId="29" fillId="0" borderId="16" xfId="363" applyNumberFormat="1" applyFill="1" applyBorder="1" applyAlignment="1">
      <alignment horizontal="center" vertical="center"/>
    </xf>
    <xf numFmtId="0" fontId="0" fillId="0" borderId="16" xfId="363" applyFont="1" applyBorder="1" applyAlignment="1">
      <alignment horizontal="center" vertical="center"/>
    </xf>
    <xf numFmtId="0" fontId="29" fillId="0" borderId="16" xfId="363" applyBorder="1" applyAlignment="1">
      <alignment horizontal="center" vertical="center"/>
    </xf>
    <xf numFmtId="11" fontId="29" fillId="0" borderId="16" xfId="363" applyNumberFormat="1" applyBorder="1" applyAlignment="1">
      <alignment horizontal="center" vertical="center"/>
    </xf>
    <xf numFmtId="2" fontId="29" fillId="0" borderId="16" xfId="363" applyNumberFormat="1" applyBorder="1" applyAlignment="1">
      <alignment horizontal="center" vertical="center"/>
    </xf>
    <xf numFmtId="0" fontId="29" fillId="2" borderId="21" xfId="363" applyFill="1" applyBorder="1" applyAlignment="1">
      <alignment wrapText="1"/>
    </xf>
    <xf numFmtId="0" fontId="0" fillId="2" borderId="21" xfId="363" applyFont="1" applyFill="1" applyBorder="1" applyAlignment="1">
      <alignment wrapText="1"/>
    </xf>
    <xf numFmtId="0" fontId="0" fillId="2" borderId="21" xfId="363" applyFont="1" applyFill="1" applyBorder="1" applyAlignment="1">
      <alignment horizontal="center" vertical="center" wrapText="1"/>
    </xf>
    <xf numFmtId="0" fontId="0" fillId="0" borderId="0" xfId="363" applyFont="1"/>
    <xf numFmtId="165" fontId="29" fillId="0" borderId="16" xfId="363" applyNumberFormat="1" applyBorder="1" applyAlignment="1">
      <alignment horizontal="center" vertical="center"/>
    </xf>
    <xf numFmtId="0" fontId="29" fillId="0" borderId="16" xfId="363" applyBorder="1"/>
    <xf numFmtId="0" fontId="29" fillId="0" borderId="0" xfId="363" applyFont="1"/>
    <xf numFmtId="0" fontId="29" fillId="2" borderId="16" xfId="363" applyFill="1" applyBorder="1"/>
    <xf numFmtId="0" fontId="30" fillId="12" borderId="0" xfId="363" applyFont="1" applyFill="1"/>
    <xf numFmtId="1" fontId="0" fillId="0" borderId="16" xfId="0" applyNumberFormat="1" applyBorder="1" applyAlignment="1">
      <alignment horizontal="center" vertical="center"/>
    </xf>
    <xf numFmtId="165" fontId="29" fillId="0" borderId="16" xfId="363" applyNumberFormat="1" applyBorder="1"/>
    <xf numFmtId="2" fontId="29" fillId="0" borderId="16" xfId="363" applyNumberFormat="1" applyBorder="1"/>
    <xf numFmtId="1" fontId="29" fillId="0" borderId="16" xfId="363" applyNumberFormat="1" applyBorder="1"/>
    <xf numFmtId="165" fontId="0" fillId="0" borderId="16" xfId="363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363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9" fillId="0" borderId="0" xfId="363" applyNumberFormat="1"/>
    <xf numFmtId="1" fontId="29" fillId="0" borderId="0" xfId="363" applyNumberFormat="1"/>
    <xf numFmtId="0" fontId="31" fillId="2" borderId="0" xfId="363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9" fillId="0" borderId="0" xfId="363" applyNumberFormat="1" applyBorder="1" applyAlignment="1">
      <alignment horizontal="center" vertical="center"/>
    </xf>
    <xf numFmtId="165" fontId="29" fillId="0" borderId="0" xfId="363" applyNumberFormat="1" applyBorder="1"/>
    <xf numFmtId="2" fontId="29" fillId="0" borderId="0" xfId="363" applyNumberFormat="1" applyBorder="1"/>
    <xf numFmtId="1" fontId="29" fillId="0" borderId="0" xfId="363" applyNumberFormat="1" applyBorder="1"/>
    <xf numFmtId="0" fontId="0" fillId="0" borderId="0" xfId="363" applyFont="1" applyFill="1" applyBorder="1"/>
    <xf numFmtId="2" fontId="0" fillId="0" borderId="0" xfId="0" applyNumberFormat="1"/>
    <xf numFmtId="0" fontId="32" fillId="0" borderId="16" xfId="363" applyFont="1" applyBorder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/>
    <xf numFmtId="0" fontId="0" fillId="0" borderId="0" xfId="363" applyFont="1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9" fillId="0" borderId="17" xfId="363" applyNumberFormat="1" applyFill="1" applyBorder="1" applyAlignment="1">
      <alignment horizontal="center" vertical="center"/>
    </xf>
    <xf numFmtId="0" fontId="29" fillId="0" borderId="5" xfId="363" applyNumberFormat="1" applyFill="1" applyBorder="1" applyAlignment="1">
      <alignment horizontal="center" vertical="center"/>
    </xf>
    <xf numFmtId="0" fontId="29" fillId="0" borderId="18" xfId="363" applyNumberFormat="1" applyFill="1" applyBorder="1" applyAlignment="1">
      <alignment horizontal="center" vertical="center"/>
    </xf>
    <xf numFmtId="0" fontId="29" fillId="2" borderId="4" xfId="363" applyFill="1" applyBorder="1" applyAlignment="1">
      <alignment horizontal="center" vertical="center"/>
    </xf>
    <xf numFmtId="0" fontId="29" fillId="2" borderId="3" xfId="363" applyFill="1" applyBorder="1" applyAlignment="1">
      <alignment horizontal="center" vertical="center"/>
    </xf>
    <xf numFmtId="0" fontId="0" fillId="2" borderId="4" xfId="363" applyFont="1" applyFill="1" applyBorder="1" applyAlignment="1">
      <alignment horizontal="center" vertical="center"/>
    </xf>
    <xf numFmtId="0" fontId="29" fillId="2" borderId="16" xfId="363" applyFill="1" applyBorder="1" applyAlignment="1">
      <alignment horizontal="center" vertical="center"/>
    </xf>
    <xf numFmtId="0" fontId="21" fillId="0" borderId="24" xfId="363" applyFont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3" xfId="0" applyFont="1" applyFill="1" applyBorder="1" applyAlignment="1">
      <alignment horizontal="center" vertical="center"/>
    </xf>
    <xf numFmtId="0" fontId="0" fillId="0" borderId="22" xfId="363" applyFont="1" applyBorder="1" applyAlignment="1">
      <alignment horizontal="center"/>
    </xf>
    <xf numFmtId="0" fontId="29" fillId="0" borderId="22" xfId="363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63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454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Input" xfId="10"/>
    <cellStyle name="Linked Cell" xfId="11"/>
    <cellStyle name="Neutral" xfId="12"/>
    <cellStyle name="Normal" xfId="0" builtinId="0"/>
    <cellStyle name="Normal 2" xfId="363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chartsheet" Target="chartsheets/sheet1.xml"/><Relationship Id="rId25" Type="http://schemas.openxmlformats.org/officeDocument/2006/relationships/chartsheet" Target="chartsheets/sheet2.xml"/><Relationship Id="rId26" Type="http://schemas.openxmlformats.org/officeDocument/2006/relationships/worksheet" Target="worksheets/sheet24.xml"/><Relationship Id="rId27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33576"/>
        <c:axId val="-2113829352"/>
      </c:scatterChart>
      <c:valAx>
        <c:axId val="-2092033576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113829352"/>
        <c:crosses val="autoZero"/>
        <c:crossBetween val="midCat"/>
        <c:majorUnit val="2.0"/>
      </c:valAx>
      <c:valAx>
        <c:axId val="-2113829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03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73576"/>
        <c:axId val="-2077762792"/>
      </c:scatterChart>
      <c:valAx>
        <c:axId val="-2125173576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7762792"/>
        <c:crosses val="autoZero"/>
        <c:crossBetween val="midCat"/>
        <c:majorUnit val="2.0"/>
      </c:valAx>
      <c:valAx>
        <c:axId val="-207776279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125173576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58200"/>
        <c:axId val="-2113581720"/>
      </c:scatterChart>
      <c:valAx>
        <c:axId val="-2109558200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113581720"/>
        <c:crosses val="autoZero"/>
        <c:crossBetween val="midCat"/>
        <c:majorUnit val="2.0"/>
      </c:valAx>
      <c:valAx>
        <c:axId val="-2113581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-2109558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4379544770018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0.0463012878122178</c:v>
                  </c:pt>
                  <c:pt idx="1">
                    <c:v>0.0128574913221633</c:v>
                  </c:pt>
                  <c:pt idx="2">
                    <c:v>0.0257637160289967</c:v>
                  </c:pt>
                  <c:pt idx="3">
                    <c:v>0.0465969010857423</c:v>
                  </c:pt>
                  <c:pt idx="4">
                    <c:v>0.0129753152681058</c:v>
                  </c:pt>
                  <c:pt idx="5">
                    <c:v>0.0130464128860132</c:v>
                  </c:pt>
                  <c:pt idx="6">
                    <c:v>0.0347853307143449</c:v>
                  </c:pt>
                  <c:pt idx="7">
                    <c:v>0.166643695671869</c:v>
                  </c:pt>
                  <c:pt idx="8">
                    <c:v>0.0588292460396719</c:v>
                  </c:pt>
                  <c:pt idx="9">
                    <c:v>0.0271349901537344</c:v>
                  </c:pt>
                  <c:pt idx="10">
                    <c:v>0.102591769300619</c:v>
                  </c:pt>
                  <c:pt idx="11">
                    <c:v>0.0981469197894674</c:v>
                  </c:pt>
                  <c:pt idx="12">
                    <c:v>0.157226758744478</c:v>
                  </c:pt>
                  <c:pt idx="13">
                    <c:v>0.0272902058805386</c:v>
                  </c:pt>
                  <c:pt idx="14">
                    <c:v>0.108499790489564</c:v>
                  </c:pt>
                  <c:pt idx="15">
                    <c:v>0.0831494702941384</c:v>
                  </c:pt>
                  <c:pt idx="16">
                    <c:v>0.130529119446756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0.0463012878122178</c:v>
                  </c:pt>
                  <c:pt idx="1">
                    <c:v>0.0128574913221633</c:v>
                  </c:pt>
                  <c:pt idx="2">
                    <c:v>0.0257637160289967</c:v>
                  </c:pt>
                  <c:pt idx="3">
                    <c:v>0.0465969010857423</c:v>
                  </c:pt>
                  <c:pt idx="4">
                    <c:v>0.0129753152681058</c:v>
                  </c:pt>
                  <c:pt idx="5">
                    <c:v>0.0130464128860132</c:v>
                  </c:pt>
                  <c:pt idx="6">
                    <c:v>0.0347853307143449</c:v>
                  </c:pt>
                  <c:pt idx="7">
                    <c:v>0.166643695671869</c:v>
                  </c:pt>
                  <c:pt idx="8">
                    <c:v>0.0588292460396719</c:v>
                  </c:pt>
                  <c:pt idx="9">
                    <c:v>0.0271349901537344</c:v>
                  </c:pt>
                  <c:pt idx="10">
                    <c:v>0.102591769300619</c:v>
                  </c:pt>
                  <c:pt idx="11">
                    <c:v>0.0981469197894674</c:v>
                  </c:pt>
                  <c:pt idx="12">
                    <c:v>0.157226758744478</c:v>
                  </c:pt>
                  <c:pt idx="13">
                    <c:v>0.0272902058805386</c:v>
                  </c:pt>
                  <c:pt idx="14">
                    <c:v>0.108499790489564</c:v>
                  </c:pt>
                  <c:pt idx="15">
                    <c:v>0.0831494702941384</c:v>
                  </c:pt>
                  <c:pt idx="16">
                    <c:v>0.130529119446756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1.608868322748551</c:v>
                </c:pt>
                <c:pt idx="1">
                  <c:v>1.796432810380923</c:v>
                </c:pt>
                <c:pt idx="2">
                  <c:v>2.13451778319962</c:v>
                </c:pt>
                <c:pt idx="3">
                  <c:v>2.559286180157072</c:v>
                </c:pt>
                <c:pt idx="4">
                  <c:v>2.869168575175808</c:v>
                </c:pt>
                <c:pt idx="5">
                  <c:v>3.156054646521761</c:v>
                </c:pt>
                <c:pt idx="6">
                  <c:v>3.7953907398228</c:v>
                </c:pt>
                <c:pt idx="7">
                  <c:v>6.119793334529308</c:v>
                </c:pt>
                <c:pt idx="8">
                  <c:v>8.56354426734932</c:v>
                </c:pt>
                <c:pt idx="9">
                  <c:v>8.898511717998898</c:v>
                </c:pt>
                <c:pt idx="10">
                  <c:v>8.755453768063295</c:v>
                </c:pt>
                <c:pt idx="11">
                  <c:v>8.573124404344907</c:v>
                </c:pt>
                <c:pt idx="12">
                  <c:v>8.351325240586493</c:v>
                </c:pt>
                <c:pt idx="13">
                  <c:v>8.114343971355398</c:v>
                </c:pt>
                <c:pt idx="14">
                  <c:v>8.263131784716281</c:v>
                </c:pt>
                <c:pt idx="15">
                  <c:v>8.420975753860812</c:v>
                </c:pt>
                <c:pt idx="16">
                  <c:v>7.599782386183231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0.0192635693240418</c:v>
                  </c:pt>
                  <c:pt idx="1">
                    <c:v>0.0578619226461515</c:v>
                  </c:pt>
                  <c:pt idx="2">
                    <c:v>0.0193238596160868</c:v>
                  </c:pt>
                  <c:pt idx="3">
                    <c:v>0.117923832890353</c:v>
                  </c:pt>
                  <c:pt idx="4">
                    <c:v>0.0337127291989269</c:v>
                  </c:pt>
                  <c:pt idx="5">
                    <c:v>0.0677949129644179</c:v>
                  </c:pt>
                  <c:pt idx="6">
                    <c:v>0.090379956882469</c:v>
                  </c:pt>
                  <c:pt idx="7">
                    <c:v>0.469155696220604</c:v>
                  </c:pt>
                  <c:pt idx="8">
                    <c:v>0.195242033380182</c:v>
                  </c:pt>
                  <c:pt idx="9">
                    <c:v>0.0352513428755383</c:v>
                  </c:pt>
                  <c:pt idx="10">
                    <c:v>0.326144786280515</c:v>
                  </c:pt>
                  <c:pt idx="11">
                    <c:v>0.491280640081783</c:v>
                  </c:pt>
                  <c:pt idx="12">
                    <c:v>0.749748561378788</c:v>
                  </c:pt>
                  <c:pt idx="13">
                    <c:v>0.124506792231692</c:v>
                  </c:pt>
                  <c:pt idx="14">
                    <c:v>0.507696568310556</c:v>
                  </c:pt>
                  <c:pt idx="15">
                    <c:v>0.275875591954598</c:v>
                  </c:pt>
                  <c:pt idx="16">
                    <c:v>0.515604569374098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0.0192635693240418</c:v>
                  </c:pt>
                  <c:pt idx="1">
                    <c:v>0.0578619226461515</c:v>
                  </c:pt>
                  <c:pt idx="2">
                    <c:v>0.0193238596160868</c:v>
                  </c:pt>
                  <c:pt idx="3">
                    <c:v>0.117923832890353</c:v>
                  </c:pt>
                  <c:pt idx="4">
                    <c:v>0.0337127291989269</c:v>
                  </c:pt>
                  <c:pt idx="5">
                    <c:v>0.0677949129644179</c:v>
                  </c:pt>
                  <c:pt idx="6">
                    <c:v>0.090379956882469</c:v>
                  </c:pt>
                  <c:pt idx="7">
                    <c:v>0.469155696220604</c:v>
                  </c:pt>
                  <c:pt idx="8">
                    <c:v>0.195242033380182</c:v>
                  </c:pt>
                  <c:pt idx="9">
                    <c:v>0.0352513428755383</c:v>
                  </c:pt>
                  <c:pt idx="10">
                    <c:v>0.326144786280515</c:v>
                  </c:pt>
                  <c:pt idx="11">
                    <c:v>0.491280640081783</c:v>
                  </c:pt>
                  <c:pt idx="12">
                    <c:v>0.749748561378788</c:v>
                  </c:pt>
                  <c:pt idx="13">
                    <c:v>0.124506792231692</c:v>
                  </c:pt>
                  <c:pt idx="14">
                    <c:v>0.507696568310556</c:v>
                  </c:pt>
                  <c:pt idx="15">
                    <c:v>0.275875591954598</c:v>
                  </c:pt>
                  <c:pt idx="16">
                    <c:v>0.515604569374098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4.192928754415285</c:v>
                </c:pt>
                <c:pt idx="1">
                  <c:v>4.576703736335124</c:v>
                </c:pt>
                <c:pt idx="2">
                  <c:v>5.042799269110874</c:v>
                </c:pt>
                <c:pt idx="3">
                  <c:v>5.394946415903201</c:v>
                </c:pt>
                <c:pt idx="4">
                  <c:v>5.798589422215508</c:v>
                </c:pt>
                <c:pt idx="5">
                  <c:v>6.948978578852879</c:v>
                </c:pt>
                <c:pt idx="6">
                  <c:v>11.47789869195616</c:v>
                </c:pt>
                <c:pt idx="7">
                  <c:v>18.29128845819925</c:v>
                </c:pt>
                <c:pt idx="8">
                  <c:v>28.26360252509678</c:v>
                </c:pt>
                <c:pt idx="9">
                  <c:v>34.37005930364986</c:v>
                </c:pt>
                <c:pt idx="10">
                  <c:v>36.1064828445004</c:v>
                </c:pt>
                <c:pt idx="11">
                  <c:v>36.14114367096824</c:v>
                </c:pt>
                <c:pt idx="12">
                  <c:v>35.88277975619285</c:v>
                </c:pt>
                <c:pt idx="13">
                  <c:v>34.79119615437718</c:v>
                </c:pt>
                <c:pt idx="14">
                  <c:v>36.59420935304544</c:v>
                </c:pt>
                <c:pt idx="15">
                  <c:v>39.41188060054619</c:v>
                </c:pt>
                <c:pt idx="16">
                  <c:v>35.61114410944611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0.0870561426157792</c:v>
                  </c:pt>
                  <c:pt idx="1">
                    <c:v>0.0251619121942313</c:v>
                  </c:pt>
                  <c:pt idx="2">
                    <c:v>0.0252095974352816</c:v>
                  </c:pt>
                  <c:pt idx="3">
                    <c:v>0.0</c:v>
                  </c:pt>
                  <c:pt idx="4">
                    <c:v>0.0507849836780779</c:v>
                  </c:pt>
                  <c:pt idx="5">
                    <c:v>0.0255316287806228</c:v>
                  </c:pt>
                  <c:pt idx="6">
                    <c:v>0.0445651268098942</c:v>
                  </c:pt>
                  <c:pt idx="7">
                    <c:v>0.0260271410001641</c:v>
                  </c:pt>
                  <c:pt idx="8">
                    <c:v>0.0528243157577295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0.0870561426157792</c:v>
                  </c:pt>
                  <c:pt idx="1">
                    <c:v>0.0251619121942313</c:v>
                  </c:pt>
                  <c:pt idx="2">
                    <c:v>0.0252095974352816</c:v>
                  </c:pt>
                  <c:pt idx="3">
                    <c:v>0.0</c:v>
                  </c:pt>
                  <c:pt idx="4">
                    <c:v>0.0507849836780779</c:v>
                  </c:pt>
                  <c:pt idx="5">
                    <c:v>0.0255316287806228</c:v>
                  </c:pt>
                  <c:pt idx="6">
                    <c:v>0.0445651268098942</c:v>
                  </c:pt>
                  <c:pt idx="7">
                    <c:v>0.0260271410001641</c:v>
                  </c:pt>
                  <c:pt idx="8">
                    <c:v>0.0528243157577295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1.131729854005129</c:v>
                </c:pt>
                <c:pt idx="1">
                  <c:v>1.147651705514547</c:v>
                </c:pt>
                <c:pt idx="2">
                  <c:v>1.324483875753396</c:v>
                </c:pt>
                <c:pt idx="3">
                  <c:v>1.445597301021602</c:v>
                </c:pt>
                <c:pt idx="4">
                  <c:v>1.524677647861114</c:v>
                </c:pt>
                <c:pt idx="5">
                  <c:v>1.400365811187506</c:v>
                </c:pt>
                <c:pt idx="6">
                  <c:v>1.648909691966083</c:v>
                </c:pt>
                <c:pt idx="7">
                  <c:v>2.734873389007954</c:v>
                </c:pt>
                <c:pt idx="8">
                  <c:v>2.028125839345112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0.0813566775204078</c:v>
                </c:pt>
                <c:pt idx="1">
                  <c:v>0.262047965113518</c:v>
                </c:pt>
                <c:pt idx="2">
                  <c:v>0.474073617620295</c:v>
                </c:pt>
                <c:pt idx="3">
                  <c:v>0.718775098073113</c:v>
                </c:pt>
                <c:pt idx="4">
                  <c:v>1.004368644431621</c:v>
                </c:pt>
                <c:pt idx="5">
                  <c:v>1.33423744321698</c:v>
                </c:pt>
                <c:pt idx="6">
                  <c:v>1.727581887313065</c:v>
                </c:pt>
                <c:pt idx="7">
                  <c:v>2.222252213866129</c:v>
                </c:pt>
                <c:pt idx="8">
                  <c:v>2.854727176440476</c:v>
                </c:pt>
                <c:pt idx="9">
                  <c:v>3.633045071621182</c:v>
                </c:pt>
                <c:pt idx="10">
                  <c:v>4.569469192394594</c:v>
                </c:pt>
                <c:pt idx="11">
                  <c:v>5.669056160653056</c:v>
                </c:pt>
                <c:pt idx="12">
                  <c:v>6.936473677026453</c:v>
                </c:pt>
                <c:pt idx="13">
                  <c:v>8.372946026031723</c:v>
                </c:pt>
                <c:pt idx="14">
                  <c:v>9.962059887956128</c:v>
                </c:pt>
                <c:pt idx="15">
                  <c:v>11.7122941622284</c:v>
                </c:pt>
                <c:pt idx="16">
                  <c:v>13.5780253712188</c:v>
                </c:pt>
                <c:pt idx="17">
                  <c:v>15.52167571684197</c:v>
                </c:pt>
                <c:pt idx="18">
                  <c:v>17.59338556831641</c:v>
                </c:pt>
                <c:pt idx="19">
                  <c:v>19.78645327593737</c:v>
                </c:pt>
                <c:pt idx="20">
                  <c:v>22.13558339583113</c:v>
                </c:pt>
                <c:pt idx="21">
                  <c:v>24.65419423506476</c:v>
                </c:pt>
                <c:pt idx="22">
                  <c:v>27.32222928827734</c:v>
                </c:pt>
                <c:pt idx="23">
                  <c:v>30.24252588824298</c:v>
                </c:pt>
                <c:pt idx="24">
                  <c:v>33.29285985023403</c:v>
                </c:pt>
                <c:pt idx="25">
                  <c:v>36.11485609280615</c:v>
                </c:pt>
                <c:pt idx="26">
                  <c:v>38.59373108468742</c:v>
                </c:pt>
                <c:pt idx="27">
                  <c:v>40.82243512296194</c:v>
                </c:pt>
                <c:pt idx="28">
                  <c:v>42.83947398524803</c:v>
                </c:pt>
                <c:pt idx="29">
                  <c:v>44.66024574627542</c:v>
                </c:pt>
                <c:pt idx="30">
                  <c:v>46.2852243779138</c:v>
                </c:pt>
                <c:pt idx="31">
                  <c:v>47.76744778537807</c:v>
                </c:pt>
                <c:pt idx="32">
                  <c:v>49.12206759647646</c:v>
                </c:pt>
                <c:pt idx="33">
                  <c:v>50.31630961470214</c:v>
                </c:pt>
                <c:pt idx="34">
                  <c:v>51.3884601981421</c:v>
                </c:pt>
                <c:pt idx="35">
                  <c:v>52.34932043134758</c:v>
                </c:pt>
                <c:pt idx="36">
                  <c:v>53.2037440265241</c:v>
                </c:pt>
                <c:pt idx="37">
                  <c:v>53.96954922371937</c:v>
                </c:pt>
                <c:pt idx="38">
                  <c:v>54.64307028035517</c:v>
                </c:pt>
                <c:pt idx="39">
                  <c:v>55.2302156129633</c:v>
                </c:pt>
                <c:pt idx="40">
                  <c:v>55.7469848283278</c:v>
                </c:pt>
                <c:pt idx="41">
                  <c:v>56.20546239916237</c:v>
                </c:pt>
                <c:pt idx="42">
                  <c:v>56.61517349402685</c:v>
                </c:pt>
                <c:pt idx="43">
                  <c:v>56.98183438950157</c:v>
                </c:pt>
                <c:pt idx="44">
                  <c:v>57.31076351944375</c:v>
                </c:pt>
                <c:pt idx="45">
                  <c:v>57.61071161538525</c:v>
                </c:pt>
                <c:pt idx="46">
                  <c:v>57.88675117204538</c:v>
                </c:pt>
                <c:pt idx="47">
                  <c:v>58.14394021713536</c:v>
                </c:pt>
                <c:pt idx="48">
                  <c:v>58.39270862323133</c:v>
                </c:pt>
                <c:pt idx="49">
                  <c:v>58.63574920197954</c:v>
                </c:pt>
                <c:pt idx="50">
                  <c:v>58.86910431991671</c:v>
                </c:pt>
                <c:pt idx="51">
                  <c:v>59.09634756666354</c:v>
                </c:pt>
                <c:pt idx="52">
                  <c:v>59.3204503000179</c:v>
                </c:pt>
                <c:pt idx="53">
                  <c:v>59.54093916860997</c:v>
                </c:pt>
                <c:pt idx="54">
                  <c:v>59.75839223917765</c:v>
                </c:pt>
                <c:pt idx="55">
                  <c:v>59.97573301317413</c:v>
                </c:pt>
                <c:pt idx="56">
                  <c:v>60.19273642363176</c:v>
                </c:pt>
                <c:pt idx="57">
                  <c:v>60.40787627959745</c:v>
                </c:pt>
                <c:pt idx="58">
                  <c:v>60.61898483080406</c:v>
                </c:pt>
                <c:pt idx="59">
                  <c:v>60.82623075902101</c:v>
                </c:pt>
                <c:pt idx="60">
                  <c:v>61.03462077321753</c:v>
                </c:pt>
                <c:pt idx="61">
                  <c:v>61.2426656057595</c:v>
                </c:pt>
                <c:pt idx="62">
                  <c:v>61.44307134439665</c:v>
                </c:pt>
                <c:pt idx="63">
                  <c:v>61.63541805711072</c:v>
                </c:pt>
                <c:pt idx="64">
                  <c:v>61.82156296390221</c:v>
                </c:pt>
                <c:pt idx="65">
                  <c:v>62.00163249058534</c:v>
                </c:pt>
                <c:pt idx="66">
                  <c:v>62.17855922026284</c:v>
                </c:pt>
                <c:pt idx="67">
                  <c:v>62.34959500278453</c:v>
                </c:pt>
                <c:pt idx="68">
                  <c:v>62.51257175938314</c:v>
                </c:pt>
                <c:pt idx="69">
                  <c:v>62.6703129999099</c:v>
                </c:pt>
                <c:pt idx="70">
                  <c:v>62.82102050307769</c:v>
                </c:pt>
                <c:pt idx="71">
                  <c:v>62.96438341011969</c:v>
                </c:pt>
                <c:pt idx="72">
                  <c:v>63.10226736942401</c:v>
                </c:pt>
                <c:pt idx="73">
                  <c:v>63.23463023905258</c:v>
                </c:pt>
                <c:pt idx="74">
                  <c:v>63.36206051877598</c:v>
                </c:pt>
                <c:pt idx="75">
                  <c:v>63.48426371081516</c:v>
                </c:pt>
                <c:pt idx="76">
                  <c:v>63.60065181118706</c:v>
                </c:pt>
                <c:pt idx="77">
                  <c:v>63.712451893971</c:v>
                </c:pt>
                <c:pt idx="78">
                  <c:v>63.82073932226924</c:v>
                </c:pt>
                <c:pt idx="79">
                  <c:v>63.92517795215219</c:v>
                </c:pt>
                <c:pt idx="80">
                  <c:v>64.0250954957606</c:v>
                </c:pt>
                <c:pt idx="81">
                  <c:v>64.12147509972047</c:v>
                </c:pt>
                <c:pt idx="82">
                  <c:v>64.2139974768774</c:v>
                </c:pt>
                <c:pt idx="83">
                  <c:v>64.30275533949521</c:v>
                </c:pt>
                <c:pt idx="84">
                  <c:v>64.38882405067611</c:v>
                </c:pt>
                <c:pt idx="85">
                  <c:v>64.47146389545996</c:v>
                </c:pt>
                <c:pt idx="86">
                  <c:v>64.5501959431152</c:v>
                </c:pt>
                <c:pt idx="87">
                  <c:v>64.62691955558037</c:v>
                </c:pt>
                <c:pt idx="88">
                  <c:v>64.70225645038903</c:v>
                </c:pt>
                <c:pt idx="89">
                  <c:v>64.77508912250083</c:v>
                </c:pt>
                <c:pt idx="90">
                  <c:v>64.84635907239118</c:v>
                </c:pt>
                <c:pt idx="91">
                  <c:v>64.91647780369074</c:v>
                </c:pt>
                <c:pt idx="92">
                  <c:v>64.98652067950175</c:v>
                </c:pt>
                <c:pt idx="93">
                  <c:v>65.0563617697975</c:v>
                </c:pt>
                <c:pt idx="94">
                  <c:v>65.12574921452453</c:v>
                </c:pt>
                <c:pt idx="95">
                  <c:v>65.19660716499673</c:v>
                </c:pt>
                <c:pt idx="96">
                  <c:v>65.2706993675077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0.095019656511193</c:v>
                  </c:pt>
                  <c:pt idx="1">
                    <c:v>0.0671180751695236</c:v>
                  </c:pt>
                  <c:pt idx="2">
                    <c:v>0.100404146596502</c:v>
                  </c:pt>
                  <c:pt idx="3">
                    <c:v>0.92302405770141</c:v>
                  </c:pt>
                  <c:pt idx="4">
                    <c:v>0.175646665939636</c:v>
                  </c:pt>
                  <c:pt idx="5">
                    <c:v>0.258881729983945</c:v>
                  </c:pt>
                  <c:pt idx="6">
                    <c:v>0.185120159017898</c:v>
                  </c:pt>
                  <c:pt idx="7">
                    <c:v>0.565233628553463</c:v>
                  </c:pt>
                  <c:pt idx="8">
                    <c:v>0.0309240334022281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0.095019656511193</c:v>
                  </c:pt>
                  <c:pt idx="1">
                    <c:v>0.0671180751695236</c:v>
                  </c:pt>
                  <c:pt idx="2">
                    <c:v>0.100404146596502</c:v>
                  </c:pt>
                  <c:pt idx="3">
                    <c:v>0.92302405770141</c:v>
                  </c:pt>
                  <c:pt idx="4">
                    <c:v>0.175646665939636</c:v>
                  </c:pt>
                  <c:pt idx="5">
                    <c:v>0.258881729983945</c:v>
                  </c:pt>
                  <c:pt idx="6">
                    <c:v>0.185120159017898</c:v>
                  </c:pt>
                  <c:pt idx="7">
                    <c:v>0.565233628553463</c:v>
                  </c:pt>
                  <c:pt idx="8">
                    <c:v>0.0309240334022281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47.50980742936733</c:v>
                </c:pt>
                <c:pt idx="1">
                  <c:v>47.18234273876506</c:v>
                </c:pt>
                <c:pt idx="2">
                  <c:v>46.60983605335196</c:v>
                </c:pt>
                <c:pt idx="3">
                  <c:v>44.30624296726732</c:v>
                </c:pt>
                <c:pt idx="4">
                  <c:v>41.32202052394194</c:v>
                </c:pt>
                <c:pt idx="5">
                  <c:v>36.58462390968065</c:v>
                </c:pt>
                <c:pt idx="6">
                  <c:v>29.27764416699309</c:v>
                </c:pt>
                <c:pt idx="7">
                  <c:v>19.82598041374488</c:v>
                </c:pt>
                <c:pt idx="8">
                  <c:v>4.312940629643175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0.0919015022739868</c:v>
                  </c:pt>
                  <c:pt idx="1">
                    <c:v>0.0695566138916618</c:v>
                  </c:pt>
                  <c:pt idx="2">
                    <c:v>0.0921891316493257</c:v>
                  </c:pt>
                  <c:pt idx="3">
                    <c:v>0.277464758331975</c:v>
                  </c:pt>
                  <c:pt idx="4">
                    <c:v>0.0956583239011033</c:v>
                  </c:pt>
                  <c:pt idx="5">
                    <c:v>0.0462045684203078</c:v>
                  </c:pt>
                  <c:pt idx="6">
                    <c:v>0.188182107766289</c:v>
                  </c:pt>
                  <c:pt idx="7">
                    <c:v>0.799682366214244</c:v>
                  </c:pt>
                  <c:pt idx="8">
                    <c:v>0.198999197819503</c:v>
                  </c:pt>
                  <c:pt idx="9">
                    <c:v>0.0277416855413505</c:v>
                  </c:pt>
                  <c:pt idx="10">
                    <c:v>0.251218804462497</c:v>
                  </c:pt>
                  <c:pt idx="11">
                    <c:v>0.530956407700168</c:v>
                  </c:pt>
                  <c:pt idx="12">
                    <c:v>0.680402402469109</c:v>
                  </c:pt>
                  <c:pt idx="13">
                    <c:v>0.060807450245823</c:v>
                  </c:pt>
                  <c:pt idx="14">
                    <c:v>0.238401122322714</c:v>
                  </c:pt>
                  <c:pt idx="15">
                    <c:v>0.288785736208208</c:v>
                  </c:pt>
                  <c:pt idx="16">
                    <c:v>0.716455190999571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0.0919015022739868</c:v>
                  </c:pt>
                  <c:pt idx="1">
                    <c:v>0.0695566138916618</c:v>
                  </c:pt>
                  <c:pt idx="2">
                    <c:v>0.0921891316493257</c:v>
                  </c:pt>
                  <c:pt idx="3">
                    <c:v>0.277464758331975</c:v>
                  </c:pt>
                  <c:pt idx="4">
                    <c:v>0.0956583239011033</c:v>
                  </c:pt>
                  <c:pt idx="5">
                    <c:v>0.0462045684203078</c:v>
                  </c:pt>
                  <c:pt idx="6">
                    <c:v>0.188182107766289</c:v>
                  </c:pt>
                  <c:pt idx="7">
                    <c:v>0.799682366214244</c:v>
                  </c:pt>
                  <c:pt idx="8">
                    <c:v>0.198999197819503</c:v>
                  </c:pt>
                  <c:pt idx="9">
                    <c:v>0.0277416855413505</c:v>
                  </c:pt>
                  <c:pt idx="10">
                    <c:v>0.251218804462497</c:v>
                  </c:pt>
                  <c:pt idx="11">
                    <c:v>0.530956407700168</c:v>
                  </c:pt>
                  <c:pt idx="12">
                    <c:v>0.680402402469109</c:v>
                  </c:pt>
                  <c:pt idx="13">
                    <c:v>0.060807450245823</c:v>
                  </c:pt>
                  <c:pt idx="14">
                    <c:v>0.238401122322714</c:v>
                  </c:pt>
                  <c:pt idx="15">
                    <c:v>0.288785736208208</c:v>
                  </c:pt>
                  <c:pt idx="16">
                    <c:v>0.716455190999571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1.781278416150294</c:v>
                </c:pt>
                <c:pt idx="1">
                  <c:v>2.474095098269866</c:v>
                </c:pt>
                <c:pt idx="2">
                  <c:v>3.596517663963917</c:v>
                </c:pt>
                <c:pt idx="3">
                  <c:v>5.789881612448681</c:v>
                </c:pt>
                <c:pt idx="4">
                  <c:v>8.88420266537617</c:v>
                </c:pt>
                <c:pt idx="5">
                  <c:v>13.05279057873696</c:v>
                </c:pt>
                <c:pt idx="6">
                  <c:v>17.37575799275927</c:v>
                </c:pt>
                <c:pt idx="7">
                  <c:v>23.88035732158865</c:v>
                </c:pt>
                <c:pt idx="8">
                  <c:v>29.28427884893234</c:v>
                </c:pt>
                <c:pt idx="9">
                  <c:v>31.32059743227455</c:v>
                </c:pt>
                <c:pt idx="10">
                  <c:v>32.051113370901</c:v>
                </c:pt>
                <c:pt idx="11">
                  <c:v>32.42415815163469</c:v>
                </c:pt>
                <c:pt idx="12">
                  <c:v>32.22086970370678</c:v>
                </c:pt>
                <c:pt idx="13">
                  <c:v>31.58835096435591</c:v>
                </c:pt>
                <c:pt idx="14">
                  <c:v>33.96097104354258</c:v>
                </c:pt>
                <c:pt idx="15">
                  <c:v>38.9635374600302</c:v>
                </c:pt>
                <c:pt idx="16">
                  <c:v>37.23318484397158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0.0893487127013467</c:v>
                </c:pt>
                <c:pt idx="1">
                  <c:v>0.445956436065829</c:v>
                </c:pt>
                <c:pt idx="2">
                  <c:v>1.150034802704443</c:v>
                </c:pt>
                <c:pt idx="3">
                  <c:v>2.154017745011807</c:v>
                </c:pt>
                <c:pt idx="4">
                  <c:v>3.432874810549032</c:v>
                </c:pt>
                <c:pt idx="5">
                  <c:v>4.94467883026068</c:v>
                </c:pt>
                <c:pt idx="6">
                  <c:v>6.763747641059044</c:v>
                </c:pt>
                <c:pt idx="7">
                  <c:v>9.170144605380936</c:v>
                </c:pt>
                <c:pt idx="8">
                  <c:v>12.33353087351043</c:v>
                </c:pt>
                <c:pt idx="9">
                  <c:v>15.85223676219393</c:v>
                </c:pt>
                <c:pt idx="10">
                  <c:v>19.41509962596929</c:v>
                </c:pt>
                <c:pt idx="11">
                  <c:v>23.11258027089004</c:v>
                </c:pt>
                <c:pt idx="12">
                  <c:v>27.08197563585822</c:v>
                </c:pt>
                <c:pt idx="13">
                  <c:v>31.18118486211723</c:v>
                </c:pt>
                <c:pt idx="14">
                  <c:v>35.05254259693851</c:v>
                </c:pt>
                <c:pt idx="15">
                  <c:v>39.04688257844945</c:v>
                </c:pt>
                <c:pt idx="16">
                  <c:v>42.86549854504955</c:v>
                </c:pt>
                <c:pt idx="17">
                  <c:v>45.89520317468239</c:v>
                </c:pt>
                <c:pt idx="18">
                  <c:v>48.28825439514605</c:v>
                </c:pt>
                <c:pt idx="19">
                  <c:v>50.3306998485448</c:v>
                </c:pt>
                <c:pt idx="20">
                  <c:v>52.3013184289512</c:v>
                </c:pt>
                <c:pt idx="21">
                  <c:v>54.13897339594747</c:v>
                </c:pt>
                <c:pt idx="22">
                  <c:v>55.75650483851761</c:v>
                </c:pt>
                <c:pt idx="23">
                  <c:v>57.08510724779515</c:v>
                </c:pt>
                <c:pt idx="24">
                  <c:v>57.8647161797755</c:v>
                </c:pt>
                <c:pt idx="25">
                  <c:v>58.1557783738767</c:v>
                </c:pt>
                <c:pt idx="26">
                  <c:v>58.26887214589747</c:v>
                </c:pt>
                <c:pt idx="27">
                  <c:v>58.31316632963809</c:v>
                </c:pt>
                <c:pt idx="28">
                  <c:v>58.33287664084726</c:v>
                </c:pt>
                <c:pt idx="29">
                  <c:v>58.35211890682754</c:v>
                </c:pt>
                <c:pt idx="30">
                  <c:v>58.37230907959567</c:v>
                </c:pt>
                <c:pt idx="31">
                  <c:v>58.39178864779035</c:v>
                </c:pt>
                <c:pt idx="32">
                  <c:v>58.41058993064322</c:v>
                </c:pt>
                <c:pt idx="33">
                  <c:v>58.42742248401365</c:v>
                </c:pt>
                <c:pt idx="34">
                  <c:v>58.44626777700184</c:v>
                </c:pt>
                <c:pt idx="35">
                  <c:v>58.46604139407093</c:v>
                </c:pt>
                <c:pt idx="36">
                  <c:v>58.48895544984295</c:v>
                </c:pt>
                <c:pt idx="37">
                  <c:v>58.51596399770634</c:v>
                </c:pt>
                <c:pt idx="38">
                  <c:v>58.54201546256432</c:v>
                </c:pt>
                <c:pt idx="39">
                  <c:v>58.56881107415207</c:v>
                </c:pt>
                <c:pt idx="40">
                  <c:v>58.59943456566749</c:v>
                </c:pt>
                <c:pt idx="41">
                  <c:v>58.63537468266413</c:v>
                </c:pt>
                <c:pt idx="42">
                  <c:v>58.67290978730514</c:v>
                </c:pt>
                <c:pt idx="43">
                  <c:v>58.71411318269059</c:v>
                </c:pt>
                <c:pt idx="44">
                  <c:v>58.75983570973508</c:v>
                </c:pt>
                <c:pt idx="45">
                  <c:v>58.81390524836628</c:v>
                </c:pt>
                <c:pt idx="46">
                  <c:v>58.87999008932864</c:v>
                </c:pt>
                <c:pt idx="47">
                  <c:v>58.95585779243284</c:v>
                </c:pt>
                <c:pt idx="48">
                  <c:v>59.0587477157287</c:v>
                </c:pt>
                <c:pt idx="49">
                  <c:v>59.17643120558628</c:v>
                </c:pt>
                <c:pt idx="50">
                  <c:v>59.29756935494061</c:v>
                </c:pt>
                <c:pt idx="51">
                  <c:v>59.4321366579717</c:v>
                </c:pt>
                <c:pt idx="52">
                  <c:v>59.57104988569137</c:v>
                </c:pt>
                <c:pt idx="53">
                  <c:v>59.71313916369314</c:v>
                </c:pt>
                <c:pt idx="54">
                  <c:v>59.86347536921392</c:v>
                </c:pt>
                <c:pt idx="55">
                  <c:v>59.99180144677644</c:v>
                </c:pt>
                <c:pt idx="56">
                  <c:v>60.09566582482177</c:v>
                </c:pt>
                <c:pt idx="57">
                  <c:v>60.19156235838793</c:v>
                </c:pt>
                <c:pt idx="58">
                  <c:v>60.26918250653246</c:v>
                </c:pt>
                <c:pt idx="59">
                  <c:v>60.33292763149173</c:v>
                </c:pt>
                <c:pt idx="60">
                  <c:v>60.38972663002474</c:v>
                </c:pt>
                <c:pt idx="61">
                  <c:v>60.44144272064681</c:v>
                </c:pt>
                <c:pt idx="62">
                  <c:v>60.48826092648917</c:v>
                </c:pt>
                <c:pt idx="63">
                  <c:v>60.53507913233154</c:v>
                </c:pt>
                <c:pt idx="64">
                  <c:v>60.57834105438761</c:v>
                </c:pt>
                <c:pt idx="65">
                  <c:v>60.61513096632988</c:v>
                </c:pt>
                <c:pt idx="66">
                  <c:v>60.63227232359007</c:v>
                </c:pt>
                <c:pt idx="67">
                  <c:v>60.65005522988406</c:v>
                </c:pt>
                <c:pt idx="68">
                  <c:v>60.68521251356643</c:v>
                </c:pt>
                <c:pt idx="69">
                  <c:v>60.7185041488607</c:v>
                </c:pt>
                <c:pt idx="70">
                  <c:v>60.75255384325288</c:v>
                </c:pt>
                <c:pt idx="71">
                  <c:v>60.78532043957745</c:v>
                </c:pt>
                <c:pt idx="72">
                  <c:v>60.81167352871403</c:v>
                </c:pt>
                <c:pt idx="73">
                  <c:v>60.83511138731061</c:v>
                </c:pt>
                <c:pt idx="74">
                  <c:v>60.86408818393318</c:v>
                </c:pt>
                <c:pt idx="75">
                  <c:v>60.89545566791356</c:v>
                </c:pt>
                <c:pt idx="76">
                  <c:v>60.91924355248994</c:v>
                </c:pt>
                <c:pt idx="77">
                  <c:v>60.94034922665452</c:v>
                </c:pt>
                <c:pt idx="78">
                  <c:v>60.9657697394908</c:v>
                </c:pt>
                <c:pt idx="79">
                  <c:v>60.99568010398868</c:v>
                </c:pt>
                <c:pt idx="80">
                  <c:v>61.02407435029075</c:v>
                </c:pt>
                <c:pt idx="81">
                  <c:v>61.05206006768723</c:v>
                </c:pt>
                <c:pt idx="82">
                  <c:v>61.0806288311917</c:v>
                </c:pt>
                <c:pt idx="83">
                  <c:v>61.10768197228789</c:v>
                </c:pt>
                <c:pt idx="84">
                  <c:v>61.13642624456976</c:v>
                </c:pt>
                <c:pt idx="85">
                  <c:v>61.16470398080775</c:v>
                </c:pt>
                <c:pt idx="86">
                  <c:v>61.19455584237982</c:v>
                </c:pt>
                <c:pt idx="87">
                  <c:v>61.2234166247258</c:v>
                </c:pt>
                <c:pt idx="88">
                  <c:v>61.249012150552</c:v>
                </c:pt>
                <c:pt idx="89">
                  <c:v>61.27192546596637</c:v>
                </c:pt>
                <c:pt idx="90">
                  <c:v>61.29291463006684</c:v>
                </c:pt>
                <c:pt idx="91">
                  <c:v>61.31501187924503</c:v>
                </c:pt>
                <c:pt idx="92">
                  <c:v>61.33944131285521</c:v>
                </c:pt>
                <c:pt idx="93">
                  <c:v>61.36853511532938</c:v>
                </c:pt>
                <c:pt idx="94">
                  <c:v>61.40007810808717</c:v>
                </c:pt>
                <c:pt idx="95">
                  <c:v>61.43220365116544</c:v>
                </c:pt>
                <c:pt idx="96">
                  <c:v>61.46475810449493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89928"/>
        <c:axId val="-208988695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9897.0</c:v>
                </c:pt>
                <c:pt idx="1">
                  <c:v>17041.0</c:v>
                </c:pt>
                <c:pt idx="2">
                  <c:v>32079.0</c:v>
                </c:pt>
                <c:pt idx="3">
                  <c:v>5310.0</c:v>
                </c:pt>
                <c:pt idx="4">
                  <c:v>8276.0</c:v>
                </c:pt>
                <c:pt idx="5">
                  <c:v>15616.0</c:v>
                </c:pt>
                <c:pt idx="6">
                  <c:v>23180.0</c:v>
                </c:pt>
                <c:pt idx="7">
                  <c:v>33964.0</c:v>
                </c:pt>
                <c:pt idx="8">
                  <c:v>45819.0</c:v>
                </c:pt>
                <c:pt idx="9">
                  <c:v>54489.0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0.0234506429974955</c:v>
                  </c:pt>
                  <c:pt idx="1">
                    <c:v>0.0198702127604747</c:v>
                  </c:pt>
                  <c:pt idx="2">
                    <c:v>0.0024967546308058</c:v>
                  </c:pt>
                  <c:pt idx="3">
                    <c:v>0.0358959447335206</c:v>
                  </c:pt>
                  <c:pt idx="4">
                    <c:v>0.0686621415259472</c:v>
                  </c:pt>
                  <c:pt idx="5">
                    <c:v>0.0258078256946932</c:v>
                  </c:pt>
                  <c:pt idx="6">
                    <c:v>0.0415109702098532</c:v>
                  </c:pt>
                  <c:pt idx="7">
                    <c:v>0.0454723820202516</c:v>
                  </c:pt>
                  <c:pt idx="8">
                    <c:v>0.0204708272741489</c:v>
                  </c:pt>
                  <c:pt idx="9">
                    <c:v>0.0150086882919881</c:v>
                  </c:pt>
                  <c:pt idx="10">
                    <c:v>0.0179908052222104</c:v>
                  </c:pt>
                  <c:pt idx="11">
                    <c:v>0.0228130656902094</c:v>
                  </c:pt>
                  <c:pt idx="12">
                    <c:v>0.0331451737683756</c:v>
                  </c:pt>
                  <c:pt idx="13">
                    <c:v>0.0347011905195009</c:v>
                  </c:pt>
                  <c:pt idx="14">
                    <c:v>0.0181612723182613</c:v>
                  </c:pt>
                  <c:pt idx="15">
                    <c:v>0.0746129376235366</c:v>
                  </c:pt>
                  <c:pt idx="16">
                    <c:v>0.0519510733085287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0.0234506429974955</c:v>
                  </c:pt>
                  <c:pt idx="1">
                    <c:v>0.0198702127604747</c:v>
                  </c:pt>
                  <c:pt idx="2">
                    <c:v>0.0024967546308058</c:v>
                  </c:pt>
                  <c:pt idx="3">
                    <c:v>0.0358959447335206</c:v>
                  </c:pt>
                  <c:pt idx="4">
                    <c:v>0.0686621415259472</c:v>
                  </c:pt>
                  <c:pt idx="5">
                    <c:v>0.0258078256946932</c:v>
                  </c:pt>
                  <c:pt idx="6">
                    <c:v>0.0415109702098532</c:v>
                  </c:pt>
                  <c:pt idx="7">
                    <c:v>0.0454723820202516</c:v>
                  </c:pt>
                  <c:pt idx="8">
                    <c:v>0.0204708272741489</c:v>
                  </c:pt>
                  <c:pt idx="9">
                    <c:v>0.0150086882919881</c:v>
                  </c:pt>
                  <c:pt idx="10">
                    <c:v>0.0179908052222104</c:v>
                  </c:pt>
                  <c:pt idx="11">
                    <c:v>0.0228130656902094</c:v>
                  </c:pt>
                  <c:pt idx="12">
                    <c:v>0.0331451737683756</c:v>
                  </c:pt>
                  <c:pt idx="13">
                    <c:v>0.0347011905195009</c:v>
                  </c:pt>
                  <c:pt idx="14">
                    <c:v>0.0181612723182613</c:v>
                  </c:pt>
                  <c:pt idx="15">
                    <c:v>0.0746129376235366</c:v>
                  </c:pt>
                  <c:pt idx="16">
                    <c:v>0.0519510733085287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8.162440119495053</c:v>
                </c:pt>
                <c:pt idx="1">
                  <c:v>8.37601804282825</c:v>
                </c:pt>
                <c:pt idx="2">
                  <c:v>8.674514870502702</c:v>
                </c:pt>
                <c:pt idx="3">
                  <c:v>8.861768664671025</c:v>
                </c:pt>
                <c:pt idx="4">
                  <c:v>9.100626637524015</c:v>
                </c:pt>
                <c:pt idx="5">
                  <c:v>9.340022789412087</c:v>
                </c:pt>
                <c:pt idx="6">
                  <c:v>9.500837289967485</c:v>
                </c:pt>
                <c:pt idx="7">
                  <c:v>9.679787004201017</c:v>
                </c:pt>
                <c:pt idx="8">
                  <c:v>9.86633098734599</c:v>
                </c:pt>
                <c:pt idx="9">
                  <c:v>9.93529284264618</c:v>
                </c:pt>
                <c:pt idx="10">
                  <c:v>9.96828601071716</c:v>
                </c:pt>
                <c:pt idx="11">
                  <c:v>9.955256840292433</c:v>
                </c:pt>
                <c:pt idx="12">
                  <c:v>9.877543948586026</c:v>
                </c:pt>
                <c:pt idx="13">
                  <c:v>9.90939975746904</c:v>
                </c:pt>
                <c:pt idx="14">
                  <c:v>9.874652976145155</c:v>
                </c:pt>
                <c:pt idx="15">
                  <c:v>9.646361124968996</c:v>
                </c:pt>
                <c:pt idx="16">
                  <c:v>9.377418336691484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'Total cell count'!$F$5:$F$21</c:f>
                <c:numCache>
                  <c:formatCode>General</c:formatCode>
                  <c:ptCount val="17"/>
                  <c:pt idx="0">
                    <c:v>0.0913884519399441</c:v>
                  </c:pt>
                  <c:pt idx="1">
                    <c:v>0.154962336771138</c:v>
                  </c:pt>
                  <c:pt idx="2">
                    <c:v>0.161925593674571</c:v>
                  </c:pt>
                  <c:pt idx="3">
                    <c:v>0.0861491972541618</c:v>
                  </c:pt>
                  <c:pt idx="4">
                    <c:v>0.0717807740178123</c:v>
                  </c:pt>
                  <c:pt idx="5">
                    <c:v>0.0219442441017088</c:v>
                  </c:pt>
                  <c:pt idx="6">
                    <c:v>0.0451179569567645</c:v>
                  </c:pt>
                  <c:pt idx="7">
                    <c:v>0.0512400866677135</c:v>
                  </c:pt>
                  <c:pt idx="8">
                    <c:v>0.0256990489761911</c:v>
                  </c:pt>
                  <c:pt idx="9">
                    <c:v>0.0254691900083035</c:v>
                  </c:pt>
                  <c:pt idx="10">
                    <c:v>0.02969818154267</c:v>
                  </c:pt>
                  <c:pt idx="11">
                    <c:v>0.0476860066881661</c:v>
                  </c:pt>
                  <c:pt idx="12">
                    <c:v>0.013727306568945</c:v>
                  </c:pt>
                  <c:pt idx="13">
                    <c:v>0.0304065549313313</c:v>
                  </c:pt>
                  <c:pt idx="14">
                    <c:v>0.0572128231095048</c:v>
                  </c:pt>
                  <c:pt idx="15">
                    <c:v>0.0605110230376136</c:v>
                  </c:pt>
                  <c:pt idx="16">
                    <c:v>0.0392118042117519</c:v>
                  </c:pt>
                </c:numCache>
              </c:numRef>
            </c:plus>
            <c:minus>
              <c:numRef>
                <c:f>'Total cell count'!$F$5:$F$21</c:f>
                <c:numCache>
                  <c:formatCode>General</c:formatCode>
                  <c:ptCount val="17"/>
                  <c:pt idx="0">
                    <c:v>0.0913884519399441</c:v>
                  </c:pt>
                  <c:pt idx="1">
                    <c:v>0.154962336771138</c:v>
                  </c:pt>
                  <c:pt idx="2">
                    <c:v>0.161925593674571</c:v>
                  </c:pt>
                  <c:pt idx="3">
                    <c:v>0.0861491972541618</c:v>
                  </c:pt>
                  <c:pt idx="4">
                    <c:v>0.0717807740178123</c:v>
                  </c:pt>
                  <c:pt idx="5">
                    <c:v>0.0219442441017088</c:v>
                  </c:pt>
                  <c:pt idx="6">
                    <c:v>0.0451179569567645</c:v>
                  </c:pt>
                  <c:pt idx="7">
                    <c:v>0.0512400866677135</c:v>
                  </c:pt>
                  <c:pt idx="8">
                    <c:v>0.0256990489761911</c:v>
                  </c:pt>
                  <c:pt idx="9">
                    <c:v>0.0254691900083035</c:v>
                  </c:pt>
                  <c:pt idx="10">
                    <c:v>0.02969818154267</c:v>
                  </c:pt>
                  <c:pt idx="11">
                    <c:v>0.0476860066881661</c:v>
                  </c:pt>
                  <c:pt idx="12">
                    <c:v>0.013727306568945</c:v>
                  </c:pt>
                  <c:pt idx="13">
                    <c:v>0.0304065549313313</c:v>
                  </c:pt>
                  <c:pt idx="14">
                    <c:v>0.0572128231095048</c:v>
                  </c:pt>
                  <c:pt idx="15">
                    <c:v>0.0605110230376136</c:v>
                  </c:pt>
                  <c:pt idx="16">
                    <c:v>0.0392118042117519</c:v>
                  </c:pt>
                </c:numCache>
              </c:numRef>
            </c:minus>
          </c:errBars>
          <c:xVal>
            <c:numRef>
              <c:f>'Total cell count'!$D$5:$D$21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count'!$E$5:$E$21</c:f>
              <c:numCache>
                <c:formatCode>0.00</c:formatCode>
                <c:ptCount val="17"/>
                <c:pt idx="0">
                  <c:v>8.11726479844664</c:v>
                </c:pt>
                <c:pt idx="1">
                  <c:v>8.270279104239741</c:v>
                </c:pt>
                <c:pt idx="2">
                  <c:v>8.638203431273965</c:v>
                </c:pt>
                <c:pt idx="3">
                  <c:v>8.930008544790143</c:v>
                </c:pt>
                <c:pt idx="4">
                  <c:v>9.269445033107816</c:v>
                </c:pt>
                <c:pt idx="5">
                  <c:v>9.369481940096433</c:v>
                </c:pt>
                <c:pt idx="6">
                  <c:v>9.339245542953895</c:v>
                </c:pt>
                <c:pt idx="7">
                  <c:v>9.702887060492024</c:v>
                </c:pt>
                <c:pt idx="8">
                  <c:v>9.744324634545601</c:v>
                </c:pt>
                <c:pt idx="9">
                  <c:v>9.743953865729377</c:v>
                </c:pt>
                <c:pt idx="10">
                  <c:v>9.802605947642856</c:v>
                </c:pt>
                <c:pt idx="11">
                  <c:v>9.774438174047812</c:v>
                </c:pt>
                <c:pt idx="12">
                  <c:v>9.761842192068808</c:v>
                </c:pt>
                <c:pt idx="13">
                  <c:v>9.799879067767383</c:v>
                </c:pt>
                <c:pt idx="14">
                  <c:v>9.75590792332534</c:v>
                </c:pt>
                <c:pt idx="15">
                  <c:v>9.112437597854595</c:v>
                </c:pt>
                <c:pt idx="16">
                  <c:v>8.771264603145539</c:v>
                </c:pt>
              </c:numCache>
            </c:numRef>
          </c:yVal>
          <c:smooth val="0"/>
        </c:ser>
        <c:ser>
          <c:idx val="7"/>
          <c:order val="10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'Total cell count'!$M$5:$M$21</c:f>
                <c:numCache>
                  <c:formatCode>General</c:formatCode>
                  <c:ptCount val="17"/>
                  <c:pt idx="0">
                    <c:v>0.0473806113740326</c:v>
                  </c:pt>
                  <c:pt idx="1">
                    <c:v>0.0939266497387451</c:v>
                  </c:pt>
                  <c:pt idx="2">
                    <c:v>0.120792671657362</c:v>
                  </c:pt>
                  <c:pt idx="3">
                    <c:v>0.132334413472857</c:v>
                  </c:pt>
                  <c:pt idx="4">
                    <c:v>0.0104031394033116</c:v>
                  </c:pt>
                  <c:pt idx="5">
                    <c:v>0.113940513593047</c:v>
                  </c:pt>
                  <c:pt idx="6">
                    <c:v>0.13238550262358</c:v>
                  </c:pt>
                  <c:pt idx="7">
                    <c:v>0.0444492507247199</c:v>
                  </c:pt>
                  <c:pt idx="8">
                    <c:v>0.0911520606333074</c:v>
                  </c:pt>
                  <c:pt idx="9">
                    <c:v>0.100502344303174</c:v>
                  </c:pt>
                  <c:pt idx="10">
                    <c:v>0.133887366812222</c:v>
                  </c:pt>
                  <c:pt idx="11">
                    <c:v>0.0858477094581875</c:v>
                  </c:pt>
                  <c:pt idx="12">
                    <c:v>0.225130613393992</c:v>
                  </c:pt>
                  <c:pt idx="13">
                    <c:v>0.167061027566071</c:v>
                  </c:pt>
                  <c:pt idx="14">
                    <c:v>0.130104500678241</c:v>
                  </c:pt>
                  <c:pt idx="15">
                    <c:v>0.0504742758811871</c:v>
                  </c:pt>
                  <c:pt idx="16">
                    <c:v>0.12473097193948</c:v>
                  </c:pt>
                </c:numCache>
              </c:numRef>
            </c:plus>
            <c:minus>
              <c:numRef>
                <c:f>'Total cell count'!$M$5:$M$21</c:f>
                <c:numCache>
                  <c:formatCode>General</c:formatCode>
                  <c:ptCount val="17"/>
                  <c:pt idx="0">
                    <c:v>0.0473806113740326</c:v>
                  </c:pt>
                  <c:pt idx="1">
                    <c:v>0.0939266497387451</c:v>
                  </c:pt>
                  <c:pt idx="2">
                    <c:v>0.120792671657362</c:v>
                  </c:pt>
                  <c:pt idx="3">
                    <c:v>0.132334413472857</c:v>
                  </c:pt>
                  <c:pt idx="4">
                    <c:v>0.0104031394033116</c:v>
                  </c:pt>
                  <c:pt idx="5">
                    <c:v>0.113940513593047</c:v>
                  </c:pt>
                  <c:pt idx="6">
                    <c:v>0.13238550262358</c:v>
                  </c:pt>
                  <c:pt idx="7">
                    <c:v>0.0444492507247199</c:v>
                  </c:pt>
                  <c:pt idx="8">
                    <c:v>0.0911520606333074</c:v>
                  </c:pt>
                  <c:pt idx="9">
                    <c:v>0.100502344303174</c:v>
                  </c:pt>
                  <c:pt idx="10">
                    <c:v>0.133887366812222</c:v>
                  </c:pt>
                  <c:pt idx="11">
                    <c:v>0.0858477094581875</c:v>
                  </c:pt>
                  <c:pt idx="12">
                    <c:v>0.225130613393992</c:v>
                  </c:pt>
                  <c:pt idx="13">
                    <c:v>0.167061027566071</c:v>
                  </c:pt>
                  <c:pt idx="14">
                    <c:v>0.130104500678241</c:v>
                  </c:pt>
                  <c:pt idx="15">
                    <c:v>0.0504742758811871</c:v>
                  </c:pt>
                  <c:pt idx="16">
                    <c:v>0.12473097193948</c:v>
                  </c:pt>
                </c:numCache>
              </c:numRef>
            </c:minus>
          </c:errBars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count'!$L$5:$L$21</c:f>
              <c:numCache>
                <c:formatCode>0.00</c:formatCode>
                <c:ptCount val="17"/>
                <c:pt idx="0">
                  <c:v>7.453009446635435</c:v>
                </c:pt>
                <c:pt idx="1">
                  <c:v>7.682495088584917</c:v>
                </c:pt>
                <c:pt idx="2">
                  <c:v>7.920792072424627</c:v>
                </c:pt>
                <c:pt idx="3">
                  <c:v>8.221031416517231</c:v>
                </c:pt>
                <c:pt idx="4">
                  <c:v>8.543450542986452</c:v>
                </c:pt>
                <c:pt idx="5">
                  <c:v>8.754346545105652</c:v>
                </c:pt>
                <c:pt idx="6">
                  <c:v>9.065928112289403</c:v>
                </c:pt>
                <c:pt idx="7">
                  <c:v>9.232589586427687</c:v>
                </c:pt>
                <c:pt idx="8">
                  <c:v>9.462886745828487</c:v>
                </c:pt>
                <c:pt idx="9">
                  <c:v>9.656289576848726</c:v>
                </c:pt>
                <c:pt idx="10">
                  <c:v>9.636172253621992</c:v>
                </c:pt>
                <c:pt idx="11">
                  <c:v>9.668373050747023</c:v>
                </c:pt>
                <c:pt idx="12">
                  <c:v>9.671754730191643</c:v>
                </c:pt>
                <c:pt idx="13">
                  <c:v>9.687433452980627</c:v>
                </c:pt>
                <c:pt idx="14">
                  <c:v>9.66995071069897</c:v>
                </c:pt>
                <c:pt idx="15">
                  <c:v>9.564676664214392</c:v>
                </c:pt>
                <c:pt idx="16">
                  <c:v>9.211754131544655</c:v>
                </c:pt>
              </c:numCache>
            </c:numRef>
          </c:yVal>
          <c:smooth val="0"/>
        </c:ser>
        <c:ser>
          <c:idx val="11"/>
          <c:order val="11"/>
          <c:tx>
            <c:v>qPCR FP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'Total cell count'!$F$26:$F$42</c:f>
                <c:numCache>
                  <c:formatCode>General</c:formatCode>
                  <c:ptCount val="17"/>
                  <c:pt idx="0">
                    <c:v>0.0172237731774375</c:v>
                  </c:pt>
                  <c:pt idx="1">
                    <c:v>0.0386732403647563</c:v>
                  </c:pt>
                  <c:pt idx="2">
                    <c:v>0.122361286917721</c:v>
                  </c:pt>
                  <c:pt idx="3">
                    <c:v>0.202491768891367</c:v>
                  </c:pt>
                  <c:pt idx="4">
                    <c:v>0.192324704730815</c:v>
                  </c:pt>
                  <c:pt idx="5">
                    <c:v>0.111603388521574</c:v>
                  </c:pt>
                  <c:pt idx="6">
                    <c:v>0.0650178640600263</c:v>
                  </c:pt>
                  <c:pt idx="7">
                    <c:v>0.107363320728758</c:v>
                  </c:pt>
                  <c:pt idx="8">
                    <c:v>0.111346222360476</c:v>
                  </c:pt>
                  <c:pt idx="9">
                    <c:v>0.0259059609552569</c:v>
                  </c:pt>
                  <c:pt idx="10">
                    <c:v>0.143812806168936</c:v>
                  </c:pt>
                  <c:pt idx="11">
                    <c:v>0.0789541672080513</c:v>
                  </c:pt>
                  <c:pt idx="12">
                    <c:v>0.0382912744626357</c:v>
                  </c:pt>
                  <c:pt idx="13">
                    <c:v>0.034538392404386</c:v>
                  </c:pt>
                  <c:pt idx="14">
                    <c:v>0.00365854292951495</c:v>
                  </c:pt>
                  <c:pt idx="15">
                    <c:v>0.0327223748302364</c:v>
                  </c:pt>
                  <c:pt idx="16">
                    <c:v>0.0575268142100593</c:v>
                  </c:pt>
                </c:numCache>
              </c:numRef>
            </c:plus>
            <c:minus>
              <c:numRef>
                <c:f>'Total cell count'!$F$26:$F$42</c:f>
                <c:numCache>
                  <c:formatCode>General</c:formatCode>
                  <c:ptCount val="17"/>
                  <c:pt idx="0">
                    <c:v>0.0172237731774375</c:v>
                  </c:pt>
                  <c:pt idx="1">
                    <c:v>0.0386732403647563</c:v>
                  </c:pt>
                  <c:pt idx="2">
                    <c:v>0.122361286917721</c:v>
                  </c:pt>
                  <c:pt idx="3">
                    <c:v>0.202491768891367</c:v>
                  </c:pt>
                  <c:pt idx="4">
                    <c:v>0.192324704730815</c:v>
                  </c:pt>
                  <c:pt idx="5">
                    <c:v>0.111603388521574</c:v>
                  </c:pt>
                  <c:pt idx="6">
                    <c:v>0.0650178640600263</c:v>
                  </c:pt>
                  <c:pt idx="7">
                    <c:v>0.107363320728758</c:v>
                  </c:pt>
                  <c:pt idx="8">
                    <c:v>0.111346222360476</c:v>
                  </c:pt>
                  <c:pt idx="9">
                    <c:v>0.0259059609552569</c:v>
                  </c:pt>
                  <c:pt idx="10">
                    <c:v>0.143812806168936</c:v>
                  </c:pt>
                  <c:pt idx="11">
                    <c:v>0.0789541672080513</c:v>
                  </c:pt>
                  <c:pt idx="12">
                    <c:v>0.0382912744626357</c:v>
                  </c:pt>
                  <c:pt idx="13">
                    <c:v>0.034538392404386</c:v>
                  </c:pt>
                  <c:pt idx="14">
                    <c:v>0.00365854292951495</c:v>
                  </c:pt>
                  <c:pt idx="15">
                    <c:v>0.0327223748302364</c:v>
                  </c:pt>
                  <c:pt idx="16">
                    <c:v>0.0575268142100593</c:v>
                  </c:pt>
                </c:numCache>
              </c:numRef>
            </c:minus>
          </c:errBars>
          <c:xVal>
            <c:numRef>
              <c:f>'Total cell count'!$D$26:$D$42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count'!$E$26:$E$42</c:f>
              <c:numCache>
                <c:formatCode>0.00</c:formatCode>
                <c:ptCount val="17"/>
                <c:pt idx="0">
                  <c:v>7.04377068759963</c:v>
                </c:pt>
                <c:pt idx="1">
                  <c:v>6.806901429099503</c:v>
                </c:pt>
                <c:pt idx="2">
                  <c:v>7.135718612841096</c:v>
                </c:pt>
                <c:pt idx="3">
                  <c:v>7.024640987126642</c:v>
                </c:pt>
                <c:pt idx="4">
                  <c:v>7.455995107603766</c:v>
                </c:pt>
                <c:pt idx="5">
                  <c:v>7.465971117230623</c:v>
                </c:pt>
                <c:pt idx="6">
                  <c:v>7.667523951082018</c:v>
                </c:pt>
                <c:pt idx="7">
                  <c:v>8.181602861767423</c:v>
                </c:pt>
                <c:pt idx="8">
                  <c:v>8.182968030089513</c:v>
                </c:pt>
                <c:pt idx="9">
                  <c:v>8.20850618138881</c:v>
                </c:pt>
                <c:pt idx="10">
                  <c:v>8.291486472946193</c:v>
                </c:pt>
                <c:pt idx="11">
                  <c:v>8.306262234355473</c:v>
                </c:pt>
                <c:pt idx="12">
                  <c:v>8.397876953138571</c:v>
                </c:pt>
                <c:pt idx="13">
                  <c:v>8.43064337535028</c:v>
                </c:pt>
                <c:pt idx="14">
                  <c:v>8.50064148870961</c:v>
                </c:pt>
                <c:pt idx="15">
                  <c:v>8.483608430852827</c:v>
                </c:pt>
                <c:pt idx="16">
                  <c:v>8.177446202892685</c:v>
                </c:pt>
              </c:numCache>
            </c:numRef>
          </c:yVal>
          <c:smooth val="0"/>
        </c:ser>
        <c:ser>
          <c:idx val="12"/>
          <c:order val="12"/>
          <c:tx>
            <c:v>Total qPCR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8.231567051270463</c:v>
                </c:pt>
                <c:pt idx="1">
                  <c:v>8.38179685324346</c:v>
                </c:pt>
                <c:pt idx="2">
                  <c:v>8.725675193646808</c:v>
                </c:pt>
                <c:pt idx="3">
                  <c:v>9.012031923783904</c:v>
                </c:pt>
                <c:pt idx="4">
                  <c:v>9.349818836291696</c:v>
                </c:pt>
                <c:pt idx="5">
                  <c:v>9.468151017903538</c:v>
                </c:pt>
                <c:pt idx="6">
                  <c:v>9.530763695988932</c:v>
                </c:pt>
                <c:pt idx="7">
                  <c:v>9.839202464170867</c:v>
                </c:pt>
                <c:pt idx="8">
                  <c:v>9.93480457173282</c:v>
                </c:pt>
                <c:pt idx="9">
                  <c:v>10.01026978955701</c:v>
                </c:pt>
                <c:pt idx="10">
                  <c:v>10.0362317189095</c:v>
                </c:pt>
                <c:pt idx="11">
                  <c:v>10.03387416991365</c:v>
                </c:pt>
                <c:pt idx="12">
                  <c:v>10.03040183781057</c:v>
                </c:pt>
                <c:pt idx="13">
                  <c:v>10.05866506285347</c:v>
                </c:pt>
                <c:pt idx="14">
                  <c:v>10.02913814204159</c:v>
                </c:pt>
                <c:pt idx="15">
                  <c:v>9.721819262496641</c:v>
                </c:pt>
                <c:pt idx="16">
                  <c:v>9.374639005386068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68904"/>
        <c:axId val="-2090454088"/>
      </c:scatterChart>
      <c:valAx>
        <c:axId val="207028992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89886952"/>
        <c:crosses val="autoZero"/>
        <c:crossBetween val="midCat"/>
        <c:majorUnit val="6.0"/>
      </c:valAx>
      <c:valAx>
        <c:axId val="-208988695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0289928"/>
        <c:crosses val="autoZero"/>
        <c:crossBetween val="midCat"/>
      </c:valAx>
      <c:valAx>
        <c:axId val="-2090454088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17468904"/>
        <c:crosses val="max"/>
        <c:crossBetween val="midCat"/>
        <c:majorUnit val="1.0"/>
        <c:minorUnit val="0.2"/>
      </c:valAx>
      <c:valAx>
        <c:axId val="211746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045408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0.0463012878122178</c:v>
                  </c:pt>
                  <c:pt idx="1">
                    <c:v>0.0128574913221633</c:v>
                  </c:pt>
                  <c:pt idx="2">
                    <c:v>0.0257637160289967</c:v>
                  </c:pt>
                  <c:pt idx="3">
                    <c:v>0.0465969010857423</c:v>
                  </c:pt>
                  <c:pt idx="4">
                    <c:v>0.0129753152681058</c:v>
                  </c:pt>
                  <c:pt idx="5">
                    <c:v>0.0130464128860132</c:v>
                  </c:pt>
                  <c:pt idx="6">
                    <c:v>0.0347853307143449</c:v>
                  </c:pt>
                  <c:pt idx="7">
                    <c:v>0.166643695671869</c:v>
                  </c:pt>
                  <c:pt idx="8">
                    <c:v>0.0588292460396719</c:v>
                  </c:pt>
                  <c:pt idx="9">
                    <c:v>0.0271349901537344</c:v>
                  </c:pt>
                  <c:pt idx="10">
                    <c:v>0.102591769300619</c:v>
                  </c:pt>
                  <c:pt idx="11">
                    <c:v>0.0981469197894674</c:v>
                  </c:pt>
                  <c:pt idx="12">
                    <c:v>0.157226758744478</c:v>
                  </c:pt>
                  <c:pt idx="13">
                    <c:v>0.0272902058805386</c:v>
                  </c:pt>
                  <c:pt idx="14">
                    <c:v>0.108499790489564</c:v>
                  </c:pt>
                  <c:pt idx="15">
                    <c:v>0.0831494702941384</c:v>
                  </c:pt>
                  <c:pt idx="16">
                    <c:v>0.130529119446756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0.0463012878122178</c:v>
                  </c:pt>
                  <c:pt idx="1">
                    <c:v>0.0128574913221633</c:v>
                  </c:pt>
                  <c:pt idx="2">
                    <c:v>0.0257637160289967</c:v>
                  </c:pt>
                  <c:pt idx="3">
                    <c:v>0.0465969010857423</c:v>
                  </c:pt>
                  <c:pt idx="4">
                    <c:v>0.0129753152681058</c:v>
                  </c:pt>
                  <c:pt idx="5">
                    <c:v>0.0130464128860132</c:v>
                  </c:pt>
                  <c:pt idx="6">
                    <c:v>0.0347853307143449</c:v>
                  </c:pt>
                  <c:pt idx="7">
                    <c:v>0.166643695671869</c:v>
                  </c:pt>
                  <c:pt idx="8">
                    <c:v>0.0588292460396719</c:v>
                  </c:pt>
                  <c:pt idx="9">
                    <c:v>0.0271349901537344</c:v>
                  </c:pt>
                  <c:pt idx="10">
                    <c:v>0.102591769300619</c:v>
                  </c:pt>
                  <c:pt idx="11">
                    <c:v>0.0981469197894674</c:v>
                  </c:pt>
                  <c:pt idx="12">
                    <c:v>0.157226758744478</c:v>
                  </c:pt>
                  <c:pt idx="13">
                    <c:v>0.0272902058805386</c:v>
                  </c:pt>
                  <c:pt idx="14">
                    <c:v>0.108499790489564</c:v>
                  </c:pt>
                  <c:pt idx="15">
                    <c:v>0.0831494702941384</c:v>
                  </c:pt>
                  <c:pt idx="16">
                    <c:v>0.130529119446756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1.608868322748551</c:v>
                </c:pt>
                <c:pt idx="1">
                  <c:v>1.796432810380923</c:v>
                </c:pt>
                <c:pt idx="2">
                  <c:v>2.13451778319962</c:v>
                </c:pt>
                <c:pt idx="3">
                  <c:v>2.559286180157072</c:v>
                </c:pt>
                <c:pt idx="4">
                  <c:v>2.869168575175808</c:v>
                </c:pt>
                <c:pt idx="5">
                  <c:v>3.156054646521761</c:v>
                </c:pt>
                <c:pt idx="6">
                  <c:v>3.7953907398228</c:v>
                </c:pt>
                <c:pt idx="7">
                  <c:v>6.119793334529308</c:v>
                </c:pt>
                <c:pt idx="8">
                  <c:v>8.56354426734932</c:v>
                </c:pt>
                <c:pt idx="9">
                  <c:v>8.898511717998898</c:v>
                </c:pt>
                <c:pt idx="10">
                  <c:v>8.755453768063295</c:v>
                </c:pt>
                <c:pt idx="11">
                  <c:v>8.573124404344907</c:v>
                </c:pt>
                <c:pt idx="12">
                  <c:v>8.351325240586493</c:v>
                </c:pt>
                <c:pt idx="13">
                  <c:v>8.114343971355398</c:v>
                </c:pt>
                <c:pt idx="14">
                  <c:v>8.263131784716281</c:v>
                </c:pt>
                <c:pt idx="15">
                  <c:v>8.420975753860812</c:v>
                </c:pt>
                <c:pt idx="16">
                  <c:v>7.599782386183231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0.0192635693240418</c:v>
                  </c:pt>
                  <c:pt idx="1">
                    <c:v>0.0578619226461515</c:v>
                  </c:pt>
                  <c:pt idx="2">
                    <c:v>0.0193238596160868</c:v>
                  </c:pt>
                  <c:pt idx="3">
                    <c:v>0.117923832890353</c:v>
                  </c:pt>
                  <c:pt idx="4">
                    <c:v>0.0337127291989269</c:v>
                  </c:pt>
                  <c:pt idx="5">
                    <c:v>0.0677949129644179</c:v>
                  </c:pt>
                  <c:pt idx="6">
                    <c:v>0.090379956882469</c:v>
                  </c:pt>
                  <c:pt idx="7">
                    <c:v>0.469155696220604</c:v>
                  </c:pt>
                  <c:pt idx="8">
                    <c:v>0.195242033380182</c:v>
                  </c:pt>
                  <c:pt idx="9">
                    <c:v>0.0352513428755383</c:v>
                  </c:pt>
                  <c:pt idx="10">
                    <c:v>0.326144786280515</c:v>
                  </c:pt>
                  <c:pt idx="11">
                    <c:v>0.491280640081783</c:v>
                  </c:pt>
                  <c:pt idx="12">
                    <c:v>0.749748561378788</c:v>
                  </c:pt>
                  <c:pt idx="13">
                    <c:v>0.124506792231692</c:v>
                  </c:pt>
                  <c:pt idx="14">
                    <c:v>0.507696568310556</c:v>
                  </c:pt>
                  <c:pt idx="15">
                    <c:v>0.275875591954598</c:v>
                  </c:pt>
                  <c:pt idx="16">
                    <c:v>0.515604569374098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0.0192635693240418</c:v>
                  </c:pt>
                  <c:pt idx="1">
                    <c:v>0.0578619226461515</c:v>
                  </c:pt>
                  <c:pt idx="2">
                    <c:v>0.0193238596160868</c:v>
                  </c:pt>
                  <c:pt idx="3">
                    <c:v>0.117923832890353</c:v>
                  </c:pt>
                  <c:pt idx="4">
                    <c:v>0.0337127291989269</c:v>
                  </c:pt>
                  <c:pt idx="5">
                    <c:v>0.0677949129644179</c:v>
                  </c:pt>
                  <c:pt idx="6">
                    <c:v>0.090379956882469</c:v>
                  </c:pt>
                  <c:pt idx="7">
                    <c:v>0.469155696220604</c:v>
                  </c:pt>
                  <c:pt idx="8">
                    <c:v>0.195242033380182</c:v>
                  </c:pt>
                  <c:pt idx="9">
                    <c:v>0.0352513428755383</c:v>
                  </c:pt>
                  <c:pt idx="10">
                    <c:v>0.326144786280515</c:v>
                  </c:pt>
                  <c:pt idx="11">
                    <c:v>0.491280640081783</c:v>
                  </c:pt>
                  <c:pt idx="12">
                    <c:v>0.749748561378788</c:v>
                  </c:pt>
                  <c:pt idx="13">
                    <c:v>0.124506792231692</c:v>
                  </c:pt>
                  <c:pt idx="14">
                    <c:v>0.507696568310556</c:v>
                  </c:pt>
                  <c:pt idx="15">
                    <c:v>0.275875591954598</c:v>
                  </c:pt>
                  <c:pt idx="16">
                    <c:v>0.515604569374098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4.192928754415285</c:v>
                </c:pt>
                <c:pt idx="1">
                  <c:v>4.576703736335124</c:v>
                </c:pt>
                <c:pt idx="2">
                  <c:v>5.042799269110874</c:v>
                </c:pt>
                <c:pt idx="3">
                  <c:v>5.394946415903201</c:v>
                </c:pt>
                <c:pt idx="4">
                  <c:v>5.798589422215508</c:v>
                </c:pt>
                <c:pt idx="5">
                  <c:v>6.948978578852879</c:v>
                </c:pt>
                <c:pt idx="6">
                  <c:v>11.47789869195616</c:v>
                </c:pt>
                <c:pt idx="7">
                  <c:v>18.29128845819925</c:v>
                </c:pt>
                <c:pt idx="8">
                  <c:v>28.26360252509678</c:v>
                </c:pt>
                <c:pt idx="9">
                  <c:v>34.37005930364986</c:v>
                </c:pt>
                <c:pt idx="10">
                  <c:v>36.1064828445004</c:v>
                </c:pt>
                <c:pt idx="11">
                  <c:v>36.14114367096824</c:v>
                </c:pt>
                <c:pt idx="12">
                  <c:v>35.88277975619285</c:v>
                </c:pt>
                <c:pt idx="13">
                  <c:v>34.79119615437718</c:v>
                </c:pt>
                <c:pt idx="14">
                  <c:v>36.59420935304544</c:v>
                </c:pt>
                <c:pt idx="15">
                  <c:v>39.41188060054619</c:v>
                </c:pt>
                <c:pt idx="16">
                  <c:v>35.61114410944611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0.0870561426157792</c:v>
                  </c:pt>
                  <c:pt idx="1">
                    <c:v>0.0251619121942313</c:v>
                  </c:pt>
                  <c:pt idx="2">
                    <c:v>0.0252095974352816</c:v>
                  </c:pt>
                  <c:pt idx="3">
                    <c:v>0.0</c:v>
                  </c:pt>
                  <c:pt idx="4">
                    <c:v>0.0507849836780779</c:v>
                  </c:pt>
                  <c:pt idx="5">
                    <c:v>0.0255316287806228</c:v>
                  </c:pt>
                  <c:pt idx="6">
                    <c:v>0.0445651268098942</c:v>
                  </c:pt>
                  <c:pt idx="7">
                    <c:v>0.0260271410001641</c:v>
                  </c:pt>
                  <c:pt idx="8">
                    <c:v>0.0528243157577295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0.0870561426157792</c:v>
                  </c:pt>
                  <c:pt idx="1">
                    <c:v>0.0251619121942313</c:v>
                  </c:pt>
                  <c:pt idx="2">
                    <c:v>0.0252095974352816</c:v>
                  </c:pt>
                  <c:pt idx="3">
                    <c:v>0.0</c:v>
                  </c:pt>
                  <c:pt idx="4">
                    <c:v>0.0507849836780779</c:v>
                  </c:pt>
                  <c:pt idx="5">
                    <c:v>0.0255316287806228</c:v>
                  </c:pt>
                  <c:pt idx="6">
                    <c:v>0.0445651268098942</c:v>
                  </c:pt>
                  <c:pt idx="7">
                    <c:v>0.0260271410001641</c:v>
                  </c:pt>
                  <c:pt idx="8">
                    <c:v>0.0528243157577295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1.131729854005129</c:v>
                </c:pt>
                <c:pt idx="1">
                  <c:v>1.147651705514547</c:v>
                </c:pt>
                <c:pt idx="2">
                  <c:v>1.324483875753396</c:v>
                </c:pt>
                <c:pt idx="3">
                  <c:v>1.445597301021602</c:v>
                </c:pt>
                <c:pt idx="4">
                  <c:v>1.524677647861114</c:v>
                </c:pt>
                <c:pt idx="5">
                  <c:v>1.400365811187506</c:v>
                </c:pt>
                <c:pt idx="6">
                  <c:v>1.648909691966083</c:v>
                </c:pt>
                <c:pt idx="7">
                  <c:v>2.734873389007954</c:v>
                </c:pt>
                <c:pt idx="8">
                  <c:v>2.028125839345112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0.0813566775204078</c:v>
                </c:pt>
                <c:pt idx="1">
                  <c:v>0.262047965113518</c:v>
                </c:pt>
                <c:pt idx="2">
                  <c:v>0.474073617620295</c:v>
                </c:pt>
                <c:pt idx="3">
                  <c:v>0.718775098073113</c:v>
                </c:pt>
                <c:pt idx="4">
                  <c:v>1.004368644431621</c:v>
                </c:pt>
                <c:pt idx="5">
                  <c:v>1.33423744321698</c:v>
                </c:pt>
                <c:pt idx="6">
                  <c:v>1.727581887313065</c:v>
                </c:pt>
                <c:pt idx="7">
                  <c:v>2.222252213866129</c:v>
                </c:pt>
                <c:pt idx="8">
                  <c:v>2.854727176440476</c:v>
                </c:pt>
                <c:pt idx="9">
                  <c:v>3.633045071621182</c:v>
                </c:pt>
                <c:pt idx="10">
                  <c:v>4.569469192394594</c:v>
                </c:pt>
                <c:pt idx="11">
                  <c:v>5.669056160653056</c:v>
                </c:pt>
                <c:pt idx="12">
                  <c:v>6.936473677026453</c:v>
                </c:pt>
                <c:pt idx="13">
                  <c:v>8.372946026031723</c:v>
                </c:pt>
                <c:pt idx="14">
                  <c:v>9.962059887956128</c:v>
                </c:pt>
                <c:pt idx="15">
                  <c:v>11.7122941622284</c:v>
                </c:pt>
                <c:pt idx="16">
                  <c:v>13.5780253712188</c:v>
                </c:pt>
                <c:pt idx="17">
                  <c:v>15.52167571684197</c:v>
                </c:pt>
                <c:pt idx="18">
                  <c:v>17.59338556831641</c:v>
                </c:pt>
                <c:pt idx="19">
                  <c:v>19.78645327593737</c:v>
                </c:pt>
                <c:pt idx="20">
                  <c:v>22.13558339583113</c:v>
                </c:pt>
                <c:pt idx="21">
                  <c:v>24.65419423506476</c:v>
                </c:pt>
                <c:pt idx="22">
                  <c:v>27.32222928827734</c:v>
                </c:pt>
                <c:pt idx="23">
                  <c:v>30.24252588824298</c:v>
                </c:pt>
                <c:pt idx="24">
                  <c:v>33.29285985023403</c:v>
                </c:pt>
                <c:pt idx="25">
                  <c:v>36.11485609280615</c:v>
                </c:pt>
                <c:pt idx="26">
                  <c:v>38.59373108468742</c:v>
                </c:pt>
                <c:pt idx="27">
                  <c:v>40.82243512296194</c:v>
                </c:pt>
                <c:pt idx="28">
                  <c:v>42.83947398524803</c:v>
                </c:pt>
                <c:pt idx="29">
                  <c:v>44.66024574627542</c:v>
                </c:pt>
                <c:pt idx="30">
                  <c:v>46.2852243779138</c:v>
                </c:pt>
                <c:pt idx="31">
                  <c:v>47.76744778537807</c:v>
                </c:pt>
                <c:pt idx="32">
                  <c:v>49.12206759647646</c:v>
                </c:pt>
                <c:pt idx="33">
                  <c:v>50.31630961470214</c:v>
                </c:pt>
                <c:pt idx="34">
                  <c:v>51.3884601981421</c:v>
                </c:pt>
                <c:pt idx="35">
                  <c:v>52.34932043134758</c:v>
                </c:pt>
                <c:pt idx="36">
                  <c:v>53.2037440265241</c:v>
                </c:pt>
                <c:pt idx="37">
                  <c:v>53.96954922371937</c:v>
                </c:pt>
                <c:pt idx="38">
                  <c:v>54.64307028035517</c:v>
                </c:pt>
                <c:pt idx="39">
                  <c:v>55.2302156129633</c:v>
                </c:pt>
                <c:pt idx="40">
                  <c:v>55.7469848283278</c:v>
                </c:pt>
                <c:pt idx="41">
                  <c:v>56.20546239916237</c:v>
                </c:pt>
                <c:pt idx="42">
                  <c:v>56.61517349402685</c:v>
                </c:pt>
                <c:pt idx="43">
                  <c:v>56.98183438950157</c:v>
                </c:pt>
                <c:pt idx="44">
                  <c:v>57.31076351944375</c:v>
                </c:pt>
                <c:pt idx="45">
                  <c:v>57.61071161538525</c:v>
                </c:pt>
                <c:pt idx="46">
                  <c:v>57.88675117204538</c:v>
                </c:pt>
                <c:pt idx="47">
                  <c:v>58.14394021713536</c:v>
                </c:pt>
                <c:pt idx="48">
                  <c:v>58.39270862323133</c:v>
                </c:pt>
                <c:pt idx="49">
                  <c:v>58.63574920197954</c:v>
                </c:pt>
                <c:pt idx="50">
                  <c:v>58.86910431991671</c:v>
                </c:pt>
                <c:pt idx="51">
                  <c:v>59.09634756666354</c:v>
                </c:pt>
                <c:pt idx="52">
                  <c:v>59.3204503000179</c:v>
                </c:pt>
                <c:pt idx="53">
                  <c:v>59.54093916860997</c:v>
                </c:pt>
                <c:pt idx="54">
                  <c:v>59.75839223917765</c:v>
                </c:pt>
                <c:pt idx="55">
                  <c:v>59.97573301317413</c:v>
                </c:pt>
                <c:pt idx="56">
                  <c:v>60.19273642363176</c:v>
                </c:pt>
                <c:pt idx="57">
                  <c:v>60.40787627959745</c:v>
                </c:pt>
                <c:pt idx="58">
                  <c:v>60.61898483080406</c:v>
                </c:pt>
                <c:pt idx="59">
                  <c:v>60.82623075902101</c:v>
                </c:pt>
                <c:pt idx="60">
                  <c:v>61.03462077321753</c:v>
                </c:pt>
                <c:pt idx="61">
                  <c:v>61.2426656057595</c:v>
                </c:pt>
                <c:pt idx="62">
                  <c:v>61.44307134439665</c:v>
                </c:pt>
                <c:pt idx="63">
                  <c:v>61.63541805711072</c:v>
                </c:pt>
                <c:pt idx="64">
                  <c:v>61.82156296390221</c:v>
                </c:pt>
                <c:pt idx="65">
                  <c:v>62.00163249058534</c:v>
                </c:pt>
                <c:pt idx="66">
                  <c:v>62.17855922026284</c:v>
                </c:pt>
                <c:pt idx="67">
                  <c:v>62.34959500278453</c:v>
                </c:pt>
                <c:pt idx="68">
                  <c:v>62.51257175938314</c:v>
                </c:pt>
                <c:pt idx="69">
                  <c:v>62.6703129999099</c:v>
                </c:pt>
                <c:pt idx="70">
                  <c:v>62.82102050307769</c:v>
                </c:pt>
                <c:pt idx="71">
                  <c:v>62.96438341011969</c:v>
                </c:pt>
                <c:pt idx="72">
                  <c:v>63.10226736942401</c:v>
                </c:pt>
                <c:pt idx="73">
                  <c:v>63.23463023905258</c:v>
                </c:pt>
                <c:pt idx="74">
                  <c:v>63.36206051877598</c:v>
                </c:pt>
                <c:pt idx="75">
                  <c:v>63.48426371081516</c:v>
                </c:pt>
                <c:pt idx="76">
                  <c:v>63.60065181118706</c:v>
                </c:pt>
                <c:pt idx="77">
                  <c:v>63.712451893971</c:v>
                </c:pt>
                <c:pt idx="78">
                  <c:v>63.82073932226924</c:v>
                </c:pt>
                <c:pt idx="79">
                  <c:v>63.92517795215219</c:v>
                </c:pt>
                <c:pt idx="80">
                  <c:v>64.0250954957606</c:v>
                </c:pt>
                <c:pt idx="81">
                  <c:v>64.12147509972047</c:v>
                </c:pt>
                <c:pt idx="82">
                  <c:v>64.2139974768774</c:v>
                </c:pt>
                <c:pt idx="83">
                  <c:v>64.30275533949521</c:v>
                </c:pt>
                <c:pt idx="84">
                  <c:v>64.38882405067611</c:v>
                </c:pt>
                <c:pt idx="85">
                  <c:v>64.47146389545996</c:v>
                </c:pt>
                <c:pt idx="86">
                  <c:v>64.5501959431152</c:v>
                </c:pt>
                <c:pt idx="87">
                  <c:v>64.62691955558037</c:v>
                </c:pt>
                <c:pt idx="88">
                  <c:v>64.70225645038903</c:v>
                </c:pt>
                <c:pt idx="89">
                  <c:v>64.77508912250083</c:v>
                </c:pt>
                <c:pt idx="90">
                  <c:v>64.84635907239118</c:v>
                </c:pt>
                <c:pt idx="91">
                  <c:v>64.91647780369074</c:v>
                </c:pt>
                <c:pt idx="92">
                  <c:v>64.98652067950175</c:v>
                </c:pt>
                <c:pt idx="93">
                  <c:v>65.0563617697975</c:v>
                </c:pt>
                <c:pt idx="94">
                  <c:v>65.12574921452453</c:v>
                </c:pt>
                <c:pt idx="95">
                  <c:v>65.19660716499673</c:v>
                </c:pt>
                <c:pt idx="96">
                  <c:v>65.2706993675077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0.095019656511193</c:v>
                  </c:pt>
                  <c:pt idx="1">
                    <c:v>0.0671180751695236</c:v>
                  </c:pt>
                  <c:pt idx="2">
                    <c:v>0.100404146596502</c:v>
                  </c:pt>
                  <c:pt idx="3">
                    <c:v>0.92302405770141</c:v>
                  </c:pt>
                  <c:pt idx="4">
                    <c:v>0.175646665939636</c:v>
                  </c:pt>
                  <c:pt idx="5">
                    <c:v>0.258881729983945</c:v>
                  </c:pt>
                  <c:pt idx="6">
                    <c:v>0.185120159017898</c:v>
                  </c:pt>
                  <c:pt idx="7">
                    <c:v>0.565233628553463</c:v>
                  </c:pt>
                  <c:pt idx="8">
                    <c:v>0.0309240334022281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0.095019656511193</c:v>
                  </c:pt>
                  <c:pt idx="1">
                    <c:v>0.0671180751695236</c:v>
                  </c:pt>
                  <c:pt idx="2">
                    <c:v>0.100404146596502</c:v>
                  </c:pt>
                  <c:pt idx="3">
                    <c:v>0.92302405770141</c:v>
                  </c:pt>
                  <c:pt idx="4">
                    <c:v>0.175646665939636</c:v>
                  </c:pt>
                  <c:pt idx="5">
                    <c:v>0.258881729983945</c:v>
                  </c:pt>
                  <c:pt idx="6">
                    <c:v>0.185120159017898</c:v>
                  </c:pt>
                  <c:pt idx="7">
                    <c:v>0.565233628553463</c:v>
                  </c:pt>
                  <c:pt idx="8">
                    <c:v>0.0309240334022281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47.50980742936733</c:v>
                </c:pt>
                <c:pt idx="1">
                  <c:v>47.18234273876506</c:v>
                </c:pt>
                <c:pt idx="2">
                  <c:v>46.60983605335196</c:v>
                </c:pt>
                <c:pt idx="3">
                  <c:v>44.30624296726732</c:v>
                </c:pt>
                <c:pt idx="4">
                  <c:v>41.32202052394194</c:v>
                </c:pt>
                <c:pt idx="5">
                  <c:v>36.58462390968065</c:v>
                </c:pt>
                <c:pt idx="6">
                  <c:v>29.27764416699309</c:v>
                </c:pt>
                <c:pt idx="7">
                  <c:v>19.82598041374488</c:v>
                </c:pt>
                <c:pt idx="8">
                  <c:v>4.312940629643175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0.0919015022739868</c:v>
                  </c:pt>
                  <c:pt idx="1">
                    <c:v>0.0695566138916618</c:v>
                  </c:pt>
                  <c:pt idx="2">
                    <c:v>0.0921891316493257</c:v>
                  </c:pt>
                  <c:pt idx="3">
                    <c:v>0.277464758331975</c:v>
                  </c:pt>
                  <c:pt idx="4">
                    <c:v>0.0956583239011033</c:v>
                  </c:pt>
                  <c:pt idx="5">
                    <c:v>0.0462045684203078</c:v>
                  </c:pt>
                  <c:pt idx="6">
                    <c:v>0.188182107766289</c:v>
                  </c:pt>
                  <c:pt idx="7">
                    <c:v>0.799682366214244</c:v>
                  </c:pt>
                  <c:pt idx="8">
                    <c:v>0.198999197819503</c:v>
                  </c:pt>
                  <c:pt idx="9">
                    <c:v>0.0277416855413505</c:v>
                  </c:pt>
                  <c:pt idx="10">
                    <c:v>0.251218804462497</c:v>
                  </c:pt>
                  <c:pt idx="11">
                    <c:v>0.530956407700168</c:v>
                  </c:pt>
                  <c:pt idx="12">
                    <c:v>0.680402402469109</c:v>
                  </c:pt>
                  <c:pt idx="13">
                    <c:v>0.060807450245823</c:v>
                  </c:pt>
                  <c:pt idx="14">
                    <c:v>0.238401122322714</c:v>
                  </c:pt>
                  <c:pt idx="15">
                    <c:v>0.288785736208208</c:v>
                  </c:pt>
                  <c:pt idx="16">
                    <c:v>0.716455190999571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0.0919015022739868</c:v>
                  </c:pt>
                  <c:pt idx="1">
                    <c:v>0.0695566138916618</c:v>
                  </c:pt>
                  <c:pt idx="2">
                    <c:v>0.0921891316493257</c:v>
                  </c:pt>
                  <c:pt idx="3">
                    <c:v>0.277464758331975</c:v>
                  </c:pt>
                  <c:pt idx="4">
                    <c:v>0.0956583239011033</c:v>
                  </c:pt>
                  <c:pt idx="5">
                    <c:v>0.0462045684203078</c:v>
                  </c:pt>
                  <c:pt idx="6">
                    <c:v>0.188182107766289</c:v>
                  </c:pt>
                  <c:pt idx="7">
                    <c:v>0.799682366214244</c:v>
                  </c:pt>
                  <c:pt idx="8">
                    <c:v>0.198999197819503</c:v>
                  </c:pt>
                  <c:pt idx="9">
                    <c:v>0.0277416855413505</c:v>
                  </c:pt>
                  <c:pt idx="10">
                    <c:v>0.251218804462497</c:v>
                  </c:pt>
                  <c:pt idx="11">
                    <c:v>0.530956407700168</c:v>
                  </c:pt>
                  <c:pt idx="12">
                    <c:v>0.680402402469109</c:v>
                  </c:pt>
                  <c:pt idx="13">
                    <c:v>0.060807450245823</c:v>
                  </c:pt>
                  <c:pt idx="14">
                    <c:v>0.238401122322714</c:v>
                  </c:pt>
                  <c:pt idx="15">
                    <c:v>0.288785736208208</c:v>
                  </c:pt>
                  <c:pt idx="16">
                    <c:v>0.716455190999571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1.781278416150294</c:v>
                </c:pt>
                <c:pt idx="1">
                  <c:v>2.474095098269866</c:v>
                </c:pt>
                <c:pt idx="2">
                  <c:v>3.596517663963917</c:v>
                </c:pt>
                <c:pt idx="3">
                  <c:v>5.789881612448681</c:v>
                </c:pt>
                <c:pt idx="4">
                  <c:v>8.88420266537617</c:v>
                </c:pt>
                <c:pt idx="5">
                  <c:v>13.05279057873696</c:v>
                </c:pt>
                <c:pt idx="6">
                  <c:v>17.37575799275927</c:v>
                </c:pt>
                <c:pt idx="7">
                  <c:v>23.88035732158865</c:v>
                </c:pt>
                <c:pt idx="8">
                  <c:v>29.28427884893234</c:v>
                </c:pt>
                <c:pt idx="9">
                  <c:v>31.32059743227455</c:v>
                </c:pt>
                <c:pt idx="10">
                  <c:v>32.051113370901</c:v>
                </c:pt>
                <c:pt idx="11">
                  <c:v>32.42415815163469</c:v>
                </c:pt>
                <c:pt idx="12">
                  <c:v>32.22086970370678</c:v>
                </c:pt>
                <c:pt idx="13">
                  <c:v>31.58835096435591</c:v>
                </c:pt>
                <c:pt idx="14">
                  <c:v>33.96097104354258</c:v>
                </c:pt>
                <c:pt idx="15">
                  <c:v>38.9635374600302</c:v>
                </c:pt>
                <c:pt idx="16">
                  <c:v>37.23318484397158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0.0893487127013467</c:v>
                </c:pt>
                <c:pt idx="1">
                  <c:v>0.445956436065829</c:v>
                </c:pt>
                <c:pt idx="2">
                  <c:v>1.150034802704443</c:v>
                </c:pt>
                <c:pt idx="3">
                  <c:v>2.154017745011807</c:v>
                </c:pt>
                <c:pt idx="4">
                  <c:v>3.432874810549032</c:v>
                </c:pt>
                <c:pt idx="5">
                  <c:v>4.94467883026068</c:v>
                </c:pt>
                <c:pt idx="6">
                  <c:v>6.763747641059044</c:v>
                </c:pt>
                <c:pt idx="7">
                  <c:v>9.170144605380936</c:v>
                </c:pt>
                <c:pt idx="8">
                  <c:v>12.33353087351043</c:v>
                </c:pt>
                <c:pt idx="9">
                  <c:v>15.85223676219393</c:v>
                </c:pt>
                <c:pt idx="10">
                  <c:v>19.41509962596929</c:v>
                </c:pt>
                <c:pt idx="11">
                  <c:v>23.11258027089004</c:v>
                </c:pt>
                <c:pt idx="12">
                  <c:v>27.08197563585822</c:v>
                </c:pt>
                <c:pt idx="13">
                  <c:v>31.18118486211723</c:v>
                </c:pt>
                <c:pt idx="14">
                  <c:v>35.05254259693851</c:v>
                </c:pt>
                <c:pt idx="15">
                  <c:v>39.04688257844945</c:v>
                </c:pt>
                <c:pt idx="16">
                  <c:v>42.86549854504955</c:v>
                </c:pt>
                <c:pt idx="17">
                  <c:v>45.89520317468239</c:v>
                </c:pt>
                <c:pt idx="18">
                  <c:v>48.28825439514605</c:v>
                </c:pt>
                <c:pt idx="19">
                  <c:v>50.3306998485448</c:v>
                </c:pt>
                <c:pt idx="20">
                  <c:v>52.3013184289512</c:v>
                </c:pt>
                <c:pt idx="21">
                  <c:v>54.13897339594747</c:v>
                </c:pt>
                <c:pt idx="22">
                  <c:v>55.75650483851761</c:v>
                </c:pt>
                <c:pt idx="23">
                  <c:v>57.08510724779515</c:v>
                </c:pt>
                <c:pt idx="24">
                  <c:v>57.8647161797755</c:v>
                </c:pt>
                <c:pt idx="25">
                  <c:v>58.1557783738767</c:v>
                </c:pt>
                <c:pt idx="26">
                  <c:v>58.26887214589747</c:v>
                </c:pt>
                <c:pt idx="27">
                  <c:v>58.31316632963809</c:v>
                </c:pt>
                <c:pt idx="28">
                  <c:v>58.33287664084726</c:v>
                </c:pt>
                <c:pt idx="29">
                  <c:v>58.35211890682754</c:v>
                </c:pt>
                <c:pt idx="30">
                  <c:v>58.37230907959567</c:v>
                </c:pt>
                <c:pt idx="31">
                  <c:v>58.39178864779035</c:v>
                </c:pt>
                <c:pt idx="32">
                  <c:v>58.41058993064322</c:v>
                </c:pt>
                <c:pt idx="33">
                  <c:v>58.42742248401365</c:v>
                </c:pt>
                <c:pt idx="34">
                  <c:v>58.44626777700184</c:v>
                </c:pt>
                <c:pt idx="35">
                  <c:v>58.46604139407093</c:v>
                </c:pt>
                <c:pt idx="36">
                  <c:v>58.48895544984295</c:v>
                </c:pt>
                <c:pt idx="37">
                  <c:v>58.51596399770634</c:v>
                </c:pt>
                <c:pt idx="38">
                  <c:v>58.54201546256432</c:v>
                </c:pt>
                <c:pt idx="39">
                  <c:v>58.56881107415207</c:v>
                </c:pt>
                <c:pt idx="40">
                  <c:v>58.59943456566749</c:v>
                </c:pt>
                <c:pt idx="41">
                  <c:v>58.63537468266413</c:v>
                </c:pt>
                <c:pt idx="42">
                  <c:v>58.67290978730514</c:v>
                </c:pt>
                <c:pt idx="43">
                  <c:v>58.71411318269059</c:v>
                </c:pt>
                <c:pt idx="44">
                  <c:v>58.75983570973508</c:v>
                </c:pt>
                <c:pt idx="45">
                  <c:v>58.81390524836628</c:v>
                </c:pt>
                <c:pt idx="46">
                  <c:v>58.87999008932864</c:v>
                </c:pt>
                <c:pt idx="47">
                  <c:v>58.95585779243284</c:v>
                </c:pt>
                <c:pt idx="48">
                  <c:v>59.0587477157287</c:v>
                </c:pt>
                <c:pt idx="49">
                  <c:v>59.17643120558628</c:v>
                </c:pt>
                <c:pt idx="50">
                  <c:v>59.29756935494061</c:v>
                </c:pt>
                <c:pt idx="51">
                  <c:v>59.4321366579717</c:v>
                </c:pt>
                <c:pt idx="52">
                  <c:v>59.57104988569137</c:v>
                </c:pt>
                <c:pt idx="53">
                  <c:v>59.71313916369314</c:v>
                </c:pt>
                <c:pt idx="54">
                  <c:v>59.86347536921392</c:v>
                </c:pt>
                <c:pt idx="55">
                  <c:v>59.99180144677644</c:v>
                </c:pt>
                <c:pt idx="56">
                  <c:v>60.09566582482177</c:v>
                </c:pt>
                <c:pt idx="57">
                  <c:v>60.19156235838793</c:v>
                </c:pt>
                <c:pt idx="58">
                  <c:v>60.26918250653246</c:v>
                </c:pt>
                <c:pt idx="59">
                  <c:v>60.33292763149173</c:v>
                </c:pt>
                <c:pt idx="60">
                  <c:v>60.38972663002474</c:v>
                </c:pt>
                <c:pt idx="61">
                  <c:v>60.44144272064681</c:v>
                </c:pt>
                <c:pt idx="62">
                  <c:v>60.48826092648917</c:v>
                </c:pt>
                <c:pt idx="63">
                  <c:v>60.53507913233154</c:v>
                </c:pt>
                <c:pt idx="64">
                  <c:v>60.57834105438761</c:v>
                </c:pt>
                <c:pt idx="65">
                  <c:v>60.61513096632988</c:v>
                </c:pt>
                <c:pt idx="66">
                  <c:v>60.63227232359007</c:v>
                </c:pt>
                <c:pt idx="67">
                  <c:v>60.65005522988406</c:v>
                </c:pt>
                <c:pt idx="68">
                  <c:v>60.68521251356643</c:v>
                </c:pt>
                <c:pt idx="69">
                  <c:v>60.7185041488607</c:v>
                </c:pt>
                <c:pt idx="70">
                  <c:v>60.75255384325288</c:v>
                </c:pt>
                <c:pt idx="71">
                  <c:v>60.78532043957745</c:v>
                </c:pt>
                <c:pt idx="72">
                  <c:v>60.81167352871403</c:v>
                </c:pt>
                <c:pt idx="73">
                  <c:v>60.83511138731061</c:v>
                </c:pt>
                <c:pt idx="74">
                  <c:v>60.86408818393318</c:v>
                </c:pt>
                <c:pt idx="75">
                  <c:v>60.89545566791356</c:v>
                </c:pt>
                <c:pt idx="76">
                  <c:v>60.91924355248994</c:v>
                </c:pt>
                <c:pt idx="77">
                  <c:v>60.94034922665452</c:v>
                </c:pt>
                <c:pt idx="78">
                  <c:v>60.9657697394908</c:v>
                </c:pt>
                <c:pt idx="79">
                  <c:v>60.99568010398868</c:v>
                </c:pt>
                <c:pt idx="80">
                  <c:v>61.02407435029075</c:v>
                </c:pt>
                <c:pt idx="81">
                  <c:v>61.05206006768723</c:v>
                </c:pt>
                <c:pt idx="82">
                  <c:v>61.0806288311917</c:v>
                </c:pt>
                <c:pt idx="83">
                  <c:v>61.10768197228789</c:v>
                </c:pt>
                <c:pt idx="84">
                  <c:v>61.13642624456976</c:v>
                </c:pt>
                <c:pt idx="85">
                  <c:v>61.16470398080775</c:v>
                </c:pt>
                <c:pt idx="86">
                  <c:v>61.19455584237982</c:v>
                </c:pt>
                <c:pt idx="87">
                  <c:v>61.2234166247258</c:v>
                </c:pt>
                <c:pt idx="88">
                  <c:v>61.249012150552</c:v>
                </c:pt>
                <c:pt idx="89">
                  <c:v>61.27192546596637</c:v>
                </c:pt>
                <c:pt idx="90">
                  <c:v>61.29291463006684</c:v>
                </c:pt>
                <c:pt idx="91">
                  <c:v>61.31501187924503</c:v>
                </c:pt>
                <c:pt idx="92">
                  <c:v>61.33944131285521</c:v>
                </c:pt>
                <c:pt idx="93">
                  <c:v>61.36853511532938</c:v>
                </c:pt>
                <c:pt idx="94">
                  <c:v>61.40007810808717</c:v>
                </c:pt>
                <c:pt idx="95">
                  <c:v>61.43220365116544</c:v>
                </c:pt>
                <c:pt idx="96">
                  <c:v>61.46475810449493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77720"/>
        <c:axId val="-211373176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9897.0</c:v>
                </c:pt>
                <c:pt idx="1">
                  <c:v>17041.0</c:v>
                </c:pt>
                <c:pt idx="2">
                  <c:v>32079.0</c:v>
                </c:pt>
                <c:pt idx="3">
                  <c:v>5310.0</c:v>
                </c:pt>
                <c:pt idx="4">
                  <c:v>8276.0</c:v>
                </c:pt>
                <c:pt idx="5">
                  <c:v>15616.0</c:v>
                </c:pt>
                <c:pt idx="6">
                  <c:v>23180.0</c:v>
                </c:pt>
                <c:pt idx="7">
                  <c:v>33964.0</c:v>
                </c:pt>
                <c:pt idx="8">
                  <c:v>45819.0</c:v>
                </c:pt>
                <c:pt idx="9">
                  <c:v>54489.0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0.016007</c:v>
                  </c:pt>
                  <c:pt idx="2">
                    <c:v>0.0402833999351262</c:v>
                  </c:pt>
                  <c:pt idx="3">
                    <c:v>0.0</c:v>
                  </c:pt>
                  <c:pt idx="4">
                    <c:v>0.0244510963830527</c:v>
                  </c:pt>
                  <c:pt idx="5">
                    <c:v>0.127051623708633</c:v>
                  </c:pt>
                  <c:pt idx="6">
                    <c:v>0.0739331660713468</c:v>
                  </c:pt>
                  <c:pt idx="7">
                    <c:v>0.10291061182081</c:v>
                  </c:pt>
                  <c:pt idx="8">
                    <c:v>0.582443680432709</c:v>
                  </c:pt>
                  <c:pt idx="9">
                    <c:v>0.449717892325104</c:v>
                  </c:pt>
                  <c:pt idx="10">
                    <c:v>0.151292261458851</c:v>
                  </c:pt>
                  <c:pt idx="11">
                    <c:v>0.213159716384999</c:v>
                  </c:pt>
                  <c:pt idx="12">
                    <c:v>0.0184832915178367</c:v>
                  </c:pt>
                  <c:pt idx="13">
                    <c:v>0.369665830356733</c:v>
                  </c:pt>
                  <c:pt idx="14">
                    <c:v>0.10291061182081</c:v>
                  </c:pt>
                  <c:pt idx="15">
                    <c:v>0.0666424553069088</c:v>
                  </c:pt>
                  <c:pt idx="16">
                    <c:v>0.0369665830356734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0.016007</c:v>
                  </c:pt>
                  <c:pt idx="2">
                    <c:v>0.0402833999351262</c:v>
                  </c:pt>
                  <c:pt idx="3">
                    <c:v>0.0</c:v>
                  </c:pt>
                  <c:pt idx="4">
                    <c:v>0.0244510963830527</c:v>
                  </c:pt>
                  <c:pt idx="5">
                    <c:v>0.127051623708633</c:v>
                  </c:pt>
                  <c:pt idx="6">
                    <c:v>0.0739331660713468</c:v>
                  </c:pt>
                  <c:pt idx="7">
                    <c:v>0.10291061182081</c:v>
                  </c:pt>
                  <c:pt idx="8">
                    <c:v>0.582443680432709</c:v>
                  </c:pt>
                  <c:pt idx="9">
                    <c:v>0.449717892325104</c:v>
                  </c:pt>
                  <c:pt idx="10">
                    <c:v>0.151292261458851</c:v>
                  </c:pt>
                  <c:pt idx="11">
                    <c:v>0.213159716384999</c:v>
                  </c:pt>
                  <c:pt idx="12">
                    <c:v>0.0184832915178367</c:v>
                  </c:pt>
                  <c:pt idx="13">
                    <c:v>0.369665830356733</c:v>
                  </c:pt>
                  <c:pt idx="14">
                    <c:v>0.10291061182081</c:v>
                  </c:pt>
                  <c:pt idx="15">
                    <c:v>0.0666424553069088</c:v>
                  </c:pt>
                  <c:pt idx="16">
                    <c:v>0.0369665830356734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0.3339512</c:v>
                </c:pt>
                <c:pt idx="1">
                  <c:v>0.586308</c:v>
                </c:pt>
                <c:pt idx="2">
                  <c:v>1.007825666666667</c:v>
                </c:pt>
                <c:pt idx="3">
                  <c:v>1.930896</c:v>
                </c:pt>
                <c:pt idx="4">
                  <c:v>2.928665666666666</c:v>
                </c:pt>
                <c:pt idx="5">
                  <c:v>4.20389</c:v>
                </c:pt>
                <c:pt idx="6">
                  <c:v>5.835988666666667</c:v>
                </c:pt>
                <c:pt idx="7">
                  <c:v>7.852870666666667</c:v>
                </c:pt>
                <c:pt idx="8">
                  <c:v>10.840844</c:v>
                </c:pt>
                <c:pt idx="9">
                  <c:v>10.17922133333333</c:v>
                </c:pt>
                <c:pt idx="10">
                  <c:v>9.741696666666667</c:v>
                </c:pt>
                <c:pt idx="11">
                  <c:v>9.165444666666667</c:v>
                </c:pt>
                <c:pt idx="12">
                  <c:v>8.813290666666665</c:v>
                </c:pt>
                <c:pt idx="13">
                  <c:v>8.781276666666667</c:v>
                </c:pt>
                <c:pt idx="14">
                  <c:v>6.764394666666668</c:v>
                </c:pt>
                <c:pt idx="15">
                  <c:v>2.591903333333333</c:v>
                </c:pt>
                <c:pt idx="16">
                  <c:v>2.384427666666667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94920"/>
        <c:axId val="-2092186280"/>
      </c:scatterChart>
      <c:valAx>
        <c:axId val="-210937772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3731768"/>
        <c:crosses val="autoZero"/>
        <c:crossBetween val="midCat"/>
        <c:majorUnit val="6.0"/>
      </c:valAx>
      <c:valAx>
        <c:axId val="-2113731768"/>
        <c:scaling>
          <c:orientation val="minMax"/>
          <c:max val="14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9377720"/>
        <c:crosses val="autoZero"/>
        <c:crossBetween val="midCat"/>
      </c:valAx>
      <c:valAx>
        <c:axId val="-2092186280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2194920"/>
        <c:crosses val="max"/>
        <c:crossBetween val="midCat"/>
        <c:majorUnit val="1.0"/>
        <c:minorUnit val="0.2"/>
      </c:valAx>
      <c:valAx>
        <c:axId val="-2092194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218628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98.33203125" style="2" customWidth="1"/>
    <col min="4" max="16384" width="8.83203125" style="2"/>
  </cols>
  <sheetData>
    <row r="1" spans="1:3">
      <c r="A1" s="130" t="s">
        <v>0</v>
      </c>
      <c r="B1" s="131"/>
      <c r="C1" s="34">
        <v>42088</v>
      </c>
    </row>
    <row r="2" spans="1:3" ht="16">
      <c r="A2" s="130" t="s">
        <v>1</v>
      </c>
      <c r="B2" s="132"/>
      <c r="C2" s="32" t="s">
        <v>180</v>
      </c>
    </row>
    <row r="3" spans="1:3">
      <c r="A3" s="11"/>
      <c r="B3" s="11"/>
      <c r="C3" s="10"/>
    </row>
    <row r="4" spans="1:3">
      <c r="A4" s="133" t="s">
        <v>49</v>
      </c>
      <c r="B4" s="133"/>
      <c r="C4" s="7" t="s">
        <v>107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2" t="s">
        <v>85</v>
      </c>
      <c r="B7" s="37" t="s">
        <v>86</v>
      </c>
      <c r="C7" s="37" t="s">
        <v>101</v>
      </c>
    </row>
    <row r="8" spans="1:3">
      <c r="A8" s="32" t="s">
        <v>87</v>
      </c>
      <c r="B8" s="37" t="s">
        <v>88</v>
      </c>
      <c r="C8" s="37" t="s">
        <v>101</v>
      </c>
    </row>
    <row r="9" spans="1:3">
      <c r="A9" s="32" t="s">
        <v>89</v>
      </c>
      <c r="B9" s="37" t="s">
        <v>90</v>
      </c>
      <c r="C9" s="37" t="s">
        <v>101</v>
      </c>
    </row>
    <row r="10" spans="1:3">
      <c r="A10" s="32" t="s">
        <v>91</v>
      </c>
      <c r="B10" s="37" t="s">
        <v>92</v>
      </c>
      <c r="C10" s="37" t="s">
        <v>101</v>
      </c>
    </row>
    <row r="11" spans="1:3">
      <c r="A11" s="32" t="s">
        <v>181</v>
      </c>
      <c r="B11" s="40" t="s">
        <v>182</v>
      </c>
      <c r="C11" s="32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70" t="s">
        <v>77</v>
      </c>
      <c r="B13" s="37" t="s">
        <v>94</v>
      </c>
      <c r="C13" s="37" t="s">
        <v>101</v>
      </c>
    </row>
    <row r="14" spans="1:3" ht="16">
      <c r="A14" s="70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150</v>
      </c>
      <c r="C18" s="37" t="s">
        <v>101</v>
      </c>
    </row>
    <row r="19" spans="1:3" ht="16">
      <c r="A19" s="32" t="s">
        <v>75</v>
      </c>
      <c r="B19" s="37" t="s">
        <v>151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145</v>
      </c>
      <c r="B29" s="29" t="s">
        <v>146</v>
      </c>
      <c r="C29" s="29" t="s">
        <v>147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opLeftCell="A50" workbookViewId="0">
      <selection activeCell="A51" sqref="A51:H65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3" t="s">
        <v>262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</row>
    <row r="2" spans="1:29">
      <c r="A2" s="134" t="s">
        <v>4</v>
      </c>
      <c r="B2" s="134" t="s">
        <v>117</v>
      </c>
      <c r="C2" s="134" t="s">
        <v>117</v>
      </c>
      <c r="D2" s="134" t="s">
        <v>5</v>
      </c>
      <c r="E2" s="146" t="s">
        <v>221</v>
      </c>
      <c r="F2" s="146" t="s">
        <v>222</v>
      </c>
      <c r="G2" s="146" t="s">
        <v>223</v>
      </c>
      <c r="H2" s="148" t="s">
        <v>224</v>
      </c>
      <c r="I2" s="148" t="s">
        <v>225</v>
      </c>
      <c r="J2" s="148" t="s">
        <v>226</v>
      </c>
      <c r="K2" s="146" t="s">
        <v>227</v>
      </c>
      <c r="L2" s="146" t="s">
        <v>228</v>
      </c>
      <c r="M2" s="146" t="s">
        <v>229</v>
      </c>
      <c r="N2" s="146" t="s">
        <v>230</v>
      </c>
      <c r="O2" s="146" t="s">
        <v>231</v>
      </c>
      <c r="P2" s="148" t="s">
        <v>232</v>
      </c>
      <c r="Q2" s="148" t="s">
        <v>263</v>
      </c>
      <c r="R2" s="148" t="s">
        <v>234</v>
      </c>
      <c r="S2" s="148" t="s">
        <v>235</v>
      </c>
      <c r="T2" s="85"/>
      <c r="U2" s="85"/>
      <c r="V2" s="85"/>
      <c r="W2" s="85"/>
      <c r="X2" s="85"/>
      <c r="Y2" s="85"/>
      <c r="Z2" s="85"/>
      <c r="AA2" s="85"/>
      <c r="AB2" s="85"/>
      <c r="AC2" s="85"/>
    </row>
    <row r="3" spans="1:29">
      <c r="A3" s="135"/>
      <c r="B3" s="135"/>
      <c r="C3" s="135"/>
      <c r="D3" s="135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85"/>
      <c r="U3" s="85"/>
      <c r="V3" s="85"/>
      <c r="W3" s="85"/>
      <c r="X3" s="85"/>
      <c r="Y3" s="85"/>
      <c r="Z3" s="85"/>
      <c r="AA3" s="85"/>
      <c r="AB3" s="85"/>
      <c r="AC3" s="85"/>
    </row>
    <row r="4" spans="1:29">
      <c r="A4" s="32">
        <v>0</v>
      </c>
      <c r="B4" s="32">
        <v>10</v>
      </c>
      <c r="C4" s="32">
        <f>B4</f>
        <v>10</v>
      </c>
      <c r="D4" s="104">
        <f t="shared" ref="D4:D20" si="0">C4/60</f>
        <v>0.16666666666666666</v>
      </c>
      <c r="E4" s="99">
        <v>24.829484939575195</v>
      </c>
      <c r="F4" s="99">
        <v>25.170438766479492</v>
      </c>
      <c r="G4" s="105">
        <v>25.139993667602539</v>
      </c>
      <c r="H4" s="111">
        <f t="shared" ref="H4:J9" si="1">(E4-$H$56)+$H$68</f>
        <v>24.769410421909431</v>
      </c>
      <c r="I4" s="111">
        <f t="shared" si="1"/>
        <v>25.110364248813728</v>
      </c>
      <c r="J4" s="111">
        <f t="shared" si="1"/>
        <v>25.079919149936774</v>
      </c>
      <c r="K4" s="105">
        <f>((H4-'CalibrationB. hydrogenotrophica'!$D$45)/('CalibrationB. hydrogenotrophica'!$D$44))+$B$24</f>
        <v>7.504913207654111</v>
      </c>
      <c r="L4" s="105">
        <f>((I4-'CalibrationB. hydrogenotrophica'!$D$45)/('CalibrationB. hydrogenotrophica'!$D$44))+$B$24</f>
        <v>7.4194461264859122</v>
      </c>
      <c r="M4" s="105">
        <f>((J4-'CalibrationB. hydrogenotrophica'!$D$45)/('CalibrationB. hydrogenotrophica'!$D$44))+$B$24</f>
        <v>7.4270778159745321</v>
      </c>
      <c r="N4" s="106">
        <f>AVERAGE(K4:M4)</f>
        <v>7.4504790500381857</v>
      </c>
      <c r="O4" s="106">
        <f>STDEV(K4:M4)</f>
        <v>4.7295547439788393E-2</v>
      </c>
      <c r="P4" s="107">
        <f>(AVERAGE(POWER(10,K4),POWER(10,L4),POWER(10,M4)))*Calculation!$I4/Calculation!$K3</f>
        <v>28379807.586249735</v>
      </c>
      <c r="Q4" s="107">
        <f>(STDEV(POWER(10,K4),POWER(10,L4),POWER(10,M4)))*Calculation!$I4/Calculation!$K3</f>
        <v>3178461.4583092257</v>
      </c>
      <c r="R4" s="106">
        <f>LOG(P4)</f>
        <v>7.4530094466354351</v>
      </c>
      <c r="S4" s="106">
        <f>O4*Calculation!$I4/Calculation!$K3</f>
        <v>4.738061137403262E-2</v>
      </c>
      <c r="T4" s="85"/>
      <c r="U4" s="85"/>
      <c r="V4" s="85"/>
      <c r="W4" s="85"/>
      <c r="X4" s="85"/>
      <c r="Y4" s="85"/>
      <c r="Z4" s="85"/>
      <c r="AA4" s="85"/>
      <c r="AB4" s="85"/>
      <c r="AC4" s="85"/>
    </row>
    <row r="5" spans="1:29">
      <c r="A5" s="32">
        <v>1</v>
      </c>
      <c r="B5" s="32">
        <v>110</v>
      </c>
      <c r="C5" s="32">
        <f>C4+B5</f>
        <v>120</v>
      </c>
      <c r="D5" s="104">
        <f t="shared" si="0"/>
        <v>2</v>
      </c>
      <c r="E5" s="99">
        <v>23.730752944946289</v>
      </c>
      <c r="F5" s="99">
        <v>24.293333053588867</v>
      </c>
      <c r="G5" s="105">
        <v>24.437822341918945</v>
      </c>
      <c r="H5" s="111">
        <f t="shared" si="1"/>
        <v>23.670678427280524</v>
      </c>
      <c r="I5" s="111">
        <f t="shared" si="1"/>
        <v>24.233258535923103</v>
      </c>
      <c r="J5" s="111">
        <f t="shared" si="1"/>
        <v>24.377747824253181</v>
      </c>
      <c r="K5" s="105">
        <f>((H5-'CalibrationB. hydrogenotrophica'!$D$45)/('CalibrationB. hydrogenotrophica'!$D$44))+$B$24</f>
        <v>7.7803329541331685</v>
      </c>
      <c r="L5" s="105">
        <f>((I5-'CalibrationB. hydrogenotrophica'!$D$45)/('CalibrationB. hydrogenotrophica'!$D$44))+$B$24</f>
        <v>7.6393106924224483</v>
      </c>
      <c r="M5" s="105">
        <f>((J5-'CalibrationB. hydrogenotrophica'!$D$45)/('CalibrationB. hydrogenotrophica'!$D$44))+$B$24</f>
        <v>7.6030914839572841</v>
      </c>
      <c r="N5" s="106">
        <f t="shared" ref="N5:N20" si="2">AVERAGE(K5:M5)</f>
        <v>7.6742450435042997</v>
      </c>
      <c r="O5" s="106">
        <f t="shared" ref="O5:O20" si="3">STDEV(K5:M5)</f>
        <v>9.3642625719593114E-2</v>
      </c>
      <c r="P5" s="107">
        <f>(AVERAGE(POWER(10,K5),POWER(10,L5),POWER(10,M5)))*Calculation!$I5/Calculation!$K4</f>
        <v>48138780.997813188</v>
      </c>
      <c r="Q5" s="107">
        <f>(STDEV(POWER(10,K5),POWER(10,L5),POWER(10,M5)))*Calculation!$I5/Calculation!$K4</f>
        <v>10834290.782584351</v>
      </c>
      <c r="R5" s="106">
        <f t="shared" ref="R5:R19" si="4">LOG(P5)</f>
        <v>7.6824950885849175</v>
      </c>
      <c r="S5" s="106">
        <f>O5*Calculation!$I5/Calculation!$K4</f>
        <v>9.3926649738745122E-2</v>
      </c>
      <c r="T5" s="85"/>
      <c r="U5" s="85"/>
      <c r="V5" s="85"/>
      <c r="W5" s="85"/>
      <c r="X5" s="85"/>
      <c r="Y5" s="85"/>
      <c r="Z5" s="85"/>
      <c r="AA5" s="85"/>
      <c r="AB5" s="85"/>
      <c r="AC5" s="85"/>
    </row>
    <row r="6" spans="1:29">
      <c r="A6" s="32">
        <v>2</v>
      </c>
      <c r="B6" s="32">
        <v>80</v>
      </c>
      <c r="C6" s="32">
        <f>C5+B6</f>
        <v>200</v>
      </c>
      <c r="D6" s="104">
        <f t="shared" si="0"/>
        <v>3.3333333333333335</v>
      </c>
      <c r="E6" s="99">
        <v>22.962577819824219</v>
      </c>
      <c r="F6" s="99">
        <v>22.925361633300781</v>
      </c>
      <c r="G6" s="105">
        <v>23.773883819580078</v>
      </c>
      <c r="H6" s="111">
        <f t="shared" si="1"/>
        <v>22.902503302158454</v>
      </c>
      <c r="I6" s="111">
        <f t="shared" si="1"/>
        <v>22.865287115635017</v>
      </c>
      <c r="J6" s="111">
        <f t="shared" si="1"/>
        <v>23.713809301914313</v>
      </c>
      <c r="K6" s="105">
        <f>((H6-'CalibrationB. hydrogenotrophica'!$D$45)/('CalibrationB. hydrogenotrophica'!$D$44))+$B$24</f>
        <v>7.9728918304077219</v>
      </c>
      <c r="L6" s="105">
        <f>((I6-'CalibrationB. hydrogenotrophica'!$D$45)/('CalibrationB. hydrogenotrophica'!$D$44))+$B$24</f>
        <v>7.9822208321181556</v>
      </c>
      <c r="M6" s="105">
        <f>((J6-'CalibrationB. hydrogenotrophica'!$D$45)/('CalibrationB. hydrogenotrophica'!$D$44))+$B$24</f>
        <v>7.7695213143382702</v>
      </c>
      <c r="N6" s="106">
        <f t="shared" si="2"/>
        <v>7.9082113256213828</v>
      </c>
      <c r="O6" s="106">
        <f t="shared" si="3"/>
        <v>0.12019961310466308</v>
      </c>
      <c r="P6" s="107">
        <f>(AVERAGE(POWER(10,K6),POWER(10,L6),POWER(10,M6)))*Calculation!$I6/Calculation!$K5</f>
        <v>83328213.78326112</v>
      </c>
      <c r="Q6" s="107">
        <f>(STDEV(POWER(10,K6),POWER(10,L6),POWER(10,M6)))*Calculation!$I6/Calculation!$K5</f>
        <v>20998870.230574254</v>
      </c>
      <c r="R6" s="106">
        <f t="shared" si="4"/>
        <v>7.9207920724246277</v>
      </c>
      <c r="S6" s="106">
        <f>O6*Calculation!$I6/Calculation!$K5</f>
        <v>0.1207926716573624</v>
      </c>
      <c r="T6" s="85"/>
      <c r="U6" s="85"/>
      <c r="V6" s="85"/>
      <c r="W6" s="85"/>
      <c r="X6" s="85"/>
      <c r="Y6" s="85"/>
      <c r="Z6" s="85"/>
      <c r="AA6" s="85"/>
      <c r="AB6" s="85"/>
      <c r="AC6" s="85"/>
    </row>
    <row r="7" spans="1:29">
      <c r="A7" s="32">
        <v>3</v>
      </c>
      <c r="B7" s="32">
        <v>80</v>
      </c>
      <c r="C7" s="32">
        <f>C6+B7</f>
        <v>280</v>
      </c>
      <c r="D7" s="104">
        <f t="shared" si="0"/>
        <v>4.666666666666667</v>
      </c>
      <c r="E7" s="99">
        <v>21.752532958984375</v>
      </c>
      <c r="F7" s="99">
        <v>21.715578079223633</v>
      </c>
      <c r="G7" s="105">
        <v>22.640445709228516</v>
      </c>
      <c r="H7" s="111">
        <f t="shared" si="1"/>
        <v>21.69245844131861</v>
      </c>
      <c r="I7" s="111">
        <f t="shared" si="1"/>
        <v>21.655503561557868</v>
      </c>
      <c r="J7" s="111">
        <f t="shared" si="1"/>
        <v>22.580371191562751</v>
      </c>
      <c r="K7" s="105">
        <f>((H7-'CalibrationB. hydrogenotrophica'!$D$45)/('CalibrationB. hydrogenotrophica'!$D$44))+$B$24</f>
        <v>8.2762144335811705</v>
      </c>
      <c r="L7" s="105">
        <f>((I7-'CalibrationB. hydrogenotrophica'!$D$45)/('CalibrationB. hydrogenotrophica'!$D$44))+$B$24</f>
        <v>8.2854779333833264</v>
      </c>
      <c r="M7" s="105">
        <f>((J7-'CalibrationB. hydrogenotrophica'!$D$45)/('CalibrationB. hydrogenotrophica'!$D$44))+$B$24</f>
        <v>8.0536408617153956</v>
      </c>
      <c r="N7" s="106">
        <f t="shared" si="2"/>
        <v>8.2051110762266308</v>
      </c>
      <c r="O7" s="106">
        <f t="shared" si="3"/>
        <v>0.13125879978197974</v>
      </c>
      <c r="P7" s="107">
        <f>(AVERAGE(POWER(10,K7),POWER(10,L7),POWER(10,M7)))*Calculation!$I7/Calculation!$K6</f>
        <v>166353298.46700281</v>
      </c>
      <c r="Q7" s="107">
        <f>(STDEV(POWER(10,K7),POWER(10,L7),POWER(10,M7)))*Calculation!$I7/Calculation!$K6</f>
        <v>45322044.277304709</v>
      </c>
      <c r="R7" s="106">
        <f t="shared" si="4"/>
        <v>8.2210314165172313</v>
      </c>
      <c r="S7" s="106">
        <f>O7*Calculation!$I7/Calculation!$K6</f>
        <v>0.13233441347285735</v>
      </c>
      <c r="T7" s="85"/>
      <c r="U7" s="85"/>
      <c r="V7" s="85"/>
      <c r="W7" s="85"/>
      <c r="X7" s="85"/>
      <c r="Y7" s="85"/>
      <c r="Z7" s="85"/>
      <c r="AA7" s="85"/>
      <c r="AB7" s="85"/>
      <c r="AC7" s="85"/>
    </row>
    <row r="8" spans="1:29">
      <c r="A8" s="32">
        <v>4</v>
      </c>
      <c r="B8" s="32">
        <v>80</v>
      </c>
      <c r="C8" s="32">
        <f t="shared" ref="C8:C18" si="5">C7+B8</f>
        <v>360</v>
      </c>
      <c r="D8" s="104">
        <f t="shared" si="0"/>
        <v>6</v>
      </c>
      <c r="E8" s="99">
        <v>20.730621337890625</v>
      </c>
      <c r="F8" s="99">
        <v>20.660491943359375</v>
      </c>
      <c r="G8" s="105">
        <v>20.732358932495117</v>
      </c>
      <c r="H8" s="111">
        <f t="shared" si="1"/>
        <v>20.67054682022486</v>
      </c>
      <c r="I8" s="111">
        <f t="shared" si="1"/>
        <v>20.60041742569361</v>
      </c>
      <c r="J8" s="111">
        <f t="shared" si="1"/>
        <v>20.672284414829353</v>
      </c>
      <c r="K8" s="105">
        <f>((H8-'CalibrationB. hydrogenotrophica'!$D$45)/('CalibrationB. hydrogenotrophica'!$D$44))+$B$24</f>
        <v>8.5323775752585949</v>
      </c>
      <c r="L8" s="105">
        <f>((I8-'CalibrationB. hydrogenotrophica'!$D$45)/('CalibrationB. hydrogenotrophica'!$D$44))+$B$24</f>
        <v>8.5499569487154048</v>
      </c>
      <c r="M8" s="105">
        <f>((J8-'CalibrationB. hydrogenotrophica'!$D$45)/('CalibrationB. hydrogenotrophica'!$D$44))+$B$24</f>
        <v>8.5319420114743494</v>
      </c>
      <c r="N8" s="106">
        <f t="shared" si="2"/>
        <v>8.538092178482783</v>
      </c>
      <c r="O8" s="106">
        <f t="shared" si="3"/>
        <v>1.0277500107381049E-2</v>
      </c>
      <c r="P8" s="107">
        <f>(AVERAGE(POWER(10,K8),POWER(10,L8),POWER(10,M8)))*Calculation!$I8/Calculation!$K7</f>
        <v>349502706.31981444</v>
      </c>
      <c r="Q8" s="107">
        <f>(STDEV(POWER(10,K8),POWER(10,L8),POWER(10,M8)))*Calculation!$I8/Calculation!$K7</f>
        <v>8326521.9805291109</v>
      </c>
      <c r="R8" s="106">
        <f t="shared" si="4"/>
        <v>8.5434505429864522</v>
      </c>
      <c r="S8" s="106">
        <f>O8*Calculation!$I8/Calculation!$K7</f>
        <v>1.0403139403311579E-2</v>
      </c>
      <c r="T8" s="85"/>
      <c r="U8" s="85"/>
      <c r="V8" s="85"/>
      <c r="W8" s="85"/>
      <c r="X8" s="85"/>
      <c r="Y8" s="85"/>
      <c r="Z8" s="85"/>
      <c r="AA8" s="85"/>
      <c r="AB8" s="85"/>
      <c r="AC8" s="85"/>
    </row>
    <row r="9" spans="1:29">
      <c r="A9" s="32">
        <v>5</v>
      </c>
      <c r="B9" s="32">
        <v>80</v>
      </c>
      <c r="C9" s="32">
        <f t="shared" si="5"/>
        <v>440</v>
      </c>
      <c r="D9" s="104">
        <f t="shared" si="0"/>
        <v>7.333333333333333</v>
      </c>
      <c r="E9" s="99">
        <v>20.397008895874023</v>
      </c>
      <c r="F9" s="99">
        <v>19.516960144042969</v>
      </c>
      <c r="G9" s="105">
        <v>19.824670791625977</v>
      </c>
      <c r="H9" s="111">
        <f t="shared" si="1"/>
        <v>20.336934378208259</v>
      </c>
      <c r="I9" s="111">
        <f t="shared" si="1"/>
        <v>19.456885626377204</v>
      </c>
      <c r="J9" s="111">
        <f t="shared" si="1"/>
        <v>19.764596273960212</v>
      </c>
      <c r="K9" s="105">
        <f>((H9-'CalibrationB. hydrogenotrophica'!$D$45)/('CalibrationB. hydrogenotrophica'!$D$44))+$B$24</f>
        <v>8.6160043874854519</v>
      </c>
      <c r="L9" s="105">
        <f>((I9-'CalibrationB. hydrogenotrophica'!$D$45)/('CalibrationB. hydrogenotrophica'!$D$44))+$B$24</f>
        <v>8.8366066865933295</v>
      </c>
      <c r="M9" s="105">
        <f>((J9-'CalibrationB. hydrogenotrophica'!$D$45)/('CalibrationB. hydrogenotrophica'!$D$44))+$B$24</f>
        <v>8.7594726912600613</v>
      </c>
      <c r="N9" s="106">
        <f t="shared" si="2"/>
        <v>8.7373612551129476</v>
      </c>
      <c r="O9" s="106">
        <f t="shared" si="3"/>
        <v>0.11195101741067957</v>
      </c>
      <c r="P9" s="107">
        <f>(AVERAGE(POWER(10,K9),POWER(10,L9),POWER(10,M9)))*Calculation!$I9/Calculation!$K8</f>
        <v>567997658.12877357</v>
      </c>
      <c r="Q9" s="107">
        <f>(STDEV(POWER(10,K9),POWER(10,L9),POWER(10,M9)))*Calculation!$I9/Calculation!$K8</f>
        <v>139899632.69163749</v>
      </c>
      <c r="R9" s="106">
        <f t="shared" si="4"/>
        <v>8.754346545105653</v>
      </c>
      <c r="S9" s="106">
        <f>O9*Calculation!$I9/Calculation!$K8</f>
        <v>0.11394051359304697</v>
      </c>
      <c r="T9" s="85"/>
      <c r="U9" s="85"/>
      <c r="V9" s="85"/>
      <c r="W9" s="85"/>
      <c r="X9" s="85"/>
      <c r="Y9" s="85"/>
      <c r="Z9" s="85"/>
      <c r="AA9" s="85"/>
      <c r="AB9" s="85"/>
      <c r="AC9" s="85"/>
    </row>
    <row r="10" spans="1:29">
      <c r="A10" s="32">
        <v>6</v>
      </c>
      <c r="B10" s="32">
        <v>80</v>
      </c>
      <c r="C10" s="32">
        <f t="shared" si="5"/>
        <v>520</v>
      </c>
      <c r="D10" s="104">
        <f t="shared" si="0"/>
        <v>8.6666666666666661</v>
      </c>
      <c r="E10" s="99">
        <v>17.924770355224609</v>
      </c>
      <c r="F10" s="99">
        <v>18.112009048461914</v>
      </c>
      <c r="G10" s="105">
        <v>18.895374298095703</v>
      </c>
      <c r="H10" s="111">
        <f>(E10-$H$65)+$H$68</f>
        <v>18.248215328118739</v>
      </c>
      <c r="I10" s="111">
        <f t="shared" ref="I10:J10" si="6">(F10-$H$65)+$H$68</f>
        <v>18.435454021356044</v>
      </c>
      <c r="J10" s="111">
        <f t="shared" si="6"/>
        <v>19.218819270989833</v>
      </c>
      <c r="K10" s="105">
        <f>((H10-'CalibrationB. hydrogenotrophica'!$D$45)/('CalibrationB. hydrogenotrophica'!$D$44))+$B$24</f>
        <v>9.1395847274171498</v>
      </c>
      <c r="L10" s="105">
        <f>((I10-'CalibrationB. hydrogenotrophica'!$D$45)/('CalibrationB. hydrogenotrophica'!$D$44))+$B$24</f>
        <v>9.0926495023808513</v>
      </c>
      <c r="M10" s="105">
        <f>((J10-'CalibrationB. hydrogenotrophica'!$D$45)/('CalibrationB. hydrogenotrophica'!$D$44))+$B$24</f>
        <v>8.8962829093360103</v>
      </c>
      <c r="N10" s="106">
        <f t="shared" si="2"/>
        <v>9.0428390463780044</v>
      </c>
      <c r="O10" s="106">
        <f t="shared" si="3"/>
        <v>0.1290726726143287</v>
      </c>
      <c r="P10" s="107">
        <f>(AVERAGE(POWER(10,K10),POWER(10,L10),POWER(10,M10)))*Calculation!$I10/Calculation!$K9</f>
        <v>1163933350.4040375</v>
      </c>
      <c r="Q10" s="107">
        <f>(STDEV(POWER(10,K10),POWER(10,L10),POWER(10,M10)))*Calculation!$I10/Calculation!$K9</f>
        <v>316838255.04985601</v>
      </c>
      <c r="R10" s="106">
        <f t="shared" si="4"/>
        <v>9.065928112289404</v>
      </c>
      <c r="S10" s="106">
        <f>O10*Calculation!$I10/Calculation!$K9</f>
        <v>0.13238550262357995</v>
      </c>
      <c r="T10" s="85"/>
      <c r="U10" s="85"/>
      <c r="V10" s="85"/>
      <c r="W10" s="85"/>
      <c r="X10" s="85"/>
      <c r="Y10" s="85"/>
      <c r="Z10" s="85"/>
      <c r="AA10" s="85"/>
      <c r="AB10" s="85"/>
      <c r="AC10" s="85"/>
    </row>
    <row r="11" spans="1:29">
      <c r="A11" s="32">
        <v>7</v>
      </c>
      <c r="B11" s="32">
        <v>80</v>
      </c>
      <c r="C11" s="32">
        <f t="shared" si="5"/>
        <v>600</v>
      </c>
      <c r="D11" s="104">
        <f t="shared" si="0"/>
        <v>10</v>
      </c>
      <c r="E11" s="99">
        <v>17.821613311767578</v>
      </c>
      <c r="F11" s="99">
        <v>18.04014778137207</v>
      </c>
      <c r="G11" s="105">
        <v>18.158500671386719</v>
      </c>
      <c r="H11" s="111">
        <f t="shared" ref="H11:H20" si="7">(E11-$H$56)+$H$68</f>
        <v>17.761538794101813</v>
      </c>
      <c r="I11" s="111">
        <f t="shared" ref="I11:I20" si="8">(F11-$H$56)+$H$68</f>
        <v>17.980073263706306</v>
      </c>
      <c r="J11" s="111">
        <f t="shared" ref="J11:J20" si="9">(G11-$H$56)+$H$68</f>
        <v>18.098426153720954</v>
      </c>
      <c r="K11" s="105">
        <f>((H11-'CalibrationB. hydrogenotrophica'!$D$45)/('CalibrationB. hydrogenotrophica'!$D$44))+$B$24</f>
        <v>9.2615801988073496</v>
      </c>
      <c r="L11" s="105">
        <f>((I11-'CalibrationB. hydrogenotrophica'!$D$45)/('CalibrationB. hydrogenotrophica'!$D$44))+$B$24</f>
        <v>9.2068000444934377</v>
      </c>
      <c r="M11" s="105">
        <f>((J11-'CalibrationB. hydrogenotrophica'!$D$45)/('CalibrationB. hydrogenotrophica'!$D$44))+$B$24</f>
        <v>9.1771324612044776</v>
      </c>
      <c r="N11" s="106">
        <f t="shared" si="2"/>
        <v>9.2151709015017556</v>
      </c>
      <c r="O11" s="106">
        <f t="shared" si="3"/>
        <v>4.2841668173066665E-2</v>
      </c>
      <c r="P11" s="107">
        <f>(AVERAGE(POWER(10,K11),POWER(10,L11),POWER(10,M11)))*Calculation!$I11/Calculation!$K10</f>
        <v>1708400093.1229577</v>
      </c>
      <c r="Q11" s="107">
        <f>(STDEV(POWER(10,K11),POWER(10,L11),POWER(10,M11)))*Calculation!$I11/Calculation!$K10</f>
        <v>170639926.17784199</v>
      </c>
      <c r="R11" s="106">
        <f t="shared" si="4"/>
        <v>9.2325895864276877</v>
      </c>
      <c r="S11" s="106">
        <f>O11*Calculation!$I11/Calculation!$K10</f>
        <v>4.4449250724719946E-2</v>
      </c>
      <c r="T11" s="85"/>
      <c r="U11" s="85"/>
      <c r="V11" s="85"/>
      <c r="W11" s="85"/>
      <c r="X11" s="85"/>
      <c r="Y11" s="85"/>
      <c r="Z11" s="85"/>
      <c r="AA11" s="85"/>
      <c r="AB11" s="85"/>
      <c r="AC11" s="85"/>
    </row>
    <row r="12" spans="1:29">
      <c r="A12" s="32">
        <v>8</v>
      </c>
      <c r="B12" s="32">
        <v>80</v>
      </c>
      <c r="C12" s="32">
        <f t="shared" si="5"/>
        <v>680</v>
      </c>
      <c r="D12" s="104">
        <f t="shared" si="0"/>
        <v>11.333333333333334</v>
      </c>
      <c r="E12" s="99">
        <v>16.740562438964844</v>
      </c>
      <c r="F12" s="99">
        <v>17.395505905151367</v>
      </c>
      <c r="G12" s="105">
        <v>17.258121490478516</v>
      </c>
      <c r="H12" s="111">
        <f t="shared" si="7"/>
        <v>16.680487921299079</v>
      </c>
      <c r="I12" s="111">
        <f t="shared" si="8"/>
        <v>17.335431387485603</v>
      </c>
      <c r="J12" s="111">
        <f t="shared" si="9"/>
        <v>17.198046972812751</v>
      </c>
      <c r="K12" s="105">
        <f>((H12-'CalibrationB. hydrogenotrophica'!$D$45)/('CalibrationB. hydrogenotrophica'!$D$44))+$B$24</f>
        <v>9.5325678088649379</v>
      </c>
      <c r="L12" s="105">
        <f>((I12-'CalibrationB. hydrogenotrophica'!$D$45)/('CalibrationB. hydrogenotrophica'!$D$44))+$B$24</f>
        <v>9.368392774100311</v>
      </c>
      <c r="M12" s="105">
        <f>((J12-'CalibrationB. hydrogenotrophica'!$D$45)/('CalibrationB. hydrogenotrophica'!$D$44))+$B$24</f>
        <v>9.4028310000228679</v>
      </c>
      <c r="N12" s="106">
        <f>AVERAGE(K12:M12)</f>
        <v>9.4345971943293723</v>
      </c>
      <c r="O12" s="106">
        <f>STDEV(K12:M12)</f>
        <v>8.6574700897725079E-2</v>
      </c>
      <c r="P12" s="107">
        <f>(AVERAGE(POWER(10,K12),POWER(10,L12),POWER(10,M12)))*Calculation!$I12/Calculation!$K11</f>
        <v>2903265449.8179936</v>
      </c>
      <c r="Q12" s="107">
        <f>(STDEV(POWER(10,K12),POWER(10,L12),POWER(10,M12)))*Calculation!$I12/Calculation!$K11</f>
        <v>602256830.37265897</v>
      </c>
      <c r="R12" s="106">
        <f>LOG(P12)</f>
        <v>9.462886745828488</v>
      </c>
      <c r="S12" s="106">
        <f>O12*Calculation!$I12/Calculation!$K11</f>
        <v>9.1152060633307427E-2</v>
      </c>
      <c r="T12" s="85"/>
      <c r="U12" s="85"/>
      <c r="V12" s="85"/>
      <c r="W12" s="85"/>
      <c r="X12" s="85"/>
      <c r="Y12" s="85"/>
      <c r="Z12" s="85"/>
      <c r="AA12" s="85"/>
      <c r="AB12" s="85"/>
      <c r="AC12" s="85"/>
    </row>
    <row r="13" spans="1:29">
      <c r="A13" s="32">
        <v>9</v>
      </c>
      <c r="B13" s="32">
        <v>80</v>
      </c>
      <c r="C13" s="32">
        <f t="shared" si="5"/>
        <v>760</v>
      </c>
      <c r="D13" s="104">
        <f t="shared" si="0"/>
        <v>12.666666666666666</v>
      </c>
      <c r="E13" s="99">
        <v>16.057287216186523</v>
      </c>
      <c r="F13" s="99">
        <v>16.266523361206055</v>
      </c>
      <c r="G13" s="105">
        <v>16.79249382019043</v>
      </c>
      <c r="H13" s="111">
        <f t="shared" si="7"/>
        <v>15.997212698520759</v>
      </c>
      <c r="I13" s="111">
        <f t="shared" si="8"/>
        <v>16.20644884354029</v>
      </c>
      <c r="J13" s="111">
        <f t="shared" si="9"/>
        <v>16.732419302524665</v>
      </c>
      <c r="K13" s="105">
        <f>((H13-'CalibrationB. hydrogenotrophica'!$D$45)/('CalibrationB. hydrogenotrophica'!$D$44))+$B$24</f>
        <v>9.7038447804585299</v>
      </c>
      <c r="L13" s="105">
        <f>((I13-'CalibrationB. hydrogenotrophica'!$D$45)/('CalibrationB. hydrogenotrophica'!$D$44))+$B$24</f>
        <v>9.6513954422238708</v>
      </c>
      <c r="M13" s="105">
        <f>((J13-'CalibrationB. hydrogenotrophica'!$D$45)/('CalibrationB. hydrogenotrophica'!$D$44))+$B$24</f>
        <v>9.519550141297799</v>
      </c>
      <c r="N13" s="106">
        <f t="shared" si="2"/>
        <v>9.6249301213267326</v>
      </c>
      <c r="O13" s="106">
        <f t="shared" si="3"/>
        <v>9.4954928326482127E-2</v>
      </c>
      <c r="P13" s="107">
        <f>(AVERAGE(POWER(10,K13),POWER(10,L13),POWER(10,M13)))*Calculation!$I13/Calculation!$K12</f>
        <v>4531996615.3835068</v>
      </c>
      <c r="Q13" s="107">
        <f>(STDEV(POWER(10,K13),POWER(10,L13),POWER(10,M13)))*Calculation!$I13/Calculation!$K12</f>
        <v>943226732.02027977</v>
      </c>
      <c r="R13" s="106">
        <f t="shared" si="4"/>
        <v>9.6562895768487262</v>
      </c>
      <c r="S13" s="106">
        <f>O13*Calculation!$I13/Calculation!$K12</f>
        <v>0.10050234430317359</v>
      </c>
      <c r="T13" s="85"/>
      <c r="U13" s="85"/>
      <c r="V13" s="85"/>
      <c r="W13" s="85"/>
      <c r="X13" s="85"/>
      <c r="Y13" s="85"/>
      <c r="Z13" s="85"/>
      <c r="AA13" s="85"/>
      <c r="AB13" s="85"/>
      <c r="AC13" s="85"/>
    </row>
    <row r="14" spans="1:29">
      <c r="A14" s="32">
        <v>10</v>
      </c>
      <c r="B14" s="32">
        <v>80</v>
      </c>
      <c r="C14" s="32">
        <f t="shared" si="5"/>
        <v>840</v>
      </c>
      <c r="D14" s="104">
        <f t="shared" si="0"/>
        <v>14</v>
      </c>
      <c r="E14" s="99">
        <v>15.904777526855469</v>
      </c>
      <c r="F14" s="99">
        <v>16.686418533325195</v>
      </c>
      <c r="G14" s="105">
        <v>16.846393585205078</v>
      </c>
      <c r="H14" s="111">
        <f t="shared" si="7"/>
        <v>15.844703009189704</v>
      </c>
      <c r="I14" s="111">
        <f t="shared" si="8"/>
        <v>16.626344015659431</v>
      </c>
      <c r="J14" s="111">
        <f t="shared" si="9"/>
        <v>16.786319067539313</v>
      </c>
      <c r="K14" s="105">
        <f>((H14-'CalibrationB. hydrogenotrophica'!$D$45)/('CalibrationB. hydrogenotrophica'!$D$44))+$B$24</f>
        <v>9.7420744672033361</v>
      </c>
      <c r="L14" s="105">
        <f>((I14-'CalibrationB. hydrogenotrophica'!$D$45)/('CalibrationB. hydrogenotrophica'!$D$44))+$B$24</f>
        <v>9.5461400911299084</v>
      </c>
      <c r="M14" s="105">
        <f>((J14-'CalibrationB. hydrogenotrophica'!$D$45)/('CalibrationB. hydrogenotrophica'!$D$44))+$B$24</f>
        <v>9.5060390578960376</v>
      </c>
      <c r="N14" s="106">
        <f t="shared" si="2"/>
        <v>9.5980845387430946</v>
      </c>
      <c r="O14" s="106">
        <f t="shared" si="3"/>
        <v>0.12630062486027227</v>
      </c>
      <c r="P14" s="107">
        <f>(AVERAGE(POWER(10,K14),POWER(10,L14),POWER(10,M14)))*Calculation!$I14/Calculation!$K13</f>
        <v>4326854124.2469683</v>
      </c>
      <c r="Q14" s="107">
        <f>(STDEV(POWER(10,K14),POWER(10,L14),POWER(10,M14)))*Calculation!$I14/Calculation!$K13</f>
        <v>1332215269.6177523</v>
      </c>
      <c r="R14" s="106">
        <f t="shared" si="4"/>
        <v>9.6361722536219929</v>
      </c>
      <c r="S14" s="106">
        <f>O14*Calculation!$I14/Calculation!$K13</f>
        <v>0.13388736681222188</v>
      </c>
      <c r="T14" s="85"/>
      <c r="U14" s="85"/>
      <c r="V14" s="85"/>
      <c r="W14" s="85"/>
      <c r="X14" s="85"/>
      <c r="Y14" s="85"/>
      <c r="Z14" s="85"/>
      <c r="AA14" s="85"/>
      <c r="AB14" s="85"/>
      <c r="AC14" s="85"/>
    </row>
    <row r="15" spans="1:29">
      <c r="A15" s="32">
        <v>11</v>
      </c>
      <c r="B15" s="32">
        <v>80</v>
      </c>
      <c r="C15" s="32">
        <f t="shared" si="5"/>
        <v>920</v>
      </c>
      <c r="D15" s="104">
        <f t="shared" si="0"/>
        <v>15.333333333333334</v>
      </c>
      <c r="E15" s="99">
        <v>16.085590362548828</v>
      </c>
      <c r="F15" s="99">
        <v>16.190933227539062</v>
      </c>
      <c r="G15" s="105">
        <v>16.689428329467773</v>
      </c>
      <c r="H15" s="111">
        <f t="shared" si="7"/>
        <v>16.025515844883063</v>
      </c>
      <c r="I15" s="111">
        <f t="shared" si="8"/>
        <v>16.130858709873298</v>
      </c>
      <c r="J15" s="111">
        <f t="shared" si="9"/>
        <v>16.629353811802009</v>
      </c>
      <c r="K15" s="105">
        <f>((H15-'CalibrationB. hydrogenotrophica'!$D$45)/('CalibrationB. hydrogenotrophica'!$D$44))+$B$24</f>
        <v>9.6967500153713466</v>
      </c>
      <c r="L15" s="105">
        <f>((I15-'CalibrationB. hydrogenotrophica'!$D$45)/('CalibrationB. hydrogenotrophica'!$D$44))+$B$24</f>
        <v>9.6703436621288645</v>
      </c>
      <c r="M15" s="105">
        <f>((J15-'CalibrationB. hydrogenotrophica'!$D$45)/('CalibrationB. hydrogenotrophica'!$D$44))+$B$24</f>
        <v>9.5453856238944095</v>
      </c>
      <c r="N15" s="106">
        <f t="shared" si="2"/>
        <v>9.637493100464873</v>
      </c>
      <c r="O15" s="106">
        <f t="shared" si="3"/>
        <v>8.0852732192707166E-2</v>
      </c>
      <c r="P15" s="107">
        <f>(AVERAGE(POWER(10,K15),POWER(10,L15),POWER(10,M15)))*Calculation!$I15/Calculation!$K14</f>
        <v>4659861949.8780289</v>
      </c>
      <c r="Q15" s="107">
        <f>(STDEV(POWER(10,K15),POWER(10,L15),POWER(10,M15)))*Calculation!$I15/Calculation!$K14</f>
        <v>822326623.07582223</v>
      </c>
      <c r="R15" s="106">
        <f t="shared" si="4"/>
        <v>9.6683730507470234</v>
      </c>
      <c r="S15" s="106">
        <f>O15*Calculation!$I15/Calculation!$K14</f>
        <v>8.5847709458187496E-2</v>
      </c>
      <c r="T15" s="85"/>
      <c r="U15" s="85"/>
      <c r="V15" s="85"/>
      <c r="W15" s="85"/>
      <c r="X15" s="85"/>
      <c r="Y15" s="85"/>
      <c r="Z15" s="85"/>
      <c r="AA15" s="85"/>
      <c r="AB15" s="85"/>
      <c r="AC15" s="85"/>
    </row>
    <row r="16" spans="1:29">
      <c r="A16" s="32">
        <v>12</v>
      </c>
      <c r="B16" s="32">
        <v>80</v>
      </c>
      <c r="C16" s="32">
        <f t="shared" si="5"/>
        <v>1000</v>
      </c>
      <c r="D16" s="104">
        <f t="shared" si="0"/>
        <v>16.666666666666668</v>
      </c>
      <c r="E16" s="99">
        <v>15.816539764404297</v>
      </c>
      <c r="F16" s="99">
        <v>16.048568725585938</v>
      </c>
      <c r="G16" s="105">
        <v>17.381307601928711</v>
      </c>
      <c r="H16" s="111">
        <f t="shared" si="7"/>
        <v>15.756465246738532</v>
      </c>
      <c r="I16" s="111">
        <f t="shared" si="8"/>
        <v>15.988494207920173</v>
      </c>
      <c r="J16" s="111">
        <f t="shared" si="9"/>
        <v>17.321233084262946</v>
      </c>
      <c r="K16" s="105">
        <f>((H16-'CalibrationB. hydrogenotrophica'!$D$45)/('CalibrationB. hydrogenotrophica'!$D$44))+$B$24</f>
        <v>9.7641930750922317</v>
      </c>
      <c r="L16" s="105">
        <f>((I16-'CalibrationB. hydrogenotrophica'!$D$45)/('CalibrationB. hydrogenotrophica'!$D$44))+$B$24</f>
        <v>9.7060302492376618</v>
      </c>
      <c r="M16" s="105">
        <f>((J16-'CalibrationB. hydrogenotrophica'!$D$45)/('CalibrationB. hydrogenotrophica'!$D$44))+$B$24</f>
        <v>9.3719518704888145</v>
      </c>
      <c r="N16" s="106">
        <f t="shared" si="2"/>
        <v>9.6140583982729027</v>
      </c>
      <c r="O16" s="106">
        <f t="shared" si="3"/>
        <v>0.21167760078619052</v>
      </c>
      <c r="P16" s="107">
        <f>(AVERAGE(POWER(10,K16),POWER(10,L16),POWER(10,M16)))*Calculation!$I16/Calculation!$K15</f>
        <v>4696288086.6549482</v>
      </c>
      <c r="Q16" s="107">
        <f>(STDEV(POWER(10,K16),POWER(10,L16),POWER(10,M16)))*Calculation!$I16/Calculation!$K15</f>
        <v>1937296779.488724</v>
      </c>
      <c r="R16" s="106">
        <f t="shared" si="4"/>
        <v>9.671754730191644</v>
      </c>
      <c r="S16" s="106">
        <f>O16*Calculation!$I16/Calculation!$K15</f>
        <v>0.22513061339399207</v>
      </c>
      <c r="T16" s="85"/>
      <c r="U16" s="85"/>
      <c r="V16" s="85"/>
      <c r="W16" s="85"/>
      <c r="X16" s="85"/>
      <c r="Y16" s="85"/>
      <c r="Z16" s="85"/>
      <c r="AA16" s="85"/>
      <c r="AB16" s="85"/>
      <c r="AC16" s="85"/>
    </row>
    <row r="17" spans="1:29">
      <c r="A17" s="32">
        <v>13</v>
      </c>
      <c r="B17" s="32">
        <v>80</v>
      </c>
      <c r="C17" s="32">
        <f t="shared" si="5"/>
        <v>1080</v>
      </c>
      <c r="D17" s="104">
        <f t="shared" si="0"/>
        <v>18</v>
      </c>
      <c r="E17" s="99">
        <v>15.590309143066406</v>
      </c>
      <c r="F17" s="99">
        <v>16.616247177124023</v>
      </c>
      <c r="G17" s="105">
        <v>16.725009918212891</v>
      </c>
      <c r="H17" s="111">
        <f t="shared" si="7"/>
        <v>15.530234625400642</v>
      </c>
      <c r="I17" s="111">
        <f t="shared" si="8"/>
        <v>16.556172659458259</v>
      </c>
      <c r="J17" s="111">
        <f t="shared" si="9"/>
        <v>16.664935400547126</v>
      </c>
      <c r="K17" s="105">
        <f>((H17-'CalibrationB. hydrogenotrophica'!$D$45)/('CalibrationB. hydrogenotrophica'!$D$44))+$B$24</f>
        <v>9.8209024279455885</v>
      </c>
      <c r="L17" s="105">
        <f>((I17-'CalibrationB. hydrogenotrophica'!$D$45)/('CalibrationB. hydrogenotrophica'!$D$44))+$B$24</f>
        <v>9.5637299831413323</v>
      </c>
      <c r="M17" s="105">
        <f>((J17-'CalibrationB. hydrogenotrophica'!$D$45)/('CalibrationB. hydrogenotrophica'!$D$44))+$B$24</f>
        <v>9.5364663676978036</v>
      </c>
      <c r="N17" s="106">
        <f t="shared" si="2"/>
        <v>9.6403662595949076</v>
      </c>
      <c r="O17" s="106">
        <f t="shared" si="3"/>
        <v>0.15694205059136337</v>
      </c>
      <c r="P17" s="107">
        <f>(AVERAGE(POWER(10,K17),POWER(10,L17),POWER(10,M17)))*Calculation!$I17/Calculation!$K16</f>
        <v>4868929127.63447</v>
      </c>
      <c r="Q17" s="107">
        <f>(STDEV(POWER(10,K17),POWER(10,L17),POWER(10,M17)))*Calculation!$I17/Calculation!$K16</f>
        <v>1890465982.9180233</v>
      </c>
      <c r="R17" s="106">
        <f t="shared" si="4"/>
        <v>9.6874334529806276</v>
      </c>
      <c r="S17" s="106">
        <f>O17*Calculation!$I17/Calculation!$K16</f>
        <v>0.16706102756607083</v>
      </c>
      <c r="T17" s="85"/>
      <c r="U17" s="85"/>
      <c r="V17" s="85"/>
      <c r="W17" s="85"/>
      <c r="X17" s="85"/>
      <c r="Y17" s="85"/>
      <c r="Z17" s="85"/>
      <c r="AA17" s="85"/>
      <c r="AB17" s="85"/>
      <c r="AC17" s="85"/>
    </row>
    <row r="18" spans="1:29">
      <c r="A18" s="32">
        <v>14</v>
      </c>
      <c r="B18" s="32">
        <v>360</v>
      </c>
      <c r="C18" s="32">
        <f t="shared" si="5"/>
        <v>1440</v>
      </c>
      <c r="D18" s="104">
        <f t="shared" si="0"/>
        <v>24</v>
      </c>
      <c r="E18" s="99">
        <v>15.880404472351074</v>
      </c>
      <c r="F18" s="99">
        <v>16.313764572143555</v>
      </c>
      <c r="G18" s="105">
        <v>16.851943969726562</v>
      </c>
      <c r="H18" s="111">
        <f t="shared" si="7"/>
        <v>15.82032995468531</v>
      </c>
      <c r="I18" s="111">
        <f t="shared" si="8"/>
        <v>16.25369005447779</v>
      </c>
      <c r="J18" s="111">
        <f t="shared" si="9"/>
        <v>16.791869452060798</v>
      </c>
      <c r="K18" s="105">
        <f>((H18-'CalibrationB. hydrogenotrophica'!$D$45)/('CalibrationB. hydrogenotrophica'!$D$44))+$B$24</f>
        <v>9.7481840740276908</v>
      </c>
      <c r="L18" s="105">
        <f>((I18-'CalibrationB. hydrogenotrophica'!$D$45)/('CalibrationB. hydrogenotrophica'!$D$44))+$B$24</f>
        <v>9.6395534621929126</v>
      </c>
      <c r="M18" s="105">
        <f>((J18-'CalibrationB. hydrogenotrophica'!$D$45)/('CalibrationB. hydrogenotrophica'!$D$44))+$B$24</f>
        <v>9.5046477399902685</v>
      </c>
      <c r="N18" s="106">
        <f t="shared" si="2"/>
        <v>9.6307950920702918</v>
      </c>
      <c r="O18" s="106">
        <f t="shared" si="3"/>
        <v>0.12200417322575638</v>
      </c>
      <c r="P18" s="107">
        <f>(AVERAGE(POWER(10,K18),POWER(10,L18),POWER(10,M18)))*Calculation!$I18/Calculation!$K17</f>
        <v>4676820597.2401733</v>
      </c>
      <c r="Q18" s="107">
        <f>(STDEV(POWER(10,K18),POWER(10,L18),POWER(10,M18)))*Calculation!$I18/Calculation!$K17</f>
        <v>1281824896.9406602</v>
      </c>
      <c r="R18" s="106">
        <f t="shared" si="4"/>
        <v>9.6699507106989699</v>
      </c>
      <c r="S18" s="106">
        <f>O18*Calculation!$I18/Calculation!$K17</f>
        <v>0.13010450067824075</v>
      </c>
      <c r="T18" s="85"/>
      <c r="U18" s="85"/>
      <c r="V18" s="85"/>
      <c r="W18" s="85"/>
      <c r="X18" s="85"/>
      <c r="Y18" s="85"/>
      <c r="Z18" s="85"/>
      <c r="AA18" s="85"/>
      <c r="AB18" s="85"/>
      <c r="AC18" s="85"/>
    </row>
    <row r="19" spans="1:29">
      <c r="A19" s="32">
        <v>15</v>
      </c>
      <c r="B19" s="32">
        <v>360</v>
      </c>
      <c r="C19" s="32">
        <f>C18+B19</f>
        <v>1800</v>
      </c>
      <c r="D19" s="104">
        <f t="shared" si="0"/>
        <v>30</v>
      </c>
      <c r="E19" s="99">
        <v>16.596973419189453</v>
      </c>
      <c r="F19" s="99">
        <v>16.64813232421875</v>
      </c>
      <c r="G19" s="105">
        <v>16.946584701538086</v>
      </c>
      <c r="H19" s="111">
        <f t="shared" si="7"/>
        <v>16.536898901523688</v>
      </c>
      <c r="I19" s="111">
        <f t="shared" si="8"/>
        <v>16.588057806552985</v>
      </c>
      <c r="J19" s="111">
        <f t="shared" si="9"/>
        <v>16.886510183872321</v>
      </c>
      <c r="K19" s="105">
        <f>((H19-'CalibrationB. hydrogenotrophica'!$D$45)/('CalibrationB. hydrogenotrophica'!$D$44))+$B$24</f>
        <v>9.568561346522019</v>
      </c>
      <c r="L19" s="105">
        <f>((I19-'CalibrationB. hydrogenotrophica'!$D$45)/('CalibrationB. hydrogenotrophica'!$D$44))+$B$24</f>
        <v>9.5557373159830021</v>
      </c>
      <c r="M19" s="105">
        <f>((J19-'CalibrationB. hydrogenotrophica'!$D$45)/('CalibrationB. hydrogenotrophica'!$D$44))+$B$24</f>
        <v>9.4809240962904902</v>
      </c>
      <c r="N19" s="106">
        <f t="shared" si="2"/>
        <v>9.5350742529318371</v>
      </c>
      <c r="O19" s="106">
        <f t="shared" si="3"/>
        <v>4.7331739224628286E-2</v>
      </c>
      <c r="P19" s="107">
        <f>(AVERAGE(POWER(10,K19),POWER(10,L19),POWER(10,M19)))*Calculation!$I19/Calculation!$K18</f>
        <v>3670089575.9398794</v>
      </c>
      <c r="Q19" s="107">
        <f>(STDEV(POWER(10,K19),POWER(10,L19),POWER(10,M19)))*Calculation!$I19/Calculation!$K18</f>
        <v>387731474.16697145</v>
      </c>
      <c r="R19" s="106">
        <f t="shared" si="4"/>
        <v>9.5646766642143923</v>
      </c>
      <c r="S19" s="106">
        <f>O19*Calculation!$I19/Calculation!$K18</f>
        <v>5.0474275881187074E-2</v>
      </c>
      <c r="T19" s="85"/>
      <c r="U19" s="85"/>
      <c r="V19" s="85"/>
      <c r="W19" s="85"/>
      <c r="X19" s="85"/>
      <c r="Y19" s="85"/>
      <c r="Z19" s="85"/>
      <c r="AA19" s="85"/>
      <c r="AB19" s="85"/>
      <c r="AC19" s="85"/>
    </row>
    <row r="20" spans="1:29">
      <c r="A20" s="32">
        <v>16</v>
      </c>
      <c r="B20" s="32">
        <v>1080</v>
      </c>
      <c r="C20" s="32">
        <f>C19+B20</f>
        <v>2880</v>
      </c>
      <c r="D20" s="104">
        <f t="shared" si="0"/>
        <v>48</v>
      </c>
      <c r="E20" s="99">
        <v>17.690231323242188</v>
      </c>
      <c r="F20" s="99">
        <v>18.216447830200195</v>
      </c>
      <c r="G20" s="105">
        <v>18.619829177856445</v>
      </c>
      <c r="H20" s="111">
        <f t="shared" si="7"/>
        <v>17.630156805576423</v>
      </c>
      <c r="I20" s="111">
        <f t="shared" si="8"/>
        <v>18.156373312534431</v>
      </c>
      <c r="J20" s="111">
        <f t="shared" si="9"/>
        <v>18.559754660190681</v>
      </c>
      <c r="K20" s="105">
        <f>((H20-'CalibrationB. hydrogenotrophica'!$D$45)/('CalibrationB. hydrogenotrophica'!$D$44))+$B$24</f>
        <v>9.2945137933039756</v>
      </c>
      <c r="L20" s="105">
        <f>((I20-'CalibrationB. hydrogenotrophica'!$D$45)/('CalibrationB. hydrogenotrophica'!$D$44))+$B$24</f>
        <v>9.1626068153985774</v>
      </c>
      <c r="M20" s="105">
        <f>((J20-'CalibrationB. hydrogenotrophica'!$D$45)/('CalibrationB. hydrogenotrophica'!$D$44))+$B$24</f>
        <v>9.0614909936613675</v>
      </c>
      <c r="N20" s="106">
        <f t="shared" si="2"/>
        <v>9.1728705341213068</v>
      </c>
      <c r="O20" s="106">
        <f t="shared" si="3"/>
        <v>0.11684996461203682</v>
      </c>
      <c r="P20" s="107">
        <f>(AVERAGE(POWER(10,K20),POWER(10,L20),POWER(10,M20)))*Calculation!$I20/Calculation!$K19</f>
        <v>1628373895.3743334</v>
      </c>
      <c r="Q20" s="107">
        <f>(STDEV(POWER(10,K20),POWER(10,L20),POWER(10,M20)))*Calculation!$I20/Calculation!$K19</f>
        <v>441598764.36387694</v>
      </c>
      <c r="R20" s="106">
        <f>LOG(P20)</f>
        <v>9.2117541315446552</v>
      </c>
      <c r="S20" s="106">
        <f>O20*Calculation!$I20/Calculation!$K19</f>
        <v>0.12473097193947973</v>
      </c>
      <c r="T20" s="85"/>
      <c r="U20" s="85"/>
      <c r="V20" s="85"/>
      <c r="W20" s="85"/>
      <c r="X20" s="85"/>
      <c r="Y20" s="85"/>
      <c r="Z20" s="85"/>
      <c r="AA20" s="85"/>
      <c r="AB20" s="85"/>
      <c r="AC20" s="85"/>
    </row>
    <row r="21" spans="1:29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</row>
    <row r="22" spans="1:29">
      <c r="A22" s="117"/>
      <c r="B22" s="118"/>
      <c r="C22" s="117"/>
      <c r="D22" s="118"/>
      <c r="E22" s="119"/>
      <c r="F22" s="119"/>
      <c r="G22" s="120"/>
      <c r="H22" s="113"/>
      <c r="I22" s="113"/>
      <c r="J22" s="113"/>
      <c r="K22" s="120"/>
      <c r="L22" s="120"/>
      <c r="M22" s="120"/>
      <c r="N22" s="121"/>
      <c r="O22" s="121"/>
      <c r="P22" s="122"/>
      <c r="Q22" s="122"/>
      <c r="R22" s="121"/>
      <c r="S22" s="121"/>
    </row>
    <row r="23" spans="1:29">
      <c r="A23" s="117"/>
      <c r="B23" s="118"/>
      <c r="C23" s="117"/>
      <c r="D23" s="118"/>
      <c r="E23" s="119"/>
      <c r="F23" s="119"/>
      <c r="G23" s="120"/>
      <c r="H23" s="113"/>
      <c r="I23" s="113"/>
      <c r="J23" s="113"/>
      <c r="K23" s="120"/>
      <c r="L23" s="120"/>
      <c r="M23" s="120"/>
      <c r="N23" s="121"/>
      <c r="O23" s="121"/>
      <c r="P23" s="122"/>
      <c r="Q23" s="122"/>
      <c r="R23" s="121"/>
      <c r="S23" s="121"/>
    </row>
    <row r="24" spans="1:29">
      <c r="A24" s="102" t="s">
        <v>236</v>
      </c>
      <c r="B24" s="110">
        <f>LOG(B25)</f>
        <v>3.6532125137753435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</row>
    <row r="25" spans="1:29">
      <c r="A25" s="98" t="s">
        <v>264</v>
      </c>
      <c r="B25" s="85">
        <f>20*1800/4/2</f>
        <v>4500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</row>
    <row r="26" spans="1:29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spans="1:29">
      <c r="A27" s="61" t="s">
        <v>265</v>
      </c>
      <c r="B27" s="61"/>
      <c r="C27" s="61"/>
      <c r="D27" s="61"/>
      <c r="E27" s="112">
        <v>11.1</v>
      </c>
      <c r="F27" s="111">
        <v>11.4</v>
      </c>
      <c r="G27" s="111"/>
      <c r="H27" s="111">
        <f>AVERAGE(E27:G27)</f>
        <v>11.25</v>
      </c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</row>
    <row r="28" spans="1:29">
      <c r="A28" s="61" t="s">
        <v>266</v>
      </c>
      <c r="B28" s="61"/>
      <c r="C28" s="61"/>
      <c r="D28" s="61"/>
      <c r="E28" s="126">
        <v>10.7</v>
      </c>
      <c r="F28" s="127">
        <v>10.8</v>
      </c>
      <c r="G28" s="127">
        <v>10.7</v>
      </c>
      <c r="H28" s="111">
        <f t="shared" ref="H28:H59" si="10">AVERAGE(E28:G28)</f>
        <v>10.733333333333334</v>
      </c>
    </row>
    <row r="29" spans="1:29">
      <c r="A29" s="61" t="s">
        <v>267</v>
      </c>
      <c r="B29" s="61"/>
      <c r="C29" s="61"/>
      <c r="D29" s="61"/>
      <c r="E29" s="126">
        <v>11.5</v>
      </c>
      <c r="F29" s="127">
        <v>11.5</v>
      </c>
      <c r="G29" s="127">
        <v>11.5</v>
      </c>
      <c r="H29" s="111">
        <f t="shared" si="10"/>
        <v>11.5</v>
      </c>
    </row>
    <row r="30" spans="1:29">
      <c r="A30" s="61" t="s">
        <v>289</v>
      </c>
      <c r="B30" s="61"/>
      <c r="C30" s="61"/>
      <c r="D30" s="61"/>
      <c r="E30" s="126">
        <v>11.3</v>
      </c>
      <c r="F30" s="127">
        <v>11.6</v>
      </c>
      <c r="G30" s="127">
        <v>11.7</v>
      </c>
      <c r="H30" s="111">
        <f t="shared" si="10"/>
        <v>11.533333333333331</v>
      </c>
    </row>
    <row r="31" spans="1:29">
      <c r="A31" s="61" t="s">
        <v>290</v>
      </c>
      <c r="B31" s="61"/>
      <c r="C31" s="61"/>
      <c r="D31" s="61"/>
      <c r="E31" s="126">
        <v>11.5</v>
      </c>
      <c r="F31" s="127">
        <v>11.5</v>
      </c>
      <c r="G31" s="127">
        <v>11.5</v>
      </c>
      <c r="H31" s="111">
        <f t="shared" si="10"/>
        <v>11.5</v>
      </c>
    </row>
    <row r="32" spans="1:29">
      <c r="A32" s="61" t="s">
        <v>310</v>
      </c>
      <c r="B32" s="61"/>
      <c r="C32" s="61"/>
      <c r="D32" s="61"/>
      <c r="E32" s="126">
        <v>11.5</v>
      </c>
      <c r="F32" s="127">
        <v>11.5</v>
      </c>
      <c r="G32" s="127">
        <v>11.5</v>
      </c>
      <c r="H32" s="111">
        <f t="shared" si="10"/>
        <v>11.5</v>
      </c>
    </row>
    <row r="33" spans="1:8">
      <c r="A33" s="61" t="s">
        <v>311</v>
      </c>
      <c r="B33" s="61"/>
      <c r="C33" s="61"/>
      <c r="D33" s="61"/>
      <c r="E33" s="126">
        <v>11.6</v>
      </c>
      <c r="F33" s="127">
        <v>11.6</v>
      </c>
      <c r="G33" s="127">
        <v>11.6</v>
      </c>
      <c r="H33" s="111">
        <f t="shared" si="10"/>
        <v>11.6</v>
      </c>
    </row>
    <row r="34" spans="1:8">
      <c r="A34" s="61" t="s">
        <v>312</v>
      </c>
      <c r="B34" s="61"/>
      <c r="C34" s="61"/>
      <c r="D34" s="61"/>
      <c r="E34" s="126">
        <v>11.2</v>
      </c>
      <c r="F34" s="127">
        <v>11.2</v>
      </c>
      <c r="G34" s="127">
        <v>11.2</v>
      </c>
      <c r="H34" s="111">
        <f t="shared" si="10"/>
        <v>11.199999999999998</v>
      </c>
    </row>
    <row r="35" spans="1:8">
      <c r="A35" s="61" t="s">
        <v>313</v>
      </c>
      <c r="B35" s="61"/>
      <c r="C35" s="61"/>
      <c r="D35" s="61"/>
      <c r="E35" s="126">
        <v>10.4</v>
      </c>
      <c r="F35" s="127">
        <v>11.2</v>
      </c>
      <c r="G35" s="127">
        <v>11.4</v>
      </c>
      <c r="H35" s="111">
        <f t="shared" si="10"/>
        <v>11</v>
      </c>
    </row>
    <row r="36" spans="1:8">
      <c r="A36" s="61" t="s">
        <v>313</v>
      </c>
      <c r="B36" s="61"/>
      <c r="C36" s="61"/>
      <c r="D36" s="61"/>
      <c r="E36" s="126">
        <v>11.3</v>
      </c>
      <c r="F36" s="127">
        <v>11.5</v>
      </c>
      <c r="G36" s="127">
        <v>11.6</v>
      </c>
      <c r="H36" s="111">
        <f t="shared" si="10"/>
        <v>11.466666666666667</v>
      </c>
    </row>
    <row r="37" spans="1:8">
      <c r="A37" s="61" t="s">
        <v>314</v>
      </c>
      <c r="B37" s="61"/>
      <c r="C37" s="61"/>
      <c r="D37" s="61"/>
      <c r="E37" s="126">
        <v>11.7</v>
      </c>
      <c r="F37" s="127">
        <v>11.7</v>
      </c>
      <c r="G37" s="127">
        <v>11.7</v>
      </c>
      <c r="H37" s="111">
        <f t="shared" si="10"/>
        <v>11.699999999999998</v>
      </c>
    </row>
    <row r="38" spans="1:8">
      <c r="A38" s="61" t="s">
        <v>314</v>
      </c>
      <c r="B38" s="61"/>
      <c r="C38" s="61"/>
      <c r="D38" s="61"/>
      <c r="E38" s="126">
        <v>11.3</v>
      </c>
      <c r="F38" s="127">
        <v>11.5</v>
      </c>
      <c r="G38" s="127">
        <v>11</v>
      </c>
      <c r="H38" s="111">
        <f t="shared" si="10"/>
        <v>11.266666666666666</v>
      </c>
    </row>
    <row r="39" spans="1:8">
      <c r="A39" s="61" t="s">
        <v>315</v>
      </c>
      <c r="B39" s="61"/>
      <c r="C39" s="61"/>
      <c r="D39" s="61"/>
      <c r="E39" s="126">
        <v>11.2</v>
      </c>
      <c r="F39" s="127">
        <v>11.3</v>
      </c>
      <c r="G39" s="127">
        <v>11.4</v>
      </c>
      <c r="H39" s="111">
        <f t="shared" si="10"/>
        <v>11.299999999999999</v>
      </c>
    </row>
    <row r="40" spans="1:8">
      <c r="A40" s="61" t="s">
        <v>316</v>
      </c>
      <c r="B40" s="61"/>
      <c r="C40" s="61"/>
      <c r="D40" s="61"/>
      <c r="E40" s="126">
        <v>11.5</v>
      </c>
      <c r="F40" s="127">
        <v>11.5</v>
      </c>
      <c r="G40" s="127">
        <v>11.5</v>
      </c>
      <c r="H40" s="111">
        <f t="shared" si="10"/>
        <v>11.5</v>
      </c>
    </row>
    <row r="41" spans="1:8">
      <c r="A41" s="61" t="s">
        <v>317</v>
      </c>
      <c r="B41" s="61"/>
      <c r="C41" s="61"/>
      <c r="D41" s="61"/>
      <c r="E41" s="126">
        <v>11.3</v>
      </c>
      <c r="F41" s="127">
        <v>11.3</v>
      </c>
      <c r="G41" s="127">
        <v>11.3</v>
      </c>
      <c r="H41" s="111">
        <f t="shared" si="10"/>
        <v>11.300000000000002</v>
      </c>
    </row>
    <row r="42" spans="1:8">
      <c r="A42" s="61" t="s">
        <v>318</v>
      </c>
      <c r="B42" s="61"/>
      <c r="C42" s="61"/>
      <c r="D42" s="61"/>
      <c r="E42" s="126">
        <v>11.3</v>
      </c>
      <c r="F42" s="127">
        <v>11.3</v>
      </c>
      <c r="G42" s="127">
        <v>11.4</v>
      </c>
      <c r="H42" s="111">
        <f t="shared" si="10"/>
        <v>11.333333333333334</v>
      </c>
    </row>
    <row r="43" spans="1:8">
      <c r="A43" s="61" t="s">
        <v>319</v>
      </c>
      <c r="B43" s="61"/>
      <c r="C43" s="61"/>
      <c r="D43" s="61"/>
      <c r="E43" s="126">
        <v>11.1</v>
      </c>
      <c r="F43" s="127">
        <v>11.2</v>
      </c>
      <c r="G43" s="127">
        <v>11.2</v>
      </c>
      <c r="H43" s="111">
        <f t="shared" si="10"/>
        <v>11.166666666666666</v>
      </c>
    </row>
    <row r="44" spans="1:8">
      <c r="A44" s="61" t="s">
        <v>319</v>
      </c>
      <c r="B44" s="61"/>
      <c r="C44" s="61"/>
      <c r="D44" s="61"/>
      <c r="E44" s="126">
        <v>11.3</v>
      </c>
      <c r="F44" s="127">
        <v>11.3</v>
      </c>
      <c r="G44" s="127">
        <v>11.4</v>
      </c>
      <c r="H44" s="111">
        <f t="shared" si="10"/>
        <v>11.333333333333334</v>
      </c>
    </row>
    <row r="45" spans="1:8">
      <c r="A45" s="61" t="s">
        <v>320</v>
      </c>
      <c r="B45" s="61"/>
      <c r="C45" s="61"/>
      <c r="D45" s="61"/>
      <c r="E45" s="126">
        <v>11.3</v>
      </c>
      <c r="F45" s="127">
        <v>11.4</v>
      </c>
      <c r="G45" s="127">
        <v>11.3</v>
      </c>
      <c r="H45" s="111">
        <f t="shared" si="10"/>
        <v>11.333333333333334</v>
      </c>
    </row>
    <row r="46" spans="1:8">
      <c r="A46" s="61" t="s">
        <v>321</v>
      </c>
      <c r="B46" s="61"/>
      <c r="C46" s="61"/>
      <c r="D46" s="61"/>
      <c r="E46" s="126">
        <v>11.1</v>
      </c>
      <c r="F46" s="127">
        <v>11.4</v>
      </c>
      <c r="G46" s="127">
        <v>11.2</v>
      </c>
      <c r="H46" s="111">
        <f t="shared" si="10"/>
        <v>11.233333333333334</v>
      </c>
    </row>
    <row r="47" spans="1:8">
      <c r="A47" s="61" t="s">
        <v>321</v>
      </c>
      <c r="B47" s="61"/>
      <c r="C47" s="61"/>
      <c r="D47" s="61"/>
      <c r="E47" s="126">
        <v>11.4</v>
      </c>
      <c r="F47" s="127">
        <v>11.4</v>
      </c>
      <c r="G47" s="127">
        <v>11.4</v>
      </c>
      <c r="H47" s="111">
        <f t="shared" si="10"/>
        <v>11.4</v>
      </c>
    </row>
    <row r="48" spans="1:8">
      <c r="A48" s="61" t="s">
        <v>322</v>
      </c>
      <c r="B48" s="61"/>
      <c r="C48" s="61"/>
      <c r="D48" s="61"/>
      <c r="E48" s="126">
        <v>11.4</v>
      </c>
      <c r="F48" s="127">
        <v>11.4</v>
      </c>
      <c r="G48" s="127">
        <v>11.3</v>
      </c>
      <c r="H48" s="111">
        <f t="shared" si="10"/>
        <v>11.366666666666667</v>
      </c>
    </row>
    <row r="49" spans="1:8">
      <c r="A49" s="61" t="s">
        <v>323</v>
      </c>
      <c r="B49" s="61"/>
      <c r="C49" s="61"/>
      <c r="D49" s="61"/>
      <c r="E49" s="126">
        <v>11.4</v>
      </c>
      <c r="F49" s="127">
        <v>11.3</v>
      </c>
      <c r="G49" s="127">
        <v>11.3</v>
      </c>
      <c r="H49" s="111">
        <f t="shared" si="10"/>
        <v>11.333333333333334</v>
      </c>
    </row>
    <row r="50" spans="1:8">
      <c r="A50" s="61" t="s">
        <v>324</v>
      </c>
      <c r="B50" s="61"/>
      <c r="C50" s="61"/>
      <c r="D50" s="61"/>
      <c r="E50" s="126">
        <v>11.4</v>
      </c>
      <c r="F50" s="127">
        <v>11.4</v>
      </c>
      <c r="G50" s="127">
        <v>11.3</v>
      </c>
      <c r="H50" s="111">
        <f t="shared" si="10"/>
        <v>11.366666666666667</v>
      </c>
    </row>
    <row r="51" spans="1:8">
      <c r="A51" s="61" t="s">
        <v>352</v>
      </c>
      <c r="E51" s="112">
        <v>10.961522102355957</v>
      </c>
      <c r="F51" s="111">
        <v>10.991280555725098</v>
      </c>
      <c r="G51" s="111">
        <v>10.988773345947266</v>
      </c>
      <c r="H51" s="111">
        <f t="shared" si="10"/>
        <v>10.980525334676107</v>
      </c>
    </row>
    <row r="52" spans="1:8">
      <c r="A52" s="61" t="s">
        <v>353</v>
      </c>
      <c r="E52" s="112">
        <v>11.455920219421387</v>
      </c>
      <c r="F52" s="111">
        <v>11.47702693939209</v>
      </c>
      <c r="G52" s="111">
        <v>11.41429615020752</v>
      </c>
      <c r="H52" s="111">
        <f t="shared" si="10"/>
        <v>11.449081103006998</v>
      </c>
    </row>
    <row r="53" spans="1:8">
      <c r="A53" s="61" t="s">
        <v>354</v>
      </c>
      <c r="E53" s="112">
        <v>11.481462478637695</v>
      </c>
      <c r="F53" s="111">
        <v>11.294193267822266</v>
      </c>
      <c r="G53" s="111">
        <v>11.30172061920166</v>
      </c>
      <c r="H53" s="111">
        <f t="shared" si="10"/>
        <v>11.359125455220541</v>
      </c>
    </row>
    <row r="54" spans="1:8">
      <c r="A54" s="61" t="s">
        <v>354</v>
      </c>
      <c r="E54" s="112">
        <v>11.333268165588301</v>
      </c>
      <c r="F54" s="111">
        <v>11.3499765396118</v>
      </c>
      <c r="G54" s="111">
        <v>11.688117980956999</v>
      </c>
      <c r="H54" s="111">
        <f t="shared" si="10"/>
        <v>11.4571208953857</v>
      </c>
    </row>
    <row r="55" spans="1:8">
      <c r="A55" s="61" t="s">
        <v>355</v>
      </c>
      <c r="E55" s="112">
        <v>11.225685119628906</v>
      </c>
      <c r="F55" s="111">
        <v>11.295048713684082</v>
      </c>
      <c r="G55" s="111">
        <v>11.326059341430664</v>
      </c>
      <c r="H55" s="111">
        <f t="shared" si="10"/>
        <v>11.282264391581217</v>
      </c>
    </row>
    <row r="56" spans="1:8">
      <c r="A56" s="61" t="s">
        <v>356</v>
      </c>
      <c r="E56" s="112">
        <v>11.361672401428223</v>
      </c>
      <c r="F56" s="111">
        <v>11.304685592651367</v>
      </c>
      <c r="G56" s="111">
        <v>11.405701637268066</v>
      </c>
      <c r="H56" s="111">
        <f t="shared" si="10"/>
        <v>11.357353210449219</v>
      </c>
    </row>
    <row r="57" spans="1:8">
      <c r="A57" s="61" t="s">
        <v>362</v>
      </c>
      <c r="E57" s="112">
        <v>10.911848068237305</v>
      </c>
      <c r="F57" s="111">
        <v>10.950149536132812</v>
      </c>
      <c r="G57" s="111">
        <v>10.982019424438477</v>
      </c>
      <c r="H57" s="111">
        <f t="shared" si="10"/>
        <v>10.948005676269531</v>
      </c>
    </row>
    <row r="58" spans="1:8">
      <c r="A58" s="61" t="s">
        <v>363</v>
      </c>
      <c r="B58" s="61"/>
      <c r="C58" s="61"/>
      <c r="D58" s="85"/>
      <c r="E58" s="112">
        <v>11.097690582275391</v>
      </c>
      <c r="F58" s="111">
        <v>11.199633598327637</v>
      </c>
      <c r="G58" s="111">
        <v>11.211821556091309</v>
      </c>
      <c r="H58" s="111">
        <f t="shared" si="10"/>
        <v>11.169715245564779</v>
      </c>
    </row>
    <row r="59" spans="1:8">
      <c r="A59" s="61" t="s">
        <v>364</v>
      </c>
      <c r="B59" s="61"/>
      <c r="C59" s="61"/>
      <c r="D59" s="85"/>
      <c r="E59" s="112">
        <v>11.383224487304688</v>
      </c>
      <c r="F59" s="111">
        <v>11.329494476318359</v>
      </c>
      <c r="G59" s="111">
        <v>11.243021011352539</v>
      </c>
      <c r="H59" s="111">
        <f t="shared" si="10"/>
        <v>11.318579991658529</v>
      </c>
    </row>
    <row r="60" spans="1:8">
      <c r="A60" s="61" t="s">
        <v>364</v>
      </c>
      <c r="B60" s="61"/>
      <c r="C60" s="61"/>
      <c r="D60" s="85"/>
      <c r="E60" s="112">
        <v>11.171065330505371</v>
      </c>
      <c r="F60" s="111">
        <v>11.234642028808594</v>
      </c>
      <c r="G60" s="111">
        <v>11.325413703918457</v>
      </c>
      <c r="H60" s="111">
        <f>AVERAGE(E60:G60)</f>
        <v>11.243707021077475</v>
      </c>
    </row>
    <row r="61" spans="1:8">
      <c r="A61" s="61" t="s">
        <v>365</v>
      </c>
      <c r="B61" s="129"/>
      <c r="C61" s="85"/>
      <c r="D61" s="85"/>
      <c r="E61" s="112">
        <v>11.431556701660156</v>
      </c>
      <c r="F61" s="111">
        <v>11.393752098083496</v>
      </c>
      <c r="G61" s="111">
        <v>11.470895767211914</v>
      </c>
      <c r="H61" s="111">
        <f t="shared" ref="H61:H63" si="11">AVERAGE(E61:G61)</f>
        <v>11.432068188985189</v>
      </c>
    </row>
    <row r="62" spans="1:8">
      <c r="A62" s="61" t="s">
        <v>365</v>
      </c>
      <c r="B62" s="129"/>
      <c r="C62" s="85"/>
      <c r="D62" s="85"/>
      <c r="E62" s="112">
        <v>11.38902759552002</v>
      </c>
      <c r="F62" s="111">
        <v>11.318164825439453</v>
      </c>
      <c r="G62" s="111">
        <v>11.357851982116699</v>
      </c>
      <c r="H62" s="111">
        <f t="shared" si="11"/>
        <v>11.355014801025391</v>
      </c>
    </row>
    <row r="63" spans="1:8">
      <c r="A63" s="61" t="s">
        <v>366</v>
      </c>
      <c r="B63" s="129"/>
      <c r="C63" s="85"/>
      <c r="D63" s="85"/>
      <c r="E63" s="112">
        <v>10.827228546142578</v>
      </c>
      <c r="F63" s="111">
        <v>10.980537414550781</v>
      </c>
      <c r="G63" s="111">
        <v>10.733705520629883</v>
      </c>
      <c r="H63" s="111">
        <f t="shared" si="11"/>
        <v>10.84715716044108</v>
      </c>
    </row>
    <row r="64" spans="1:8">
      <c r="A64" s="61" t="s">
        <v>367</v>
      </c>
      <c r="B64" s="129"/>
      <c r="C64" s="85"/>
      <c r="D64" s="85"/>
      <c r="E64" s="112">
        <v>11.185029029846191</v>
      </c>
      <c r="F64" s="111">
        <v>11.096076965332031</v>
      </c>
      <c r="G64" s="111">
        <v>11.32984447479248</v>
      </c>
      <c r="H64" s="111">
        <f>AVERAGE(E64:G64)</f>
        <v>11.2036501566569</v>
      </c>
    </row>
    <row r="65" spans="1:8">
      <c r="A65" s="61" t="s">
        <v>367</v>
      </c>
      <c r="B65" s="129"/>
      <c r="C65" s="85"/>
      <c r="D65" s="85"/>
      <c r="E65" s="112">
        <v>11.051477432250977</v>
      </c>
      <c r="F65" s="111">
        <v>10.973122596740723</v>
      </c>
      <c r="G65" s="111">
        <v>10.89690113067627</v>
      </c>
      <c r="H65" s="111">
        <f>AVERAGE(E65:G65)</f>
        <v>10.973833719889322</v>
      </c>
    </row>
    <row r="66" spans="1:8">
      <c r="A66" s="61"/>
      <c r="E66" s="113"/>
      <c r="F66" s="113"/>
      <c r="G66" s="113"/>
      <c r="H66" s="113"/>
    </row>
    <row r="67" spans="1:8">
      <c r="A67" s="61"/>
      <c r="B67" s="61"/>
      <c r="C67" s="61"/>
      <c r="D67" s="61"/>
      <c r="E67" s="61"/>
      <c r="F67" s="61"/>
      <c r="G67" s="61"/>
      <c r="H67" s="61"/>
    </row>
    <row r="68" spans="1:8">
      <c r="A68" s="61"/>
      <c r="B68" s="61"/>
      <c r="C68" s="61"/>
      <c r="D68" s="61"/>
      <c r="E68" s="61"/>
      <c r="F68" s="61"/>
      <c r="G68" s="61" t="s">
        <v>325</v>
      </c>
      <c r="H68" s="128">
        <f>AVERAGE(H27:H65)</f>
        <v>11.297278692783454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G1" workbookViewId="0">
      <selection activeCell="M5" sqref="M5:M21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</cols>
  <sheetData>
    <row r="2" spans="1:17">
      <c r="A2" s="103" t="s">
        <v>220</v>
      </c>
      <c r="B2" s="85"/>
      <c r="C2" s="85"/>
      <c r="D2" s="85"/>
      <c r="H2" s="103" t="s">
        <v>262</v>
      </c>
      <c r="I2" s="85"/>
      <c r="J2" s="85"/>
      <c r="K2" s="85"/>
      <c r="O2" s="103" t="s">
        <v>269</v>
      </c>
    </row>
    <row r="3" spans="1:17">
      <c r="A3" s="134" t="s">
        <v>4</v>
      </c>
      <c r="B3" s="134" t="s">
        <v>117</v>
      </c>
      <c r="C3" s="134" t="s">
        <v>117</v>
      </c>
      <c r="D3" s="134" t="s">
        <v>5</v>
      </c>
      <c r="E3" s="151" t="s">
        <v>234</v>
      </c>
      <c r="F3" s="148" t="s">
        <v>235</v>
      </c>
      <c r="H3" s="134" t="s">
        <v>4</v>
      </c>
      <c r="I3" s="134" t="s">
        <v>117</v>
      </c>
      <c r="J3" s="134" t="s">
        <v>117</v>
      </c>
      <c r="K3" s="134" t="s">
        <v>5</v>
      </c>
      <c r="L3" s="151" t="s">
        <v>234</v>
      </c>
      <c r="M3" s="148" t="s">
        <v>235</v>
      </c>
      <c r="O3" s="151" t="s">
        <v>234</v>
      </c>
      <c r="P3" s="151" t="s">
        <v>234</v>
      </c>
      <c r="Q3" s="148" t="s">
        <v>235</v>
      </c>
    </row>
    <row r="4" spans="1:17">
      <c r="A4" s="135"/>
      <c r="B4" s="135"/>
      <c r="C4" s="135"/>
      <c r="D4" s="135"/>
      <c r="E4" s="155"/>
      <c r="F4" s="156"/>
      <c r="H4" s="135"/>
      <c r="I4" s="135"/>
      <c r="J4" s="135"/>
      <c r="K4" s="135"/>
      <c r="L4" s="155"/>
      <c r="M4" s="156"/>
      <c r="O4" s="155"/>
      <c r="P4" s="155"/>
      <c r="Q4" s="156"/>
    </row>
    <row r="5" spans="1:17">
      <c r="A5" s="32">
        <v>0</v>
      </c>
      <c r="B5" s="32">
        <v>10</v>
      </c>
      <c r="C5" s="32">
        <f>B5</f>
        <v>10</v>
      </c>
      <c r="D5" s="104">
        <f t="shared" ref="D5:D21" si="0">C5/60</f>
        <v>0.16666666666666666</v>
      </c>
      <c r="E5" s="106">
        <f>'Determination cell counts RI'!R4</f>
        <v>8.1172647984466391</v>
      </c>
      <c r="F5" s="106">
        <f>'Determination cell counts RI'!S4</f>
        <v>9.1388451939944076E-2</v>
      </c>
      <c r="H5" s="32">
        <v>0</v>
      </c>
      <c r="I5" s="32">
        <v>10</v>
      </c>
      <c r="J5" s="32">
        <f>I5</f>
        <v>10</v>
      </c>
      <c r="K5" s="104">
        <f>J5/60</f>
        <v>0.16666666666666666</v>
      </c>
      <c r="L5" s="106">
        <f>'Determination cell counts BH'!R4</f>
        <v>7.4530094466354351</v>
      </c>
      <c r="M5" s="106">
        <f>'Determination cell counts BH'!S4</f>
        <v>4.738061137403262E-2</v>
      </c>
      <c r="O5" s="31">
        <f>POWER(10,E5)+POWER(10,L5)+POWER(10,E26)</f>
        <v>170438244.07486418</v>
      </c>
      <c r="P5" s="124">
        <f>LOG(O5)</f>
        <v>8.2315670512704635</v>
      </c>
      <c r="Q5" s="124">
        <f>F5+M5+F26</f>
        <v>0.15599283649141418</v>
      </c>
    </row>
    <row r="6" spans="1:17">
      <c r="A6" s="32">
        <v>1</v>
      </c>
      <c r="B6" s="32">
        <v>110</v>
      </c>
      <c r="C6" s="32">
        <f>C5+B6</f>
        <v>120</v>
      </c>
      <c r="D6" s="104">
        <f t="shared" si="0"/>
        <v>2</v>
      </c>
      <c r="E6" s="106">
        <f>'Determination cell counts RI'!R5</f>
        <v>8.2702791042397408</v>
      </c>
      <c r="F6" s="106">
        <f>'Determination cell counts RI'!S5</f>
        <v>0.15496233677113763</v>
      </c>
      <c r="H6" s="32">
        <v>1</v>
      </c>
      <c r="I6" s="32">
        <v>110</v>
      </c>
      <c r="J6" s="32">
        <f>J5+I6</f>
        <v>120</v>
      </c>
      <c r="K6" s="104">
        <f t="shared" ref="K6:K21" si="1">J6/60</f>
        <v>2</v>
      </c>
      <c r="L6" s="106">
        <f>'Determination cell counts BH'!R5</f>
        <v>7.6824950885849175</v>
      </c>
      <c r="M6" s="106">
        <f>'Determination cell counts BH'!S5</f>
        <v>9.3926649738745122E-2</v>
      </c>
      <c r="O6" s="31">
        <f t="shared" ref="O6:O20" si="2">POWER(10,E6)+POWER(10,L6)+POWER(10,E27)</f>
        <v>240877842.84375706</v>
      </c>
      <c r="P6" s="124">
        <f t="shared" ref="P6:P21" si="3">LOG(O6)</f>
        <v>8.3817968532434612</v>
      </c>
      <c r="Q6" s="124">
        <f t="shared" ref="Q6:Q21" si="4">F6+M6+F27</f>
        <v>0.287562226874639</v>
      </c>
    </row>
    <row r="7" spans="1:17">
      <c r="A7" s="32">
        <v>2</v>
      </c>
      <c r="B7" s="32">
        <v>80</v>
      </c>
      <c r="C7" s="32">
        <f>C6+B7</f>
        <v>200</v>
      </c>
      <c r="D7" s="104">
        <f t="shared" si="0"/>
        <v>3.3333333333333335</v>
      </c>
      <c r="E7" s="106">
        <f>'Determination cell counts RI'!R6</f>
        <v>8.6382034312739648</v>
      </c>
      <c r="F7" s="106">
        <f>'Determination cell counts RI'!S6</f>
        <v>0.16192559367457066</v>
      </c>
      <c r="H7" s="32">
        <v>2</v>
      </c>
      <c r="I7" s="32">
        <v>80</v>
      </c>
      <c r="J7" s="32">
        <f>J6+I7</f>
        <v>200</v>
      </c>
      <c r="K7" s="104">
        <f t="shared" si="1"/>
        <v>3.3333333333333335</v>
      </c>
      <c r="L7" s="106">
        <f>'Determination cell counts BH'!R6</f>
        <v>7.9207920724246277</v>
      </c>
      <c r="M7" s="106">
        <f>'Determination cell counts BH'!S6</f>
        <v>0.1207926716573624</v>
      </c>
      <c r="O7" s="31">
        <f t="shared" si="2"/>
        <v>531710447.32945859</v>
      </c>
      <c r="P7" s="124">
        <f t="shared" si="3"/>
        <v>8.7256751936468078</v>
      </c>
      <c r="Q7" s="124">
        <f t="shared" si="4"/>
        <v>0.40507955224965453</v>
      </c>
    </row>
    <row r="8" spans="1:17">
      <c r="A8" s="32">
        <v>3</v>
      </c>
      <c r="B8" s="32">
        <v>80</v>
      </c>
      <c r="C8" s="32">
        <f>C7+B8</f>
        <v>280</v>
      </c>
      <c r="D8" s="104">
        <f t="shared" si="0"/>
        <v>4.666666666666667</v>
      </c>
      <c r="E8" s="106">
        <f>'Determination cell counts RI'!R7</f>
        <v>8.9300085447901427</v>
      </c>
      <c r="F8" s="106">
        <f>'Determination cell counts RI'!S7</f>
        <v>8.6149197254161786E-2</v>
      </c>
      <c r="H8" s="32">
        <v>3</v>
      </c>
      <c r="I8" s="32">
        <v>80</v>
      </c>
      <c r="J8" s="32">
        <f>J7+I8</f>
        <v>280</v>
      </c>
      <c r="K8" s="104">
        <f t="shared" si="1"/>
        <v>4.666666666666667</v>
      </c>
      <c r="L8" s="106">
        <f>'Determination cell counts BH'!R7</f>
        <v>8.2210314165172313</v>
      </c>
      <c r="M8" s="106">
        <f>'Determination cell counts BH'!S7</f>
        <v>0.13233441347285735</v>
      </c>
      <c r="O8" s="31">
        <f t="shared" si="2"/>
        <v>1028091867.5332618</v>
      </c>
      <c r="P8" s="124">
        <f t="shared" si="3"/>
        <v>9.0120319237839048</v>
      </c>
      <c r="Q8" s="124">
        <f t="shared" si="4"/>
        <v>0.42097537961838649</v>
      </c>
    </row>
    <row r="9" spans="1:17">
      <c r="A9" s="32">
        <v>4</v>
      </c>
      <c r="B9" s="32">
        <v>80</v>
      </c>
      <c r="C9" s="32">
        <f t="shared" ref="C9:C19" si="5">C8+B9</f>
        <v>360</v>
      </c>
      <c r="D9" s="104">
        <f t="shared" si="0"/>
        <v>6</v>
      </c>
      <c r="E9" s="106">
        <f>'Determination cell counts RI'!R8</f>
        <v>9.2694450331078162</v>
      </c>
      <c r="F9" s="106">
        <f>'Determination cell counts RI'!S8</f>
        <v>7.1780774017812285E-2</v>
      </c>
      <c r="H9" s="32">
        <v>4</v>
      </c>
      <c r="I9" s="32">
        <v>80</v>
      </c>
      <c r="J9" s="32">
        <f t="shared" ref="J9:J19" si="6">J8+I9</f>
        <v>360</v>
      </c>
      <c r="K9" s="104">
        <f t="shared" si="1"/>
        <v>6</v>
      </c>
      <c r="L9" s="106">
        <f>'Determination cell counts BH'!R8</f>
        <v>8.5434505429864522</v>
      </c>
      <c r="M9" s="106">
        <f>'Determination cell counts BH'!S8</f>
        <v>1.0403139403311579E-2</v>
      </c>
      <c r="O9" s="31">
        <f t="shared" si="2"/>
        <v>2237787462.3182111</v>
      </c>
      <c r="P9" s="124">
        <f t="shared" si="3"/>
        <v>9.3498188362916963</v>
      </c>
      <c r="Q9" s="124">
        <f t="shared" si="4"/>
        <v>0.27450861815193905</v>
      </c>
    </row>
    <row r="10" spans="1:17">
      <c r="A10" s="32">
        <v>5</v>
      </c>
      <c r="B10" s="32">
        <v>80</v>
      </c>
      <c r="C10" s="32">
        <f t="shared" si="5"/>
        <v>440</v>
      </c>
      <c r="D10" s="104">
        <f t="shared" si="0"/>
        <v>7.333333333333333</v>
      </c>
      <c r="E10" s="106">
        <f>'Determination cell counts RI'!R9</f>
        <v>9.3694819400964331</v>
      </c>
      <c r="F10" s="106">
        <f>'Determination cell counts RI'!S9</f>
        <v>2.1944244101708775E-2</v>
      </c>
      <c r="H10" s="32">
        <v>5</v>
      </c>
      <c r="I10" s="32">
        <v>80</v>
      </c>
      <c r="J10" s="32">
        <f t="shared" si="6"/>
        <v>440</v>
      </c>
      <c r="K10" s="104">
        <f t="shared" si="1"/>
        <v>7.333333333333333</v>
      </c>
      <c r="L10" s="106">
        <f>'Determination cell counts BH'!R9</f>
        <v>8.754346545105653</v>
      </c>
      <c r="M10" s="106">
        <f>'Determination cell counts BH'!S9</f>
        <v>0.11394051359304697</v>
      </c>
      <c r="O10" s="31">
        <f t="shared" si="2"/>
        <v>2938671343.1241312</v>
      </c>
      <c r="P10" s="124">
        <f t="shared" si="3"/>
        <v>9.4681510179035389</v>
      </c>
      <c r="Q10" s="124">
        <f t="shared" si="4"/>
        <v>0.24748814621632997</v>
      </c>
    </row>
    <row r="11" spans="1:17">
      <c r="A11" s="32">
        <v>6</v>
      </c>
      <c r="B11" s="32">
        <v>80</v>
      </c>
      <c r="C11" s="32">
        <f t="shared" si="5"/>
        <v>520</v>
      </c>
      <c r="D11" s="104">
        <f t="shared" si="0"/>
        <v>8.6666666666666661</v>
      </c>
      <c r="E11" s="106">
        <f>'Determination cell counts RI'!R10</f>
        <v>9.3392455429538952</v>
      </c>
      <c r="F11" s="106">
        <f>'Determination cell counts RI'!S10</f>
        <v>4.5117956956764516E-2</v>
      </c>
      <c r="H11" s="32">
        <v>6</v>
      </c>
      <c r="I11" s="32">
        <v>80</v>
      </c>
      <c r="J11" s="32">
        <f t="shared" si="6"/>
        <v>520</v>
      </c>
      <c r="K11" s="104">
        <f t="shared" si="1"/>
        <v>8.6666666666666661</v>
      </c>
      <c r="L11" s="106">
        <f>'Determination cell counts BH'!R10</f>
        <v>9.065928112289404</v>
      </c>
      <c r="M11" s="106">
        <f>'Determination cell counts BH'!S10</f>
        <v>0.13238550262357995</v>
      </c>
      <c r="O11" s="31">
        <f t="shared" si="2"/>
        <v>3394405293.1655068</v>
      </c>
      <c r="P11" s="124">
        <f t="shared" si="3"/>
        <v>9.5307636959889326</v>
      </c>
      <c r="Q11" s="124">
        <f t="shared" si="4"/>
        <v>0.24252132364037082</v>
      </c>
    </row>
    <row r="12" spans="1:17">
      <c r="A12" s="32">
        <v>7</v>
      </c>
      <c r="B12" s="32">
        <v>80</v>
      </c>
      <c r="C12" s="32">
        <f t="shared" si="5"/>
        <v>600</v>
      </c>
      <c r="D12" s="104">
        <f t="shared" si="0"/>
        <v>10</v>
      </c>
      <c r="E12" s="106">
        <f>'Determination cell counts RI'!R11</f>
        <v>9.7028870604920243</v>
      </c>
      <c r="F12" s="106">
        <f>'Determination cell counts RI'!S11</f>
        <v>5.1240086667713527E-2</v>
      </c>
      <c r="H12" s="32">
        <v>7</v>
      </c>
      <c r="I12" s="32">
        <v>80</v>
      </c>
      <c r="J12" s="32">
        <f t="shared" si="6"/>
        <v>600</v>
      </c>
      <c r="K12" s="104">
        <f t="shared" si="1"/>
        <v>10</v>
      </c>
      <c r="L12" s="106">
        <f>'Determination cell counts BH'!R11</f>
        <v>9.2325895864276877</v>
      </c>
      <c r="M12" s="106">
        <f>'Determination cell counts BH'!S11</f>
        <v>4.4449250724719946E-2</v>
      </c>
      <c r="O12" s="31">
        <f t="shared" si="2"/>
        <v>6905616624.2996216</v>
      </c>
      <c r="P12" s="124">
        <f t="shared" si="3"/>
        <v>9.8392024641708673</v>
      </c>
      <c r="Q12" s="124">
        <f t="shared" si="4"/>
        <v>0.20305265812119172</v>
      </c>
    </row>
    <row r="13" spans="1:17">
      <c r="A13" s="32">
        <v>8</v>
      </c>
      <c r="B13" s="32">
        <v>80</v>
      </c>
      <c r="C13" s="32">
        <f t="shared" si="5"/>
        <v>680</v>
      </c>
      <c r="D13" s="104">
        <f t="shared" si="0"/>
        <v>11.333333333333334</v>
      </c>
      <c r="E13" s="106">
        <f>'Determination cell counts RI'!R12</f>
        <v>9.7443246345456007</v>
      </c>
      <c r="F13" s="106">
        <f>'Determination cell counts RI'!S12</f>
        <v>2.5699048976191113E-2</v>
      </c>
      <c r="H13" s="32">
        <v>8</v>
      </c>
      <c r="I13" s="32">
        <v>80</v>
      </c>
      <c r="J13" s="32">
        <f t="shared" si="6"/>
        <v>680</v>
      </c>
      <c r="K13" s="104">
        <f t="shared" si="1"/>
        <v>11.333333333333334</v>
      </c>
      <c r="L13" s="106">
        <f>'Determination cell counts BH'!R12</f>
        <v>9.462886745828488</v>
      </c>
      <c r="M13" s="106">
        <f>'Determination cell counts BH'!S12</f>
        <v>9.1152060633307427E-2</v>
      </c>
      <c r="O13" s="31">
        <f t="shared" si="2"/>
        <v>8606064005.798996</v>
      </c>
      <c r="P13" s="124">
        <f t="shared" si="3"/>
        <v>9.9348045717328191</v>
      </c>
      <c r="Q13" s="124">
        <f t="shared" si="4"/>
        <v>0.22819733196997422</v>
      </c>
    </row>
    <row r="14" spans="1:17">
      <c r="A14" s="32">
        <v>9</v>
      </c>
      <c r="B14" s="32">
        <v>80</v>
      </c>
      <c r="C14" s="32">
        <f t="shared" si="5"/>
        <v>760</v>
      </c>
      <c r="D14" s="104">
        <f t="shared" si="0"/>
        <v>12.666666666666666</v>
      </c>
      <c r="E14" s="106">
        <f>'Determination cell counts RI'!R13</f>
        <v>9.7439538657293774</v>
      </c>
      <c r="F14" s="106">
        <f>'Determination cell counts RI'!S13</f>
        <v>2.5469190008303541E-2</v>
      </c>
      <c r="H14" s="32">
        <v>9</v>
      </c>
      <c r="I14" s="32">
        <v>80</v>
      </c>
      <c r="J14" s="32">
        <f t="shared" si="6"/>
        <v>760</v>
      </c>
      <c r="K14" s="104">
        <f t="shared" si="1"/>
        <v>12.666666666666666</v>
      </c>
      <c r="L14" s="106">
        <f>'Determination cell counts BH'!R13</f>
        <v>9.6562895768487262</v>
      </c>
      <c r="M14" s="106">
        <f>'Determination cell counts BH'!S13</f>
        <v>0.10050234430317359</v>
      </c>
      <c r="O14" s="31">
        <f t="shared" si="2"/>
        <v>10239288731.005947</v>
      </c>
      <c r="P14" s="124">
        <f t="shared" si="3"/>
        <v>10.010269789557015</v>
      </c>
      <c r="Q14" s="124">
        <f t="shared" si="4"/>
        <v>0.15187749526673405</v>
      </c>
    </row>
    <row r="15" spans="1:17">
      <c r="A15" s="32">
        <v>10</v>
      </c>
      <c r="B15" s="32">
        <v>80</v>
      </c>
      <c r="C15" s="32">
        <f t="shared" si="5"/>
        <v>840</v>
      </c>
      <c r="D15" s="104">
        <f t="shared" si="0"/>
        <v>14</v>
      </c>
      <c r="E15" s="106">
        <f>'Determination cell counts RI'!R14</f>
        <v>9.8026059476428564</v>
      </c>
      <c r="F15" s="106">
        <f>'Determination cell counts RI'!S14</f>
        <v>2.9698181542669979E-2</v>
      </c>
      <c r="H15" s="32">
        <v>10</v>
      </c>
      <c r="I15" s="32">
        <v>80</v>
      </c>
      <c r="J15" s="32">
        <f t="shared" si="6"/>
        <v>840</v>
      </c>
      <c r="K15" s="104">
        <f t="shared" si="1"/>
        <v>14</v>
      </c>
      <c r="L15" s="106">
        <f>'Determination cell counts BH'!R14</f>
        <v>9.6361722536219929</v>
      </c>
      <c r="M15" s="106">
        <f>'Determination cell counts BH'!S14</f>
        <v>0.13388736681222188</v>
      </c>
      <c r="O15" s="31">
        <f t="shared" si="2"/>
        <v>10870054434.003492</v>
      </c>
      <c r="P15" s="124">
        <f t="shared" si="3"/>
        <v>10.036231718909491</v>
      </c>
      <c r="Q15" s="124">
        <f t="shared" si="4"/>
        <v>0.3073983545238278</v>
      </c>
    </row>
    <row r="16" spans="1:17">
      <c r="A16" s="32">
        <v>11</v>
      </c>
      <c r="B16" s="32">
        <v>80</v>
      </c>
      <c r="C16" s="32">
        <f t="shared" si="5"/>
        <v>920</v>
      </c>
      <c r="D16" s="104">
        <f t="shared" si="0"/>
        <v>15.333333333333334</v>
      </c>
      <c r="E16" s="106">
        <f>'Determination cell counts RI'!R15</f>
        <v>9.7744381740478126</v>
      </c>
      <c r="F16" s="106">
        <f>'Determination cell counts RI'!S15</f>
        <v>4.7686006688166131E-2</v>
      </c>
      <c r="H16" s="32">
        <v>11</v>
      </c>
      <c r="I16" s="32">
        <v>80</v>
      </c>
      <c r="J16" s="32">
        <f t="shared" si="6"/>
        <v>920</v>
      </c>
      <c r="K16" s="104">
        <f t="shared" si="1"/>
        <v>15.333333333333334</v>
      </c>
      <c r="L16" s="106">
        <f>'Determination cell counts BH'!R15</f>
        <v>9.6683730507470234</v>
      </c>
      <c r="M16" s="106">
        <f>'Determination cell counts BH'!S15</f>
        <v>8.5847709458187496E-2</v>
      </c>
      <c r="O16" s="31">
        <f t="shared" si="2"/>
        <v>10811206679.799122</v>
      </c>
      <c r="P16" s="124">
        <f t="shared" si="3"/>
        <v>10.033874169913648</v>
      </c>
      <c r="Q16" s="124">
        <f t="shared" si="4"/>
        <v>0.21248788335440488</v>
      </c>
    </row>
    <row r="17" spans="1:17">
      <c r="A17" s="32">
        <v>12</v>
      </c>
      <c r="B17" s="32">
        <v>80</v>
      </c>
      <c r="C17" s="32">
        <f t="shared" si="5"/>
        <v>1000</v>
      </c>
      <c r="D17" s="104">
        <f t="shared" si="0"/>
        <v>16.666666666666668</v>
      </c>
      <c r="E17" s="106">
        <f>'Determination cell counts RI'!R16</f>
        <v>9.7618421920688085</v>
      </c>
      <c r="F17" s="106">
        <f>'Determination cell counts RI'!S16</f>
        <v>1.3727306568944957E-2</v>
      </c>
      <c r="H17" s="32">
        <v>12</v>
      </c>
      <c r="I17" s="32">
        <v>80</v>
      </c>
      <c r="J17" s="32">
        <f t="shared" si="6"/>
        <v>1000</v>
      </c>
      <c r="K17" s="104">
        <f t="shared" si="1"/>
        <v>16.666666666666668</v>
      </c>
      <c r="L17" s="106">
        <f>'Determination cell counts BH'!R16</f>
        <v>9.671754730191644</v>
      </c>
      <c r="M17" s="106">
        <f>'Determination cell counts BH'!S16</f>
        <v>0.22513061339399207</v>
      </c>
      <c r="O17" s="31">
        <f t="shared" si="2"/>
        <v>10725112041.680988</v>
      </c>
      <c r="P17" s="124">
        <f t="shared" si="3"/>
        <v>10.030401837810574</v>
      </c>
      <c r="Q17" s="124">
        <f t="shared" si="4"/>
        <v>0.27714919442557273</v>
      </c>
    </row>
    <row r="18" spans="1:17">
      <c r="A18" s="32">
        <v>13</v>
      </c>
      <c r="B18" s="32">
        <v>80</v>
      </c>
      <c r="C18" s="32">
        <f t="shared" si="5"/>
        <v>1080</v>
      </c>
      <c r="D18" s="104">
        <f t="shared" si="0"/>
        <v>18</v>
      </c>
      <c r="E18" s="106">
        <f>'Determination cell counts RI'!R17</f>
        <v>9.7998790677673835</v>
      </c>
      <c r="F18" s="106">
        <f>'Determination cell counts RI'!S17</f>
        <v>3.0406554931331351E-2</v>
      </c>
      <c r="H18" s="32">
        <v>13</v>
      </c>
      <c r="I18" s="32">
        <v>80</v>
      </c>
      <c r="J18" s="32">
        <f t="shared" si="6"/>
        <v>1080</v>
      </c>
      <c r="K18" s="104">
        <f t="shared" si="1"/>
        <v>18</v>
      </c>
      <c r="L18" s="106">
        <f>'Determination cell counts BH'!R17</f>
        <v>9.6874334529806276</v>
      </c>
      <c r="M18" s="106">
        <f>'Determination cell counts BH'!S17</f>
        <v>0.16706102756607083</v>
      </c>
      <c r="O18" s="31">
        <f t="shared" si="2"/>
        <v>11446298380.656296</v>
      </c>
      <c r="P18" s="124">
        <f t="shared" si="3"/>
        <v>10.058665062853475</v>
      </c>
      <c r="Q18" s="124">
        <f t="shared" si="4"/>
        <v>0.23200597490178815</v>
      </c>
    </row>
    <row r="19" spans="1:17">
      <c r="A19" s="32">
        <v>14</v>
      </c>
      <c r="B19" s="32">
        <v>360</v>
      </c>
      <c r="C19" s="32">
        <f t="shared" si="5"/>
        <v>1440</v>
      </c>
      <c r="D19" s="104">
        <f t="shared" si="0"/>
        <v>24</v>
      </c>
      <c r="E19" s="106">
        <f>'Determination cell counts RI'!R18</f>
        <v>9.7559079233253421</v>
      </c>
      <c r="F19" s="106">
        <f>'Determination cell counts RI'!S18</f>
        <v>5.7212823109504762E-2</v>
      </c>
      <c r="H19" s="32">
        <v>14</v>
      </c>
      <c r="I19" s="32">
        <v>360</v>
      </c>
      <c r="J19" s="32">
        <f t="shared" si="6"/>
        <v>1440</v>
      </c>
      <c r="K19" s="104">
        <f t="shared" si="1"/>
        <v>24</v>
      </c>
      <c r="L19" s="106">
        <f>'Determination cell counts BH'!R18</f>
        <v>9.6699507106989699</v>
      </c>
      <c r="M19" s="106">
        <f>'Determination cell counts BH'!S18</f>
        <v>0.13010450067824075</v>
      </c>
      <c r="O19" s="31">
        <f t="shared" si="2"/>
        <v>10693949823.548981</v>
      </c>
      <c r="P19" s="124">
        <f t="shared" si="3"/>
        <v>10.029138142041587</v>
      </c>
      <c r="Q19" s="124">
        <f t="shared" si="4"/>
        <v>0.19097586671726047</v>
      </c>
    </row>
    <row r="20" spans="1:17">
      <c r="A20" s="32">
        <v>15</v>
      </c>
      <c r="B20" s="32">
        <v>360</v>
      </c>
      <c r="C20" s="32">
        <f>C19+B20</f>
        <v>1800</v>
      </c>
      <c r="D20" s="104">
        <f t="shared" si="0"/>
        <v>30</v>
      </c>
      <c r="E20" s="106">
        <f>'Determination cell counts RI'!R19</f>
        <v>9.1124375978545959</v>
      </c>
      <c r="F20" s="106">
        <f>'Determination cell counts RI'!S19</f>
        <v>6.0511023037613652E-2</v>
      </c>
      <c r="H20" s="32">
        <v>15</v>
      </c>
      <c r="I20" s="32">
        <v>360</v>
      </c>
      <c r="J20" s="32">
        <f>J19+I20</f>
        <v>1800</v>
      </c>
      <c r="K20" s="104">
        <f t="shared" si="1"/>
        <v>30</v>
      </c>
      <c r="L20" s="106">
        <f>'Determination cell counts BH'!R19</f>
        <v>9.5646766642143923</v>
      </c>
      <c r="M20" s="106">
        <f>'Determination cell counts BH'!S19</f>
        <v>5.0474275881187074E-2</v>
      </c>
      <c r="O20" s="31">
        <f t="shared" si="2"/>
        <v>5270104932.5809336</v>
      </c>
      <c r="P20" s="124">
        <f t="shared" si="3"/>
        <v>9.7218192624966413</v>
      </c>
      <c r="Q20" s="124">
        <f t="shared" si="4"/>
        <v>0.14370767374903709</v>
      </c>
    </row>
    <row r="21" spans="1:17">
      <c r="A21" s="32">
        <v>16</v>
      </c>
      <c r="B21" s="32">
        <v>1080</v>
      </c>
      <c r="C21" s="32">
        <f>C20+B21</f>
        <v>2880</v>
      </c>
      <c r="D21" s="104">
        <f t="shared" si="0"/>
        <v>48</v>
      </c>
      <c r="E21" s="106">
        <f>'Determination cell counts RI'!R20</f>
        <v>8.7712646031455392</v>
      </c>
      <c r="F21" s="106">
        <f>'Determination cell counts RI'!S20</f>
        <v>3.9211804211751945E-2</v>
      </c>
      <c r="H21" s="32">
        <v>16</v>
      </c>
      <c r="I21" s="32">
        <v>1080</v>
      </c>
      <c r="J21" s="32">
        <f>J20+I21</f>
        <v>2880</v>
      </c>
      <c r="K21" s="104">
        <f t="shared" si="1"/>
        <v>48</v>
      </c>
      <c r="L21" s="106">
        <f>'Determination cell counts BH'!R20</f>
        <v>9.2117541315446552</v>
      </c>
      <c r="M21" s="106">
        <f>'Determination cell counts BH'!S20</f>
        <v>0.12473097193947973</v>
      </c>
      <c r="O21" s="31">
        <f>POWER(10,E21)+POWER(10,L21)+POWER(10,E42)</f>
        <v>2369403389.4707236</v>
      </c>
      <c r="P21" s="124">
        <f t="shared" si="3"/>
        <v>9.3746390053860686</v>
      </c>
      <c r="Q21" s="124">
        <f t="shared" si="4"/>
        <v>0.22146959036129099</v>
      </c>
    </row>
    <row r="23" spans="1:17">
      <c r="A23" s="103" t="s">
        <v>271</v>
      </c>
      <c r="B23" s="85"/>
      <c r="C23" s="85"/>
      <c r="D23" s="85"/>
    </row>
    <row r="24" spans="1:17">
      <c r="A24" s="134" t="s">
        <v>4</v>
      </c>
      <c r="B24" s="134" t="s">
        <v>117</v>
      </c>
      <c r="C24" s="134" t="s">
        <v>117</v>
      </c>
      <c r="D24" s="134" t="s">
        <v>5</v>
      </c>
      <c r="E24" s="151" t="s">
        <v>234</v>
      </c>
      <c r="F24" s="148" t="s">
        <v>235</v>
      </c>
    </row>
    <row r="25" spans="1:17">
      <c r="A25" s="135"/>
      <c r="B25" s="135"/>
      <c r="C25" s="135"/>
      <c r="D25" s="135"/>
      <c r="E25" s="155"/>
      <c r="F25" s="156"/>
    </row>
    <row r="26" spans="1:17">
      <c r="A26" s="40">
        <v>0</v>
      </c>
      <c r="B26" s="32">
        <v>10</v>
      </c>
      <c r="C26" s="32">
        <f>B26</f>
        <v>10</v>
      </c>
      <c r="D26" s="13">
        <f t="shared" ref="D26:D42" si="7">C26/60</f>
        <v>0.16666666666666666</v>
      </c>
      <c r="E26" s="106">
        <f>'Determination cell counts FP'!R4</f>
        <v>7.04377068759963</v>
      </c>
      <c r="F26" s="106">
        <f>'Determination cell counts FP'!S4</f>
        <v>1.7223773177437472E-2</v>
      </c>
    </row>
    <row r="27" spans="1:17">
      <c r="A27" s="40">
        <v>1</v>
      </c>
      <c r="B27" s="32">
        <v>110</v>
      </c>
      <c r="C27" s="32">
        <f>C26+B27</f>
        <v>120</v>
      </c>
      <c r="D27" s="13">
        <f>C27/60</f>
        <v>2</v>
      </c>
      <c r="E27" s="106">
        <f>'Determination cell counts FP'!R5</f>
        <v>6.8069014290995034</v>
      </c>
      <c r="F27" s="106">
        <f>'Determination cell counts FP'!S5</f>
        <v>3.8673240364756271E-2</v>
      </c>
    </row>
    <row r="28" spans="1:17">
      <c r="A28" s="40">
        <v>2</v>
      </c>
      <c r="B28" s="32">
        <v>80</v>
      </c>
      <c r="C28" s="32">
        <f>C27+B28</f>
        <v>200</v>
      </c>
      <c r="D28" s="13">
        <f t="shared" si="7"/>
        <v>3.3333333333333335</v>
      </c>
      <c r="E28" s="106">
        <f>'Determination cell counts FP'!R6</f>
        <v>7.1357186128410959</v>
      </c>
      <c r="F28" s="106">
        <f>'Determination cell counts FP'!S6</f>
        <v>0.1223612869177215</v>
      </c>
    </row>
    <row r="29" spans="1:17">
      <c r="A29" s="40">
        <v>3</v>
      </c>
      <c r="B29" s="32">
        <v>80</v>
      </c>
      <c r="C29" s="32">
        <f>C28+B29</f>
        <v>280</v>
      </c>
      <c r="D29" s="13">
        <f t="shared" si="7"/>
        <v>4.666666666666667</v>
      </c>
      <c r="E29" s="106">
        <f>'Determination cell counts FP'!R7</f>
        <v>7.0246409871266424</v>
      </c>
      <c r="F29" s="106">
        <f>'Determination cell counts FP'!S7</f>
        <v>0.20249176889136739</v>
      </c>
    </row>
    <row r="30" spans="1:17">
      <c r="A30" s="40">
        <v>4</v>
      </c>
      <c r="B30" s="32">
        <v>80</v>
      </c>
      <c r="C30" s="32">
        <f t="shared" ref="C30:C40" si="8">C29+B30</f>
        <v>360</v>
      </c>
      <c r="D30" s="13">
        <f t="shared" si="7"/>
        <v>6</v>
      </c>
      <c r="E30" s="106">
        <f>'Determination cell counts FP'!R8</f>
        <v>7.4559951076037665</v>
      </c>
      <c r="F30" s="106">
        <f>'Determination cell counts FP'!S8</f>
        <v>0.1923247047308152</v>
      </c>
    </row>
    <row r="31" spans="1:17">
      <c r="A31" s="40">
        <v>5</v>
      </c>
      <c r="B31" s="32">
        <v>80</v>
      </c>
      <c r="C31" s="32">
        <f t="shared" si="8"/>
        <v>440</v>
      </c>
      <c r="D31" s="13">
        <f t="shared" si="7"/>
        <v>7.333333333333333</v>
      </c>
      <c r="E31" s="106">
        <f>'Determination cell counts FP'!R9</f>
        <v>7.4659711172306231</v>
      </c>
      <c r="F31" s="106">
        <f>'Determination cell counts FP'!S9</f>
        <v>0.11160338852157424</v>
      </c>
    </row>
    <row r="32" spans="1:17">
      <c r="A32" s="40">
        <v>6</v>
      </c>
      <c r="B32" s="32">
        <v>80</v>
      </c>
      <c r="C32" s="32">
        <f t="shared" si="8"/>
        <v>520</v>
      </c>
      <c r="D32" s="13">
        <f t="shared" si="7"/>
        <v>8.6666666666666661</v>
      </c>
      <c r="E32" s="106">
        <f>'Determination cell counts FP'!R10</f>
        <v>7.6675239510820186</v>
      </c>
      <c r="F32" s="106">
        <f>'Determination cell counts FP'!S10</f>
        <v>6.5017864060026354E-2</v>
      </c>
    </row>
    <row r="33" spans="1:6">
      <c r="A33" s="40">
        <v>7</v>
      </c>
      <c r="B33" s="32">
        <v>80</v>
      </c>
      <c r="C33" s="32">
        <f t="shared" si="8"/>
        <v>600</v>
      </c>
      <c r="D33" s="13">
        <f t="shared" si="7"/>
        <v>10</v>
      </c>
      <c r="E33" s="106">
        <f>'Determination cell counts FP'!R11</f>
        <v>8.1816028617674235</v>
      </c>
      <c r="F33" s="106">
        <f>'Determination cell counts FP'!S11</f>
        <v>0.10736332072875825</v>
      </c>
    </row>
    <row r="34" spans="1:6">
      <c r="A34" s="40">
        <v>8</v>
      </c>
      <c r="B34" s="32">
        <v>80</v>
      </c>
      <c r="C34" s="32">
        <f t="shared" si="8"/>
        <v>680</v>
      </c>
      <c r="D34" s="13">
        <f t="shared" si="7"/>
        <v>11.333333333333334</v>
      </c>
      <c r="E34" s="106">
        <f>'Determination cell counts FP'!R12</f>
        <v>8.1829680300895138</v>
      </c>
      <c r="F34" s="106">
        <f>'Determination cell counts FP'!S12</f>
        <v>0.11134622236047569</v>
      </c>
    </row>
    <row r="35" spans="1:6">
      <c r="A35" s="40">
        <v>9</v>
      </c>
      <c r="B35" s="32">
        <v>80</v>
      </c>
      <c r="C35" s="32">
        <f t="shared" si="8"/>
        <v>760</v>
      </c>
      <c r="D35" s="13">
        <f t="shared" si="7"/>
        <v>12.666666666666666</v>
      </c>
      <c r="E35" s="106">
        <f>'Determination cell counts FP'!R13</f>
        <v>8.2085061813888096</v>
      </c>
      <c r="F35" s="106">
        <f>'Determination cell counts FP'!S13</f>
        <v>2.5905960955256942E-2</v>
      </c>
    </row>
    <row r="36" spans="1:6">
      <c r="A36" s="40">
        <v>10</v>
      </c>
      <c r="B36" s="32">
        <v>80</v>
      </c>
      <c r="C36" s="32">
        <f t="shared" si="8"/>
        <v>840</v>
      </c>
      <c r="D36" s="13">
        <f t="shared" si="7"/>
        <v>14</v>
      </c>
      <c r="E36" s="106">
        <f>'Determination cell counts FP'!R14</f>
        <v>8.2914864729461932</v>
      </c>
      <c r="F36" s="106">
        <f>'Determination cell counts FP'!S14</f>
        <v>0.14381280616893596</v>
      </c>
    </row>
    <row r="37" spans="1:6">
      <c r="A37" s="40">
        <v>11</v>
      </c>
      <c r="B37" s="32">
        <v>80</v>
      </c>
      <c r="C37" s="32">
        <f t="shared" si="8"/>
        <v>920</v>
      </c>
      <c r="D37" s="13">
        <f t="shared" si="7"/>
        <v>15.333333333333334</v>
      </c>
      <c r="E37" s="106">
        <f>'Determination cell counts FP'!R15</f>
        <v>8.306262234355474</v>
      </c>
      <c r="F37" s="106">
        <f>'Determination cell counts FP'!S15</f>
        <v>7.8954167208051262E-2</v>
      </c>
    </row>
    <row r="38" spans="1:6">
      <c r="A38" s="40">
        <v>12</v>
      </c>
      <c r="B38" s="32">
        <v>80</v>
      </c>
      <c r="C38" s="32">
        <f t="shared" si="8"/>
        <v>1000</v>
      </c>
      <c r="D38" s="13">
        <f t="shared" si="7"/>
        <v>16.666666666666668</v>
      </c>
      <c r="E38" s="106">
        <f>'Determination cell counts FP'!R16</f>
        <v>8.3978769531385709</v>
      </c>
      <c r="F38" s="106">
        <f>'Determination cell counts FP'!S16</f>
        <v>3.8291274462635722E-2</v>
      </c>
    </row>
    <row r="39" spans="1:6">
      <c r="A39" s="40">
        <v>13</v>
      </c>
      <c r="B39" s="32">
        <v>80</v>
      </c>
      <c r="C39" s="32">
        <f t="shared" si="8"/>
        <v>1080</v>
      </c>
      <c r="D39" s="13">
        <f t="shared" si="7"/>
        <v>18</v>
      </c>
      <c r="E39" s="106">
        <f>'Determination cell counts FP'!R17</f>
        <v>8.4306433753502805</v>
      </c>
      <c r="F39" s="106">
        <f>'Determination cell counts FP'!S17</f>
        <v>3.4538392404385963E-2</v>
      </c>
    </row>
    <row r="40" spans="1:6">
      <c r="A40" s="40">
        <v>14</v>
      </c>
      <c r="B40" s="32">
        <v>360</v>
      </c>
      <c r="C40" s="32">
        <f t="shared" si="8"/>
        <v>1440</v>
      </c>
      <c r="D40" s="13">
        <f t="shared" si="7"/>
        <v>24</v>
      </c>
      <c r="E40" s="106">
        <f>'Determination cell counts FP'!R18</f>
        <v>8.5006414887096113</v>
      </c>
      <c r="F40" s="106">
        <f>'Determination cell counts FP'!S18</f>
        <v>3.6585429295149501E-3</v>
      </c>
    </row>
    <row r="41" spans="1:6">
      <c r="A41" s="40">
        <v>15</v>
      </c>
      <c r="B41" s="32">
        <v>360</v>
      </c>
      <c r="C41" s="32">
        <f>C40+B41</f>
        <v>1800</v>
      </c>
      <c r="D41" s="13">
        <f t="shared" si="7"/>
        <v>30</v>
      </c>
      <c r="E41" s="106">
        <f>'Determination cell counts FP'!R19</f>
        <v>8.4836084308528275</v>
      </c>
      <c r="F41" s="106">
        <f>'Determination cell counts FP'!S19</f>
        <v>3.2722374830236364E-2</v>
      </c>
    </row>
    <row r="42" spans="1:6">
      <c r="A42" s="40">
        <v>16</v>
      </c>
      <c r="B42" s="32">
        <v>1080</v>
      </c>
      <c r="C42" s="32">
        <f>C41+B42</f>
        <v>2880</v>
      </c>
      <c r="D42" s="13">
        <f t="shared" si="7"/>
        <v>48</v>
      </c>
      <c r="E42" s="106">
        <f>'Determination cell counts FP'!R20</f>
        <v>8.1774462028926855</v>
      </c>
      <c r="F42" s="106">
        <f>'Determination cell counts FP'!S20</f>
        <v>5.7526814210059306E-2</v>
      </c>
    </row>
  </sheetData>
  <mergeCells count="21">
    <mergeCell ref="B3:B4"/>
    <mergeCell ref="C3:C4"/>
    <mergeCell ref="D3:D4"/>
    <mergeCell ref="E3:E4"/>
    <mergeCell ref="F3:F4"/>
    <mergeCell ref="O3:O4"/>
    <mergeCell ref="P3:P4"/>
    <mergeCell ref="Q3:Q4"/>
    <mergeCell ref="A24:A25"/>
    <mergeCell ref="B24:B25"/>
    <mergeCell ref="C24:C25"/>
    <mergeCell ref="D24:D25"/>
    <mergeCell ref="E24:E25"/>
    <mergeCell ref="F24:F25"/>
    <mergeCell ref="H3:H4"/>
    <mergeCell ref="I3:I4"/>
    <mergeCell ref="J3:J4"/>
    <mergeCell ref="K3:K4"/>
    <mergeCell ref="L3:L4"/>
    <mergeCell ref="M3:M4"/>
    <mergeCell ref="A3:A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22" sqref="I2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4" t="s">
        <v>4</v>
      </c>
      <c r="B1" s="134" t="s">
        <v>117</v>
      </c>
      <c r="C1" s="134" t="s">
        <v>117</v>
      </c>
      <c r="D1" s="134" t="s">
        <v>5</v>
      </c>
      <c r="E1" s="134" t="s">
        <v>19</v>
      </c>
      <c r="F1" s="134" t="s">
        <v>24</v>
      </c>
      <c r="G1" s="133" t="s">
        <v>25</v>
      </c>
      <c r="H1" s="130" t="s">
        <v>26</v>
      </c>
      <c r="I1" s="4" t="s">
        <v>27</v>
      </c>
      <c r="J1" s="53" t="s">
        <v>27</v>
      </c>
    </row>
    <row r="2" spans="1:10">
      <c r="A2" s="135"/>
      <c r="B2" s="135"/>
      <c r="C2" s="135"/>
      <c r="D2" s="135"/>
      <c r="E2" s="135"/>
      <c r="F2" s="135"/>
      <c r="G2" s="133"/>
      <c r="H2" s="130"/>
      <c r="I2" s="5" t="s">
        <v>28</v>
      </c>
      <c r="J2" s="54" t="s">
        <v>23</v>
      </c>
    </row>
    <row r="3" spans="1:10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0">
        <v>9.6000000000000002E-2</v>
      </c>
      <c r="G3" s="50">
        <v>9.6000000000000002E-2</v>
      </c>
      <c r="H3" s="50">
        <v>9.6000000000000002E-2</v>
      </c>
      <c r="I3" s="51">
        <f>E3*(AVERAGE(F3:H3)*1.6007-0.0118)</f>
        <v>0.14186720000000003</v>
      </c>
      <c r="J3" s="51">
        <f>E3*(STDEV(F3:H3)*1.6007)</f>
        <v>2.7206696834821082E-17</v>
      </c>
    </row>
    <row r="4" spans="1:10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40">
        <v>1</v>
      </c>
      <c r="F4" s="50">
        <v>0.216</v>
      </c>
      <c r="G4" s="50">
        <v>0.216</v>
      </c>
      <c r="H4" s="50">
        <v>0.216</v>
      </c>
      <c r="I4" s="51">
        <f>E4*(AVERAGE(F4:H4)*1.6007-0.0118)</f>
        <v>0.3339512</v>
      </c>
      <c r="J4" s="51">
        <f t="shared" ref="J4:J9" si="1">E4*(STDEV(F4:H4)*1.6007)</f>
        <v>0</v>
      </c>
    </row>
    <row r="5" spans="1:10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40">
        <v>10</v>
      </c>
      <c r="F5" s="50">
        <v>4.3999999999999997E-2</v>
      </c>
      <c r="G5" s="50">
        <v>4.2999999999999997E-2</v>
      </c>
      <c r="H5" s="50">
        <v>4.4999999999999998E-2</v>
      </c>
      <c r="I5" s="51">
        <f t="shared" ref="I5:I9" si="2">E5*(AVERAGE(F5:H5)*1.6007-0.0118)</f>
        <v>0.58630800000000005</v>
      </c>
      <c r="J5" s="51">
        <f t="shared" si="1"/>
        <v>1.6007000000000014E-2</v>
      </c>
    </row>
    <row r="6" spans="1:10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40">
        <v>10</v>
      </c>
      <c r="F6" s="50">
        <v>6.8000000000000005E-2</v>
      </c>
      <c r="G6" s="50">
        <v>7.0000000000000007E-2</v>
      </c>
      <c r="H6" s="50">
        <v>7.2999999999999995E-2</v>
      </c>
      <c r="I6" s="51">
        <f t="shared" si="2"/>
        <v>1.0078256666666667</v>
      </c>
      <c r="J6" s="51">
        <f t="shared" si="1"/>
        <v>4.0283399935126217E-2</v>
      </c>
    </row>
    <row r="7" spans="1:10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40">
        <v>10</v>
      </c>
      <c r="F7" s="50">
        <v>0.128</v>
      </c>
      <c r="G7" s="50">
        <v>0.128</v>
      </c>
      <c r="H7" s="50">
        <v>0.128</v>
      </c>
      <c r="I7" s="51">
        <f t="shared" si="2"/>
        <v>1.9308959999999999</v>
      </c>
      <c r="J7" s="51">
        <f t="shared" si="1"/>
        <v>0</v>
      </c>
    </row>
    <row r="8" spans="1:10">
      <c r="A8" s="65">
        <v>4</v>
      </c>
      <c r="B8" s="32">
        <v>80</v>
      </c>
      <c r="C8" s="32">
        <f t="shared" ref="C8:C18" si="3">C7+B8</f>
        <v>360</v>
      </c>
      <c r="D8" s="13">
        <f t="shared" si="0"/>
        <v>6</v>
      </c>
      <c r="E8" s="40">
        <v>10</v>
      </c>
      <c r="F8" s="50">
        <v>0.19</v>
      </c>
      <c r="G8" s="50">
        <v>0.189</v>
      </c>
      <c r="H8" s="50">
        <v>0.192</v>
      </c>
      <c r="I8" s="51">
        <f t="shared" si="2"/>
        <v>2.9286656666666664</v>
      </c>
      <c r="J8" s="51">
        <f t="shared" si="1"/>
        <v>2.4451096383052734E-2</v>
      </c>
    </row>
    <row r="9" spans="1:10">
      <c r="A9" s="65">
        <v>5</v>
      </c>
      <c r="B9" s="32">
        <v>80</v>
      </c>
      <c r="C9" s="32">
        <f t="shared" si="3"/>
        <v>440</v>
      </c>
      <c r="D9" s="13">
        <f t="shared" si="0"/>
        <v>7.333333333333333</v>
      </c>
      <c r="E9" s="40">
        <v>10</v>
      </c>
      <c r="F9" s="50">
        <v>0.26400000000000001</v>
      </c>
      <c r="G9" s="50">
        <v>0.27900000000000003</v>
      </c>
      <c r="H9" s="50">
        <v>0.26700000000000002</v>
      </c>
      <c r="I9" s="51">
        <f t="shared" si="2"/>
        <v>4.2038900000000003</v>
      </c>
      <c r="J9" s="51">
        <f t="shared" si="1"/>
        <v>0.12705162370863282</v>
      </c>
    </row>
    <row r="10" spans="1:10">
      <c r="A10" s="65">
        <v>6</v>
      </c>
      <c r="B10" s="32">
        <v>80</v>
      </c>
      <c r="C10" s="32">
        <f t="shared" si="3"/>
        <v>520</v>
      </c>
      <c r="D10" s="13">
        <f t="shared" si="0"/>
        <v>8.6666666666666661</v>
      </c>
      <c r="E10" s="40">
        <v>20</v>
      </c>
      <c r="F10" s="50">
        <v>0.187</v>
      </c>
      <c r="G10" s="50">
        <v>0.191</v>
      </c>
      <c r="H10" s="50">
        <v>0.191</v>
      </c>
      <c r="I10" s="51">
        <f t="shared" ref="I10:I20" si="4">E10*(AVERAGE(F10:H10)*1.6007-0.0118)</f>
        <v>5.8359886666666672</v>
      </c>
      <c r="J10" s="51">
        <f t="shared" ref="J10:J20" si="5">E10*(STDEV(F10:H10)*1.6007)</f>
        <v>7.3933166071346784E-2</v>
      </c>
    </row>
    <row r="11" spans="1:10">
      <c r="A11" s="65">
        <v>7</v>
      </c>
      <c r="B11" s="32">
        <v>80</v>
      </c>
      <c r="C11" s="32">
        <f t="shared" si="3"/>
        <v>600</v>
      </c>
      <c r="D11" s="13">
        <f t="shared" si="0"/>
        <v>10</v>
      </c>
      <c r="E11" s="40">
        <v>20</v>
      </c>
      <c r="F11" s="50">
        <v>0.249</v>
      </c>
      <c r="G11" s="50">
        <v>0.255</v>
      </c>
      <c r="H11" s="50">
        <v>0.254</v>
      </c>
      <c r="I11" s="51">
        <f t="shared" si="4"/>
        <v>7.852870666666667</v>
      </c>
      <c r="J11" s="51">
        <f t="shared" si="5"/>
        <v>0.10291061182080959</v>
      </c>
    </row>
    <row r="12" spans="1:10">
      <c r="A12" s="65">
        <v>8</v>
      </c>
      <c r="B12" s="32">
        <v>80</v>
      </c>
      <c r="C12" s="32">
        <f t="shared" si="3"/>
        <v>680</v>
      </c>
      <c r="D12" s="13">
        <f t="shared" si="0"/>
        <v>11.333333333333334</v>
      </c>
      <c r="E12" s="40">
        <v>20</v>
      </c>
      <c r="F12" s="50">
        <v>0.33500000000000002</v>
      </c>
      <c r="G12" s="50">
        <v>0.33600000000000002</v>
      </c>
      <c r="H12" s="50">
        <v>0.36699999999999999</v>
      </c>
      <c r="I12" s="51">
        <f t="shared" si="4"/>
        <v>10.840844000000001</v>
      </c>
      <c r="J12" s="51">
        <f t="shared" si="5"/>
        <v>0.58244368043270878</v>
      </c>
    </row>
    <row r="13" spans="1:10">
      <c r="A13" s="65">
        <v>9</v>
      </c>
      <c r="B13" s="32">
        <v>80</v>
      </c>
      <c r="C13" s="32">
        <f t="shared" si="3"/>
        <v>760</v>
      </c>
      <c r="D13" s="13">
        <f t="shared" si="0"/>
        <v>12.666666666666666</v>
      </c>
      <c r="E13" s="40">
        <v>20</v>
      </c>
      <c r="F13" s="50">
        <v>0.312</v>
      </c>
      <c r="G13" s="50">
        <v>0.34</v>
      </c>
      <c r="H13" s="50">
        <v>0.32400000000000001</v>
      </c>
      <c r="I13" s="51">
        <f t="shared" si="4"/>
        <v>10.179221333333333</v>
      </c>
      <c r="J13" s="51">
        <f t="shared" si="5"/>
        <v>0.44971789232510384</v>
      </c>
    </row>
    <row r="14" spans="1:10">
      <c r="A14" s="65">
        <v>10</v>
      </c>
      <c r="B14" s="32">
        <v>80</v>
      </c>
      <c r="C14" s="32">
        <f t="shared" si="3"/>
        <v>840</v>
      </c>
      <c r="D14" s="13">
        <f t="shared" si="0"/>
        <v>14</v>
      </c>
      <c r="E14" s="40">
        <v>20</v>
      </c>
      <c r="F14" s="50">
        <v>0.317</v>
      </c>
      <c r="G14" s="50">
        <v>0.31</v>
      </c>
      <c r="H14" s="50">
        <v>0.308</v>
      </c>
      <c r="I14" s="51">
        <f t="shared" si="4"/>
        <v>9.7416966666666678</v>
      </c>
      <c r="J14" s="51">
        <f t="shared" si="5"/>
        <v>0.15129226145885113</v>
      </c>
    </row>
    <row r="15" spans="1:10">
      <c r="A15" s="65">
        <v>11</v>
      </c>
      <c r="B15" s="32">
        <v>80</v>
      </c>
      <c r="C15" s="32">
        <f t="shared" si="3"/>
        <v>920</v>
      </c>
      <c r="D15" s="13">
        <f t="shared" si="0"/>
        <v>15.333333333333334</v>
      </c>
      <c r="E15" s="40">
        <v>20</v>
      </c>
      <c r="F15" s="50">
        <v>0.28599999999999998</v>
      </c>
      <c r="G15" s="50">
        <v>0.29799999999999999</v>
      </c>
      <c r="H15" s="50">
        <v>0.29699999999999999</v>
      </c>
      <c r="I15" s="51">
        <f t="shared" si="4"/>
        <v>9.1654446666666676</v>
      </c>
      <c r="J15" s="51">
        <f t="shared" si="5"/>
        <v>0.21315971638499948</v>
      </c>
    </row>
    <row r="16" spans="1:10">
      <c r="A16" s="65">
        <v>12</v>
      </c>
      <c r="B16" s="32">
        <v>80</v>
      </c>
      <c r="C16" s="32">
        <f t="shared" si="3"/>
        <v>1000</v>
      </c>
      <c r="D16" s="13">
        <f t="shared" si="0"/>
        <v>16.666666666666668</v>
      </c>
      <c r="E16" s="40">
        <v>20</v>
      </c>
      <c r="F16" s="50">
        <v>0.28299999999999997</v>
      </c>
      <c r="G16" s="50">
        <v>0.28199999999999997</v>
      </c>
      <c r="H16" s="50">
        <v>0.28299999999999997</v>
      </c>
      <c r="I16" s="51">
        <f t="shared" si="4"/>
        <v>8.8132906666666653</v>
      </c>
      <c r="J16" s="51">
        <f t="shared" si="5"/>
        <v>1.8483291517836696E-2</v>
      </c>
    </row>
    <row r="17" spans="1:10">
      <c r="A17" s="65">
        <v>13</v>
      </c>
      <c r="B17" s="32">
        <v>80</v>
      </c>
      <c r="C17" s="32">
        <f t="shared" si="3"/>
        <v>1080</v>
      </c>
      <c r="D17" s="13">
        <f t="shared" si="0"/>
        <v>18</v>
      </c>
      <c r="E17" s="40">
        <v>20</v>
      </c>
      <c r="F17" s="50">
        <v>0.27500000000000002</v>
      </c>
      <c r="G17" s="50">
        <v>0.27500000000000002</v>
      </c>
      <c r="H17" s="50">
        <v>0.29499999999999998</v>
      </c>
      <c r="I17" s="51">
        <f t="shared" si="4"/>
        <v>8.7812766666666668</v>
      </c>
      <c r="J17" s="51">
        <f t="shared" si="5"/>
        <v>0.36966583035673289</v>
      </c>
    </row>
    <row r="18" spans="1:10">
      <c r="A18" s="65">
        <v>14</v>
      </c>
      <c r="B18" s="32">
        <v>360</v>
      </c>
      <c r="C18" s="32">
        <f t="shared" si="3"/>
        <v>1440</v>
      </c>
      <c r="D18" s="13">
        <f t="shared" si="0"/>
        <v>24</v>
      </c>
      <c r="E18" s="40">
        <v>20</v>
      </c>
      <c r="F18" s="50">
        <v>0.22</v>
      </c>
      <c r="G18" s="50">
        <v>0.215</v>
      </c>
      <c r="H18" s="50">
        <v>0.221</v>
      </c>
      <c r="I18" s="51">
        <f>E18*(AVERAGE(F18:H18)*1.6007-0.0118)</f>
        <v>6.7643946666666679</v>
      </c>
      <c r="J18" s="51">
        <f t="shared" si="5"/>
        <v>0.10291061182080959</v>
      </c>
    </row>
    <row r="19" spans="1:10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>
        <v>20</v>
      </c>
      <c r="F19" s="50">
        <v>8.5999999999999993E-2</v>
      </c>
      <c r="G19" s="50">
        <v>8.8999999999999996E-2</v>
      </c>
      <c r="H19" s="50">
        <v>0.09</v>
      </c>
      <c r="I19" s="51">
        <f>E19*(AVERAGE(F19:H19)*1.6007-0.0118)</f>
        <v>2.5919033333333328</v>
      </c>
      <c r="J19" s="51">
        <f t="shared" si="5"/>
        <v>6.6642455306908835E-2</v>
      </c>
    </row>
    <row r="20" spans="1:10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10</v>
      </c>
      <c r="F20" s="50">
        <v>0.159</v>
      </c>
      <c r="G20" s="50">
        <v>0.155</v>
      </c>
      <c r="H20" s="50">
        <v>0.155</v>
      </c>
      <c r="I20" s="51">
        <f t="shared" si="4"/>
        <v>2.3844276666666668</v>
      </c>
      <c r="J20" s="51">
        <f t="shared" si="5"/>
        <v>3.6966583035673392E-2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4" t="s">
        <v>4</v>
      </c>
      <c r="B1" s="134" t="s">
        <v>117</v>
      </c>
      <c r="C1" s="134" t="s">
        <v>117</v>
      </c>
      <c r="D1" s="134" t="s">
        <v>5</v>
      </c>
      <c r="E1" s="4" t="s">
        <v>29</v>
      </c>
      <c r="F1" s="4" t="s">
        <v>2</v>
      </c>
      <c r="G1" s="4" t="s">
        <v>32</v>
      </c>
    </row>
    <row r="2" spans="1:7">
      <c r="A2" s="135"/>
      <c r="B2" s="135"/>
      <c r="C2" s="135"/>
      <c r="D2" s="135"/>
      <c r="E2" s="5" t="s">
        <v>30</v>
      </c>
      <c r="F2" s="5" t="s">
        <v>31</v>
      </c>
      <c r="G2" s="5" t="s">
        <v>33</v>
      </c>
    </row>
    <row r="3" spans="1:7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5">
        <v>4</v>
      </c>
      <c r="B8" s="32">
        <v>80</v>
      </c>
      <c r="C8" s="32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5">
        <v>5</v>
      </c>
      <c r="B9" s="32">
        <v>80</v>
      </c>
      <c r="C9" s="32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5">
        <v>6</v>
      </c>
      <c r="B10" s="32">
        <v>80</v>
      </c>
      <c r="C10" s="32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5">
        <v>7</v>
      </c>
      <c r="B11" s="32">
        <v>80</v>
      </c>
      <c r="C11" s="32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5">
        <v>8</v>
      </c>
      <c r="B12" s="32">
        <v>80</v>
      </c>
      <c r="C12" s="32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5">
        <v>9</v>
      </c>
      <c r="B13" s="32">
        <v>80</v>
      </c>
      <c r="C13" s="32">
        <f t="shared" si="1"/>
        <v>760</v>
      </c>
      <c r="D13" s="13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5">
        <v>10</v>
      </c>
      <c r="B14" s="32">
        <v>80</v>
      </c>
      <c r="C14" s="32">
        <f t="shared" si="1"/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5">
        <v>11</v>
      </c>
      <c r="B15" s="32">
        <v>80</v>
      </c>
      <c r="C15" s="32">
        <f t="shared" si="1"/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5">
        <v>12</v>
      </c>
      <c r="B16" s="32">
        <v>80</v>
      </c>
      <c r="C16" s="32">
        <f t="shared" si="1"/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5">
        <v>13</v>
      </c>
      <c r="B17" s="32">
        <v>80</v>
      </c>
      <c r="C17" s="32">
        <f t="shared" si="1"/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5">
        <v>14</v>
      </c>
      <c r="B18" s="32">
        <v>360</v>
      </c>
      <c r="C18" s="32">
        <f t="shared" si="1"/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/>
      <c r="F20" s="40"/>
      <c r="G20" s="40" t="e">
        <f>(F20-$C$22)/E20*1000*Calculation!I22/Calculation!K20</f>
        <v>#DIV/0!</v>
      </c>
    </row>
    <row r="22" spans="1:7">
      <c r="A22" s="157" t="s">
        <v>3</v>
      </c>
      <c r="B22" s="158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11" workbookViewId="0">
      <selection activeCell="B5" sqref="B5:B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70.400000000000006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33" t="s">
        <v>5</v>
      </c>
      <c r="B3" s="133" t="s">
        <v>36</v>
      </c>
      <c r="C3" s="133"/>
      <c r="D3" s="133" t="s">
        <v>52</v>
      </c>
      <c r="E3" s="133"/>
      <c r="F3" s="133"/>
      <c r="G3" s="23" t="s">
        <v>53</v>
      </c>
    </row>
    <row r="4" spans="1:10">
      <c r="A4" s="133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6">
        <v>3070.51</v>
      </c>
      <c r="C5" s="12">
        <f>B5/1000</f>
        <v>3.0705100000000001</v>
      </c>
      <c r="D5" s="12">
        <f>C5/1000*$B$1</f>
        <v>0.21616390400000005</v>
      </c>
      <c r="E5" s="12">
        <f>D5/22.4</f>
        <v>9.6501742857142882E-3</v>
      </c>
      <c r="F5" s="12">
        <f>E5/Calculation!K$4*1000</f>
        <v>5.9565808467564492E-3</v>
      </c>
      <c r="G5" s="12">
        <f>(0+F5)/2*30</f>
        <v>8.9348712701346741E-2</v>
      </c>
      <c r="I5" s="79">
        <v>-0.16666666666666666</v>
      </c>
      <c r="J5" t="s">
        <v>162</v>
      </c>
    </row>
    <row r="6" spans="1:10">
      <c r="A6" s="12">
        <v>0.5</v>
      </c>
      <c r="B6" s="76">
        <v>9184.48</v>
      </c>
      <c r="C6" s="12">
        <f t="shared" ref="C6:C69" si="0">B6/1000</f>
        <v>9.1844799999999989</v>
      </c>
      <c r="D6" s="12">
        <f>C6/1000*$B$1</f>
        <v>0.64658739199999993</v>
      </c>
      <c r="E6" s="12">
        <f>D6/22.4</f>
        <v>2.8865508571428569E-2</v>
      </c>
      <c r="F6" s="12">
        <f>E6/Calculation!K$4*1000</f>
        <v>1.7817267377542381E-2</v>
      </c>
      <c r="G6" s="12">
        <f>G5+(F6+F5)/2*30</f>
        <v>0.44595643606582919</v>
      </c>
      <c r="I6" s="79">
        <v>0.16666666666666666</v>
      </c>
      <c r="J6" t="s">
        <v>163</v>
      </c>
    </row>
    <row r="7" spans="1:10">
      <c r="A7" s="12">
        <v>1</v>
      </c>
      <c r="B7" s="76">
        <v>15011.5</v>
      </c>
      <c r="C7" s="12">
        <f t="shared" si="0"/>
        <v>15.0115</v>
      </c>
      <c r="D7" s="12">
        <f t="shared" ref="D7:D69" si="1">C7/1000*$B$1</f>
        <v>1.0568096</v>
      </c>
      <c r="E7" s="12">
        <f t="shared" ref="E7:E69" si="2">D7/22.4</f>
        <v>4.7179000000000006E-2</v>
      </c>
      <c r="F7" s="12">
        <f>E7/Calculation!K$4*1000</f>
        <v>2.9121290398365231E-2</v>
      </c>
      <c r="G7" s="12">
        <f t="shared" ref="G7:G70" si="3">G6+(F7+F6)/2*30</f>
        <v>1.1500348027044434</v>
      </c>
      <c r="I7" s="79">
        <v>2</v>
      </c>
      <c r="J7" t="s">
        <v>164</v>
      </c>
    </row>
    <row r="8" spans="1:10">
      <c r="A8" s="12">
        <v>1.5</v>
      </c>
      <c r="B8" s="76">
        <v>19490.84</v>
      </c>
      <c r="C8" s="12">
        <f t="shared" si="0"/>
        <v>19.490839999999999</v>
      </c>
      <c r="D8" s="12">
        <f t="shared" si="1"/>
        <v>1.3721551359999999</v>
      </c>
      <c r="E8" s="12">
        <f t="shared" si="2"/>
        <v>6.1256925714285718E-2</v>
      </c>
      <c r="F8" s="12">
        <f>E8/Calculation!K$4*1000</f>
        <v>3.7810905755459014E-2</v>
      </c>
      <c r="G8" s="12">
        <f t="shared" si="3"/>
        <v>2.154017745011807</v>
      </c>
      <c r="I8" s="79">
        <v>3.3333333333333335</v>
      </c>
      <c r="J8" t="s">
        <v>165</v>
      </c>
    </row>
    <row r="9" spans="1:10">
      <c r="A9" s="12">
        <v>2</v>
      </c>
      <c r="B9" s="76">
        <v>23825.54</v>
      </c>
      <c r="C9" s="12">
        <f t="shared" si="0"/>
        <v>23.82554</v>
      </c>
      <c r="D9" s="12">
        <f t="shared" si="1"/>
        <v>1.6773180160000001</v>
      </c>
      <c r="E9" s="12">
        <f t="shared" si="2"/>
        <v>7.4880268571428585E-2</v>
      </c>
      <c r="F9" s="12">
        <f>E9/Calculation!K$5*1000</f>
        <v>4.7446231947022695E-2</v>
      </c>
      <c r="G9" s="12">
        <f t="shared" si="3"/>
        <v>3.4328748105490323</v>
      </c>
      <c r="I9" s="79">
        <v>4.666666666666667</v>
      </c>
      <c r="J9" t="s">
        <v>166</v>
      </c>
    </row>
    <row r="10" spans="1:10">
      <c r="A10" s="12">
        <v>2.5</v>
      </c>
      <c r="B10" s="76">
        <v>26785.5</v>
      </c>
      <c r="C10" s="12">
        <f t="shared" si="0"/>
        <v>26.785499999999999</v>
      </c>
      <c r="D10" s="12">
        <f t="shared" si="1"/>
        <v>1.8856992000000001</v>
      </c>
      <c r="E10" s="12">
        <f t="shared" si="2"/>
        <v>8.4183000000000008E-2</v>
      </c>
      <c r="F10" s="12">
        <f>E10/Calculation!K$5*1000</f>
        <v>5.3340702700420482E-2</v>
      </c>
      <c r="G10" s="12">
        <f t="shared" si="3"/>
        <v>4.9446788302606794</v>
      </c>
      <c r="I10" s="79">
        <v>6</v>
      </c>
      <c r="J10" t="s">
        <v>167</v>
      </c>
    </row>
    <row r="11" spans="1:10">
      <c r="A11" s="12">
        <v>3</v>
      </c>
      <c r="B11" s="76">
        <v>34111.919999999998</v>
      </c>
      <c r="C11" s="12">
        <f t="shared" si="0"/>
        <v>34.111919999999998</v>
      </c>
      <c r="D11" s="12">
        <f t="shared" si="1"/>
        <v>2.4014791679999998</v>
      </c>
      <c r="E11" s="12">
        <f t="shared" si="2"/>
        <v>0.10720889142857143</v>
      </c>
      <c r="F11" s="12">
        <f>E11/Calculation!K$5*1000</f>
        <v>6.7930551352803847E-2</v>
      </c>
      <c r="G11" s="12">
        <f t="shared" si="3"/>
        <v>6.7637476410590445</v>
      </c>
      <c r="I11" s="79">
        <v>7.333333333333333</v>
      </c>
      <c r="J11" t="s">
        <v>168</v>
      </c>
    </row>
    <row r="12" spans="1:10">
      <c r="A12" s="12">
        <v>3.5</v>
      </c>
      <c r="B12" s="76">
        <v>45129.760000000002</v>
      </c>
      <c r="C12" s="12">
        <f t="shared" si="0"/>
        <v>45.129760000000005</v>
      </c>
      <c r="D12" s="12">
        <f t="shared" si="1"/>
        <v>3.1771351040000004</v>
      </c>
      <c r="E12" s="12">
        <f t="shared" si="2"/>
        <v>0.14183638857142861</v>
      </c>
      <c r="F12" s="12">
        <f>E12/Calculation!K$6*1000</f>
        <v>9.2495912935322347E-2</v>
      </c>
      <c r="G12" s="12">
        <f t="shared" si="3"/>
        <v>9.170144605380937</v>
      </c>
      <c r="I12" s="79">
        <v>8.6666666666666661</v>
      </c>
      <c r="J12" t="s">
        <v>169</v>
      </c>
    </row>
    <row r="13" spans="1:10">
      <c r="A13" s="12">
        <v>4</v>
      </c>
      <c r="B13" s="76">
        <v>57766.94</v>
      </c>
      <c r="C13" s="12">
        <f t="shared" si="0"/>
        <v>57.766940000000005</v>
      </c>
      <c r="D13" s="12">
        <f t="shared" si="1"/>
        <v>4.0667925760000001</v>
      </c>
      <c r="E13" s="12">
        <f t="shared" si="2"/>
        <v>0.18155324</v>
      </c>
      <c r="F13" s="12">
        <f>E13/Calculation!K$6*1000</f>
        <v>0.11839650493997729</v>
      </c>
      <c r="G13" s="12">
        <f t="shared" si="3"/>
        <v>12.333530873510432</v>
      </c>
      <c r="I13" s="79">
        <v>10</v>
      </c>
      <c r="J13" t="s">
        <v>170</v>
      </c>
    </row>
    <row r="14" spans="1:10">
      <c r="A14" s="12">
        <v>4.5</v>
      </c>
      <c r="B14" s="76">
        <v>56687.38</v>
      </c>
      <c r="C14" s="12">
        <f t="shared" si="0"/>
        <v>56.687379999999997</v>
      </c>
      <c r="D14" s="12">
        <f t="shared" si="1"/>
        <v>3.9907915520000001</v>
      </c>
      <c r="E14" s="12">
        <f t="shared" si="2"/>
        <v>0.17816033714285717</v>
      </c>
      <c r="F14" s="12">
        <f>E14/Calculation!K$6*1000</f>
        <v>0.11618388763892237</v>
      </c>
      <c r="G14" s="12">
        <f t="shared" si="3"/>
        <v>15.852236762193927</v>
      </c>
      <c r="I14" s="79">
        <v>11.333333333333334</v>
      </c>
      <c r="J14" t="s">
        <v>171</v>
      </c>
    </row>
    <row r="15" spans="1:10">
      <c r="A15" s="12">
        <v>5</v>
      </c>
      <c r="B15" s="76">
        <v>57480</v>
      </c>
      <c r="C15" s="12">
        <f t="shared" si="0"/>
        <v>57.48</v>
      </c>
      <c r="D15" s="12">
        <f t="shared" si="1"/>
        <v>4.0465920000000004</v>
      </c>
      <c r="E15" s="12">
        <f t="shared" si="2"/>
        <v>0.1806514285714286</v>
      </c>
      <c r="F15" s="12">
        <f>E15/Calculation!K$7*1000</f>
        <v>0.12134030327943529</v>
      </c>
      <c r="G15" s="12">
        <f t="shared" si="3"/>
        <v>19.41509962596929</v>
      </c>
      <c r="I15" s="79">
        <v>12.666666666666666</v>
      </c>
      <c r="J15" t="s">
        <v>172</v>
      </c>
    </row>
    <row r="16" spans="1:10">
      <c r="A16" s="12">
        <v>5.5</v>
      </c>
      <c r="B16" s="76">
        <v>59288.67</v>
      </c>
      <c r="C16" s="12">
        <f t="shared" si="0"/>
        <v>59.288669999999996</v>
      </c>
      <c r="D16" s="12">
        <f t="shared" si="1"/>
        <v>4.1739223680000004</v>
      </c>
      <c r="E16" s="12">
        <f t="shared" si="2"/>
        <v>0.18633582000000004</v>
      </c>
      <c r="F16" s="12">
        <f>E16/Calculation!K$7*1000</f>
        <v>0.12515840638194775</v>
      </c>
      <c r="G16" s="12">
        <f t="shared" si="3"/>
        <v>23.112580270890035</v>
      </c>
      <c r="I16" s="79">
        <v>14</v>
      </c>
      <c r="J16" t="s">
        <v>173</v>
      </c>
    </row>
    <row r="17" spans="1:10">
      <c r="A17" s="12">
        <v>6</v>
      </c>
      <c r="B17" s="76">
        <v>64006.74</v>
      </c>
      <c r="C17" s="12">
        <f t="shared" si="0"/>
        <v>64.006739999999994</v>
      </c>
      <c r="D17" s="12">
        <f t="shared" si="1"/>
        <v>4.5060744960000001</v>
      </c>
      <c r="E17" s="12">
        <f t="shared" si="2"/>
        <v>0.20116404000000002</v>
      </c>
      <c r="F17" s="12">
        <f>E17/Calculation!K$8*1000</f>
        <v>0.13946795128259787</v>
      </c>
      <c r="G17" s="12">
        <f t="shared" si="3"/>
        <v>27.081975635858221</v>
      </c>
      <c r="I17" s="79">
        <v>15.333333333333334</v>
      </c>
      <c r="J17" t="s">
        <v>174</v>
      </c>
    </row>
    <row r="18" spans="1:10">
      <c r="A18" s="12">
        <v>6.5</v>
      </c>
      <c r="B18" s="76">
        <v>61411.33</v>
      </c>
      <c r="C18" s="12">
        <f t="shared" si="0"/>
        <v>61.41133</v>
      </c>
      <c r="D18" s="12">
        <f t="shared" si="1"/>
        <v>4.3233576320000005</v>
      </c>
      <c r="E18" s="12">
        <f t="shared" si="2"/>
        <v>0.19300703714285716</v>
      </c>
      <c r="F18" s="12">
        <f>E18/Calculation!K$8*1000</f>
        <v>0.13381266380133625</v>
      </c>
      <c r="G18" s="12">
        <f t="shared" si="3"/>
        <v>31.181184862117235</v>
      </c>
      <c r="I18" s="79">
        <v>16.666666666666668</v>
      </c>
      <c r="J18" t="s">
        <v>175</v>
      </c>
    </row>
    <row r="19" spans="1:10">
      <c r="A19" s="12">
        <v>7</v>
      </c>
      <c r="B19" s="76">
        <v>57035.47</v>
      </c>
      <c r="C19" s="12">
        <f t="shared" si="0"/>
        <v>57.035470000000004</v>
      </c>
      <c r="D19" s="12">
        <f t="shared" si="1"/>
        <v>4.0152970880000005</v>
      </c>
      <c r="E19" s="12">
        <f t="shared" si="2"/>
        <v>0.17925433428571433</v>
      </c>
      <c r="F19" s="12">
        <f>E19/Calculation!K$8*1000</f>
        <v>0.12427785185341533</v>
      </c>
      <c r="G19" s="12">
        <f t="shared" si="3"/>
        <v>35.052542596938508</v>
      </c>
      <c r="I19" s="79">
        <v>18</v>
      </c>
      <c r="J19" t="s">
        <v>176</v>
      </c>
    </row>
    <row r="20" spans="1:10">
      <c r="A20" s="12">
        <v>7.5</v>
      </c>
      <c r="B20" s="76">
        <v>62954.23</v>
      </c>
      <c r="C20" s="12">
        <f t="shared" si="0"/>
        <v>62.954230000000003</v>
      </c>
      <c r="D20" s="12">
        <f t="shared" si="1"/>
        <v>4.4319777920000005</v>
      </c>
      <c r="E20" s="12">
        <f t="shared" si="2"/>
        <v>0.19785615142857146</v>
      </c>
      <c r="F20" s="12">
        <f>E20/Calculation!K$9*1000</f>
        <v>0.14201148024731405</v>
      </c>
      <c r="G20" s="12">
        <f t="shared" si="3"/>
        <v>39.046882578449448</v>
      </c>
      <c r="I20" s="79">
        <v>24</v>
      </c>
      <c r="J20" t="s">
        <v>177</v>
      </c>
    </row>
    <row r="21" spans="1:10">
      <c r="A21" s="12">
        <v>8</v>
      </c>
      <c r="B21" s="76">
        <v>49899.57</v>
      </c>
      <c r="C21" s="12">
        <f t="shared" si="0"/>
        <v>49.899569999999997</v>
      </c>
      <c r="D21" s="12">
        <f t="shared" si="1"/>
        <v>3.512929728</v>
      </c>
      <c r="E21" s="12">
        <f t="shared" si="2"/>
        <v>0.15682722000000002</v>
      </c>
      <c r="F21" s="12">
        <f>E21/Calculation!K$9*1000</f>
        <v>0.11256291752602589</v>
      </c>
      <c r="G21" s="12">
        <f t="shared" si="3"/>
        <v>42.865498545049547</v>
      </c>
      <c r="I21" s="79">
        <v>30</v>
      </c>
      <c r="J21" t="s">
        <v>178</v>
      </c>
    </row>
    <row r="22" spans="1:10">
      <c r="A22" s="12">
        <v>8.5</v>
      </c>
      <c r="B22" s="76">
        <v>39639.07</v>
      </c>
      <c r="C22" s="12">
        <f t="shared" si="0"/>
        <v>39.639069999999997</v>
      </c>
      <c r="D22" s="12">
        <f t="shared" si="1"/>
        <v>2.7905905280000001</v>
      </c>
      <c r="E22" s="12">
        <f t="shared" si="2"/>
        <v>0.1245799342857143</v>
      </c>
      <c r="F22" s="12">
        <f>E22/Calculation!K$9*1000</f>
        <v>8.9417391116163258E-2</v>
      </c>
      <c r="G22" s="12">
        <f t="shared" si="3"/>
        <v>45.895203174682386</v>
      </c>
      <c r="I22" s="79">
        <v>48</v>
      </c>
      <c r="J22" t="s">
        <v>179</v>
      </c>
    </row>
    <row r="23" spans="1:10">
      <c r="A23" s="12">
        <v>9</v>
      </c>
      <c r="B23" s="76">
        <v>30105.32</v>
      </c>
      <c r="C23" s="12">
        <f t="shared" si="0"/>
        <v>30.105319999999999</v>
      </c>
      <c r="D23" s="12">
        <f t="shared" si="1"/>
        <v>2.1194145280000001</v>
      </c>
      <c r="E23" s="12">
        <f t="shared" si="2"/>
        <v>9.4616720000000015E-2</v>
      </c>
      <c r="F23" s="12">
        <f>E23/Calculation!K$10*1000</f>
        <v>7.0119356914747646E-2</v>
      </c>
      <c r="G23" s="12">
        <f t="shared" si="3"/>
        <v>48.288254395146048</v>
      </c>
    </row>
    <row r="24" spans="1:10">
      <c r="A24" s="12">
        <v>9.5</v>
      </c>
      <c r="B24" s="76">
        <v>28355.45</v>
      </c>
      <c r="C24" s="12">
        <f t="shared" si="0"/>
        <v>28.355450000000001</v>
      </c>
      <c r="D24" s="12">
        <f t="shared" si="1"/>
        <v>1.9962236800000002</v>
      </c>
      <c r="E24" s="12">
        <f t="shared" si="2"/>
        <v>8.9117128571428589E-2</v>
      </c>
      <c r="F24" s="12">
        <f>E24/Calculation!K$10*1000</f>
        <v>6.6043673311835971E-2</v>
      </c>
      <c r="G24" s="12">
        <f t="shared" si="3"/>
        <v>50.330699848544803</v>
      </c>
    </row>
    <row r="25" spans="1:10">
      <c r="A25" s="12">
        <v>10</v>
      </c>
      <c r="B25" s="76">
        <v>27087.73</v>
      </c>
      <c r="C25" s="12">
        <f t="shared" si="0"/>
        <v>27.087730000000001</v>
      </c>
      <c r="D25" s="12">
        <f t="shared" si="1"/>
        <v>1.9069761920000001</v>
      </c>
      <c r="E25" s="12">
        <f t="shared" si="2"/>
        <v>8.513286571428573E-2</v>
      </c>
      <c r="F25" s="12">
        <f>E25/Calculation!K$11*1000</f>
        <v>6.5330898715256561E-2</v>
      </c>
      <c r="G25" s="12">
        <f t="shared" si="3"/>
        <v>52.301318428951191</v>
      </c>
    </row>
    <row r="26" spans="1:10">
      <c r="A26" s="12">
        <v>10.5</v>
      </c>
      <c r="B26" s="76">
        <v>23707.94</v>
      </c>
      <c r="C26" s="12">
        <f t="shared" si="0"/>
        <v>23.707939999999997</v>
      </c>
      <c r="D26" s="12">
        <f t="shared" si="1"/>
        <v>1.669038976</v>
      </c>
      <c r="E26" s="12">
        <f t="shared" si="2"/>
        <v>7.4510668571428573E-2</v>
      </c>
      <c r="F26" s="12">
        <f>E26/Calculation!K$11*1000</f>
        <v>5.7179432417828281E-2</v>
      </c>
      <c r="G26" s="12">
        <f t="shared" si="3"/>
        <v>54.138973395947467</v>
      </c>
    </row>
    <row r="27" spans="1:10">
      <c r="A27" s="12">
        <v>11</v>
      </c>
      <c r="B27" s="76">
        <v>21003.17</v>
      </c>
      <c r="C27" s="12">
        <f t="shared" si="0"/>
        <v>21.003169999999997</v>
      </c>
      <c r="D27" s="12">
        <f t="shared" si="1"/>
        <v>1.4786231679999999</v>
      </c>
      <c r="E27" s="12">
        <f t="shared" si="2"/>
        <v>6.6009962857142862E-2</v>
      </c>
      <c r="F27" s="12">
        <f>E27/Calculation!K$11*1000</f>
        <v>5.0655997086847634E-2</v>
      </c>
      <c r="G27" s="12">
        <f t="shared" si="3"/>
        <v>55.756504838517607</v>
      </c>
    </row>
    <row r="28" spans="1:10">
      <c r="A28" s="12">
        <v>11.5</v>
      </c>
      <c r="B28" s="76">
        <v>15217.3</v>
      </c>
      <c r="C28" s="12">
        <f t="shared" si="0"/>
        <v>15.2173</v>
      </c>
      <c r="D28" s="12">
        <f t="shared" si="1"/>
        <v>1.0712979200000001</v>
      </c>
      <c r="E28" s="12">
        <f t="shared" si="2"/>
        <v>4.7825800000000009E-2</v>
      </c>
      <c r="F28" s="12">
        <f>E28/Calculation!K$12*1000</f>
        <v>3.7917496864988798E-2</v>
      </c>
      <c r="G28" s="12">
        <f t="shared" si="3"/>
        <v>57.08510724779515</v>
      </c>
    </row>
    <row r="29" spans="1:10">
      <c r="A29" s="12">
        <v>12</v>
      </c>
      <c r="B29" s="76">
        <v>5641.22</v>
      </c>
      <c r="C29" s="12">
        <f t="shared" si="0"/>
        <v>5.6412200000000006</v>
      </c>
      <c r="D29" s="12">
        <f t="shared" si="1"/>
        <v>0.39714188800000005</v>
      </c>
      <c r="E29" s="12">
        <f t="shared" si="2"/>
        <v>1.7729548571428576E-2</v>
      </c>
      <c r="F29" s="12">
        <f>E29/Calculation!K$12*1000</f>
        <v>1.4056431933701255E-2</v>
      </c>
      <c r="G29" s="12">
        <f t="shared" si="3"/>
        <v>57.864716179775499</v>
      </c>
    </row>
    <row r="30" spans="1:10">
      <c r="A30" s="12">
        <v>12.5</v>
      </c>
      <c r="B30" s="76">
        <v>2146.1799999999998</v>
      </c>
      <c r="C30" s="12">
        <f t="shared" si="0"/>
        <v>2.1461799999999998</v>
      </c>
      <c r="D30" s="12">
        <f t="shared" si="1"/>
        <v>0.15109107199999999</v>
      </c>
      <c r="E30" s="12">
        <f t="shared" si="2"/>
        <v>6.7451371428571428E-3</v>
      </c>
      <c r="F30" s="12">
        <f>E30/Calculation!K$12*1000</f>
        <v>5.3477143397121464E-3</v>
      </c>
      <c r="G30" s="12">
        <f t="shared" si="3"/>
        <v>58.1557783738767</v>
      </c>
    </row>
    <row r="31" spans="1:10">
      <c r="A31" s="12">
        <v>13</v>
      </c>
      <c r="B31" s="76">
        <v>846.71</v>
      </c>
      <c r="C31" s="12">
        <f t="shared" si="0"/>
        <v>0.84671000000000007</v>
      </c>
      <c r="D31" s="12">
        <f t="shared" si="1"/>
        <v>5.9608384000000007E-2</v>
      </c>
      <c r="E31" s="12">
        <f t="shared" si="2"/>
        <v>2.6610885714285718E-3</v>
      </c>
      <c r="F31" s="12">
        <f>E31/Calculation!K$13*1000</f>
        <v>2.1918704616727554E-3</v>
      </c>
      <c r="G31" s="12">
        <f t="shared" si="3"/>
        <v>58.268872145897475</v>
      </c>
    </row>
    <row r="32" spans="1:10">
      <c r="A32" s="12">
        <v>13.5</v>
      </c>
      <c r="B32" s="76">
        <v>294</v>
      </c>
      <c r="C32" s="12">
        <f t="shared" si="0"/>
        <v>0.29399999999999998</v>
      </c>
      <c r="D32" s="12">
        <f t="shared" si="1"/>
        <v>2.06976E-2</v>
      </c>
      <c r="E32" s="12">
        <f t="shared" si="2"/>
        <v>9.2400000000000002E-4</v>
      </c>
      <c r="F32" s="12">
        <f>E32/Calculation!K$13*1000</f>
        <v>7.6107512103528959E-4</v>
      </c>
      <c r="G32" s="12">
        <f t="shared" si="3"/>
        <v>58.313166329638094</v>
      </c>
    </row>
    <row r="33" spans="1:7">
      <c r="A33" s="12">
        <v>14</v>
      </c>
      <c r="B33" s="76">
        <v>205.8</v>
      </c>
      <c r="C33" s="12">
        <f t="shared" si="0"/>
        <v>0.20580000000000001</v>
      </c>
      <c r="D33" s="12">
        <f t="shared" si="1"/>
        <v>1.4488320000000002E-2</v>
      </c>
      <c r="E33" s="12">
        <f t="shared" si="2"/>
        <v>6.4680000000000011E-4</v>
      </c>
      <c r="F33" s="12">
        <f>E33/Calculation!K$14*1000</f>
        <v>5.5294562624249395E-4</v>
      </c>
      <c r="G33" s="12">
        <f t="shared" si="3"/>
        <v>58.33287664084726</v>
      </c>
    </row>
    <row r="34" spans="1:7">
      <c r="A34" s="12">
        <v>14.5</v>
      </c>
      <c r="B34" s="76">
        <v>271.64999999999998</v>
      </c>
      <c r="C34" s="12">
        <f t="shared" si="0"/>
        <v>0.27165</v>
      </c>
      <c r="D34" s="12">
        <f t="shared" si="1"/>
        <v>1.9124160000000001E-2</v>
      </c>
      <c r="E34" s="12">
        <f t="shared" si="2"/>
        <v>8.5375714285714291E-4</v>
      </c>
      <c r="F34" s="12">
        <f>E34/Calculation!K$14*1000</f>
        <v>7.2987210577635307E-4</v>
      </c>
      <c r="G34" s="12">
        <f t="shared" si="3"/>
        <v>58.352118906827542</v>
      </c>
    </row>
    <row r="35" spans="1:7">
      <c r="A35" s="12">
        <v>15</v>
      </c>
      <c r="B35" s="76">
        <v>229.32</v>
      </c>
      <c r="C35" s="12">
        <f t="shared" si="0"/>
        <v>0.22932</v>
      </c>
      <c r="D35" s="12">
        <f t="shared" si="1"/>
        <v>1.6144128000000001E-2</v>
      </c>
      <c r="E35" s="12">
        <f t="shared" si="2"/>
        <v>7.2072000000000011E-4</v>
      </c>
      <c r="F35" s="12">
        <f>E35/Calculation!K$14*1000</f>
        <v>6.1613941209877896E-4</v>
      </c>
      <c r="G35" s="12">
        <f t="shared" si="3"/>
        <v>58.372309079595667</v>
      </c>
    </row>
    <row r="36" spans="1:7">
      <c r="A36" s="12">
        <v>15.5</v>
      </c>
      <c r="B36" s="76">
        <v>244.61</v>
      </c>
      <c r="C36" s="12">
        <f t="shared" si="0"/>
        <v>0.24461000000000002</v>
      </c>
      <c r="D36" s="12">
        <f t="shared" si="1"/>
        <v>1.7220544000000004E-2</v>
      </c>
      <c r="E36" s="12">
        <f t="shared" si="2"/>
        <v>7.6877428571428595E-4</v>
      </c>
      <c r="F36" s="12">
        <f>E36/Calculation!K$15*1000</f>
        <v>6.8249846754686475E-4</v>
      </c>
      <c r="G36" s="12">
        <f t="shared" si="3"/>
        <v>58.391788647790349</v>
      </c>
    </row>
    <row r="37" spans="1:7">
      <c r="A37" s="12">
        <v>16</v>
      </c>
      <c r="B37" s="76">
        <v>204.62</v>
      </c>
      <c r="C37" s="12">
        <f t="shared" si="0"/>
        <v>0.20462</v>
      </c>
      <c r="D37" s="12">
        <f t="shared" si="1"/>
        <v>1.4405248000000001E-2</v>
      </c>
      <c r="E37" s="12">
        <f t="shared" si="2"/>
        <v>6.430914285714286E-4</v>
      </c>
      <c r="F37" s="12">
        <f>E37/Calculation!K$15*1000</f>
        <v>5.7092038931130958E-4</v>
      </c>
      <c r="G37" s="12">
        <f t="shared" si="3"/>
        <v>58.410589930643219</v>
      </c>
    </row>
    <row r="38" spans="1:7">
      <c r="A38" s="12">
        <v>16.5</v>
      </c>
      <c r="B38" s="76">
        <v>197.57</v>
      </c>
      <c r="C38" s="12">
        <f t="shared" si="0"/>
        <v>0.19757</v>
      </c>
      <c r="D38" s="12">
        <f t="shared" si="1"/>
        <v>1.3908928000000001E-2</v>
      </c>
      <c r="E38" s="12">
        <f t="shared" si="2"/>
        <v>6.2093428571428585E-4</v>
      </c>
      <c r="F38" s="12">
        <f>E38/Calculation!K$15*1000</f>
        <v>5.5124983538381125E-4</v>
      </c>
      <c r="G38" s="12">
        <f t="shared" si="3"/>
        <v>58.427422484013647</v>
      </c>
    </row>
    <row r="39" spans="1:7">
      <c r="A39" s="12">
        <v>17</v>
      </c>
      <c r="B39" s="76">
        <v>243.43</v>
      </c>
      <c r="C39" s="12">
        <f t="shared" si="0"/>
        <v>0.24343000000000001</v>
      </c>
      <c r="D39" s="12">
        <f t="shared" si="1"/>
        <v>1.7137472000000004E-2</v>
      </c>
      <c r="E39" s="12">
        <f t="shared" si="2"/>
        <v>7.6506571428571455E-4</v>
      </c>
      <c r="F39" s="12">
        <f>E39/Calculation!K$16*1000</f>
        <v>7.051030304952244E-4</v>
      </c>
      <c r="G39" s="12">
        <f t="shared" si="3"/>
        <v>58.446267777001836</v>
      </c>
    </row>
    <row r="40" spans="1:7">
      <c r="A40" s="12">
        <v>17.5</v>
      </c>
      <c r="B40" s="76">
        <v>211.68</v>
      </c>
      <c r="C40" s="12">
        <f t="shared" si="0"/>
        <v>0.21168000000000001</v>
      </c>
      <c r="D40" s="12">
        <f t="shared" si="1"/>
        <v>1.4902272000000001E-2</v>
      </c>
      <c r="E40" s="12">
        <f t="shared" si="2"/>
        <v>6.6528000000000008E-4</v>
      </c>
      <c r="F40" s="12">
        <f>E40/Calculation!K$16*1000</f>
        <v>6.1313810744455927E-4</v>
      </c>
      <c r="G40" s="12">
        <f t="shared" si="3"/>
        <v>58.466041394070935</v>
      </c>
    </row>
    <row r="41" spans="1:7">
      <c r="A41" s="12">
        <v>18</v>
      </c>
      <c r="B41" s="76">
        <v>303.41000000000003</v>
      </c>
      <c r="C41" s="12">
        <f t="shared" si="0"/>
        <v>0.30341000000000001</v>
      </c>
      <c r="D41" s="12">
        <f t="shared" si="1"/>
        <v>2.1360064000000002E-2</v>
      </c>
      <c r="E41" s="12">
        <f t="shared" si="2"/>
        <v>9.5357428571428589E-4</v>
      </c>
      <c r="F41" s="12">
        <f>E41/Calculation!K$17*1000</f>
        <v>9.1446561068983772E-4</v>
      </c>
      <c r="G41" s="12">
        <f t="shared" si="3"/>
        <v>58.488955449842948</v>
      </c>
    </row>
    <row r="42" spans="1:7">
      <c r="A42" s="12">
        <v>18.5</v>
      </c>
      <c r="B42" s="76">
        <v>294</v>
      </c>
      <c r="C42" s="12">
        <f t="shared" si="0"/>
        <v>0.29399999999999998</v>
      </c>
      <c r="D42" s="12">
        <f t="shared" si="1"/>
        <v>2.06976E-2</v>
      </c>
      <c r="E42" s="12">
        <f t="shared" si="2"/>
        <v>9.2400000000000002E-4</v>
      </c>
      <c r="F42" s="12">
        <f>E42/Calculation!K$17*1000</f>
        <v>8.861042468699523E-4</v>
      </c>
      <c r="G42" s="12">
        <f t="shared" si="3"/>
        <v>58.515963997706343</v>
      </c>
    </row>
    <row r="43" spans="1:7">
      <c r="A43" s="12">
        <v>19</v>
      </c>
      <c r="B43" s="76">
        <v>282.24</v>
      </c>
      <c r="C43" s="12">
        <f t="shared" si="0"/>
        <v>0.28223999999999999</v>
      </c>
      <c r="D43" s="12">
        <f t="shared" si="1"/>
        <v>1.9869696000000003E-2</v>
      </c>
      <c r="E43" s="12">
        <f t="shared" si="2"/>
        <v>8.8704000000000018E-4</v>
      </c>
      <c r="F43" s="12">
        <f>E43/Calculation!K$17*1000</f>
        <v>8.5066007699515433E-4</v>
      </c>
      <c r="G43" s="12">
        <f t="shared" si="3"/>
        <v>58.542015462564322</v>
      </c>
    </row>
    <row r="44" spans="1:7">
      <c r="A44" s="12">
        <v>19.5</v>
      </c>
      <c r="B44" s="76">
        <v>310.45999999999998</v>
      </c>
      <c r="C44" s="12">
        <f t="shared" si="0"/>
        <v>0.31045999999999996</v>
      </c>
      <c r="D44" s="12">
        <f t="shared" si="1"/>
        <v>2.1856384E-2</v>
      </c>
      <c r="E44" s="12">
        <f t="shared" si="2"/>
        <v>9.7573142857142864E-4</v>
      </c>
      <c r="F44" s="12">
        <f>E44/Calculation!K$17*1000</f>
        <v>9.3571402885457621E-4</v>
      </c>
      <c r="G44" s="12">
        <f t="shared" si="3"/>
        <v>58.568811074152066</v>
      </c>
    </row>
    <row r="45" spans="1:7">
      <c r="A45" s="12">
        <v>20</v>
      </c>
      <c r="B45" s="76">
        <v>366.91</v>
      </c>
      <c r="C45" s="12">
        <f t="shared" si="0"/>
        <v>0.36691000000000001</v>
      </c>
      <c r="D45" s="12">
        <f t="shared" si="1"/>
        <v>2.5830464000000004E-2</v>
      </c>
      <c r="E45" s="12">
        <f t="shared" si="2"/>
        <v>1.1531457142857145E-3</v>
      </c>
      <c r="F45" s="12">
        <f>E45/Calculation!K$17*1000</f>
        <v>1.1058520721736538E-3</v>
      </c>
      <c r="G45" s="12">
        <f t="shared" si="3"/>
        <v>58.599434565667487</v>
      </c>
    </row>
    <row r="46" spans="1:7">
      <c r="A46" s="12">
        <v>20.5</v>
      </c>
      <c r="B46" s="76">
        <v>428.06</v>
      </c>
      <c r="C46" s="12">
        <f t="shared" si="0"/>
        <v>0.42806</v>
      </c>
      <c r="D46" s="12">
        <f t="shared" si="1"/>
        <v>3.0135424000000004E-2</v>
      </c>
      <c r="E46" s="12">
        <f t="shared" si="2"/>
        <v>1.345331428571429E-3</v>
      </c>
      <c r="F46" s="12">
        <f>E46/Calculation!K$17*1000</f>
        <v>1.2901557276025575E-3</v>
      </c>
      <c r="G46" s="12">
        <f t="shared" si="3"/>
        <v>58.635374682664128</v>
      </c>
    </row>
    <row r="47" spans="1:7">
      <c r="A47" s="12">
        <v>21</v>
      </c>
      <c r="B47" s="76">
        <v>402.19</v>
      </c>
      <c r="C47" s="12">
        <f t="shared" si="0"/>
        <v>0.40218999999999999</v>
      </c>
      <c r="D47" s="12">
        <f t="shared" si="1"/>
        <v>2.8314176E-2</v>
      </c>
      <c r="E47" s="12">
        <f t="shared" si="2"/>
        <v>1.2640257142857143E-3</v>
      </c>
      <c r="F47" s="12">
        <f>E47/Calculation!K$17*1000</f>
        <v>1.2121845817980482E-3</v>
      </c>
      <c r="G47" s="12">
        <f t="shared" si="3"/>
        <v>58.672909787305137</v>
      </c>
    </row>
    <row r="48" spans="1:7">
      <c r="A48" s="12">
        <v>21.5</v>
      </c>
      <c r="B48" s="76">
        <v>509.2</v>
      </c>
      <c r="C48" s="12">
        <f t="shared" si="0"/>
        <v>0.50919999999999999</v>
      </c>
      <c r="D48" s="12">
        <f t="shared" si="1"/>
        <v>3.5847680000000007E-2</v>
      </c>
      <c r="E48" s="12">
        <f t="shared" si="2"/>
        <v>1.6003428571428576E-3</v>
      </c>
      <c r="F48" s="12">
        <f>E48/Calculation!K$17*1000</f>
        <v>1.5347084438985708E-3</v>
      </c>
      <c r="G48" s="12">
        <f t="shared" si="3"/>
        <v>58.714113182690589</v>
      </c>
    </row>
    <row r="49" spans="1:7">
      <c r="A49" s="12">
        <v>22</v>
      </c>
      <c r="B49" s="76">
        <v>502.15</v>
      </c>
      <c r="C49" s="12">
        <f t="shared" si="0"/>
        <v>0.50214999999999999</v>
      </c>
      <c r="D49" s="12">
        <f t="shared" si="1"/>
        <v>3.5351360000000005E-2</v>
      </c>
      <c r="E49" s="12">
        <f t="shared" si="2"/>
        <v>1.5781857142857145E-3</v>
      </c>
      <c r="F49" s="12">
        <f>E49/Calculation!K$17*1000</f>
        <v>1.5134600257338321E-3</v>
      </c>
      <c r="G49" s="12">
        <f t="shared" si="3"/>
        <v>58.759835709735079</v>
      </c>
    </row>
    <row r="50" spans="1:7">
      <c r="A50" s="12">
        <v>22.5</v>
      </c>
      <c r="B50" s="76">
        <v>693.83</v>
      </c>
      <c r="C50" s="12">
        <f t="shared" si="0"/>
        <v>0.69383000000000006</v>
      </c>
      <c r="D50" s="12">
        <f t="shared" si="1"/>
        <v>4.8845632000000014E-2</v>
      </c>
      <c r="E50" s="12">
        <f t="shared" si="2"/>
        <v>2.1806085714285721E-3</v>
      </c>
      <c r="F50" s="12">
        <f>E50/Calculation!K$17*1000</f>
        <v>2.0911758830128545E-3</v>
      </c>
      <c r="G50" s="12">
        <f t="shared" si="3"/>
        <v>58.813905248366282</v>
      </c>
    </row>
    <row r="51" spans="1:7">
      <c r="A51" s="12">
        <v>23</v>
      </c>
      <c r="B51" s="76">
        <v>767.92</v>
      </c>
      <c r="C51" s="12">
        <f t="shared" si="0"/>
        <v>0.76791999999999994</v>
      </c>
      <c r="D51" s="12">
        <f t="shared" si="1"/>
        <v>5.4061568000000004E-2</v>
      </c>
      <c r="E51" s="12">
        <f t="shared" si="2"/>
        <v>2.4134628571428575E-3</v>
      </c>
      <c r="F51" s="12">
        <f>E51/Calculation!K$17*1000</f>
        <v>2.3144801811441286E-3</v>
      </c>
      <c r="G51" s="12">
        <f t="shared" si="3"/>
        <v>58.879990089328636</v>
      </c>
    </row>
    <row r="52" spans="1:7">
      <c r="A52" s="12">
        <v>23.5</v>
      </c>
      <c r="B52" s="76">
        <v>910.22</v>
      </c>
      <c r="C52" s="12">
        <f t="shared" si="0"/>
        <v>0.91022000000000003</v>
      </c>
      <c r="D52" s="12">
        <f t="shared" si="1"/>
        <v>6.4079488000000004E-2</v>
      </c>
      <c r="E52" s="12">
        <f t="shared" si="2"/>
        <v>2.8606914285714291E-3</v>
      </c>
      <c r="F52" s="12">
        <f>E52/Calculation!K$17*1000</f>
        <v>2.7433666924692791E-3</v>
      </c>
      <c r="G52" s="12">
        <f t="shared" si="3"/>
        <v>58.955857792432838</v>
      </c>
    </row>
    <row r="53" spans="1:7">
      <c r="A53" s="12">
        <v>24</v>
      </c>
      <c r="B53" s="76">
        <v>1303</v>
      </c>
      <c r="C53" s="12">
        <f t="shared" si="0"/>
        <v>1.3029999999999999</v>
      </c>
      <c r="D53" s="12">
        <f t="shared" si="1"/>
        <v>9.1731199999999999E-2</v>
      </c>
      <c r="E53" s="12">
        <f t="shared" si="2"/>
        <v>4.0951428571428571E-3</v>
      </c>
      <c r="F53" s="12">
        <f>E53/Calculation!K$18*1000</f>
        <v>4.1159615272549997E-3</v>
      </c>
      <c r="G53" s="12">
        <f t="shared" si="3"/>
        <v>59.0587477157287</v>
      </c>
    </row>
    <row r="54" spans="1:7">
      <c r="A54" s="12">
        <v>24.5</v>
      </c>
      <c r="B54" s="76">
        <v>1180.69</v>
      </c>
      <c r="C54" s="12">
        <f t="shared" si="0"/>
        <v>1.18069</v>
      </c>
      <c r="D54" s="12">
        <f t="shared" si="1"/>
        <v>8.3120576000000015E-2</v>
      </c>
      <c r="E54" s="12">
        <f t="shared" si="2"/>
        <v>3.710740000000001E-3</v>
      </c>
      <c r="F54" s="12">
        <f>E54/Calculation!K$18*1000</f>
        <v>3.7296044632499671E-3</v>
      </c>
      <c r="G54" s="12">
        <f t="shared" si="3"/>
        <v>59.176431205586276</v>
      </c>
    </row>
    <row r="55" spans="1:7">
      <c r="A55" s="12">
        <v>25</v>
      </c>
      <c r="B55" s="76">
        <v>1375.91</v>
      </c>
      <c r="C55" s="12">
        <f t="shared" si="0"/>
        <v>1.3759100000000002</v>
      </c>
      <c r="D55" s="12">
        <f t="shared" si="1"/>
        <v>9.6864064000000014E-2</v>
      </c>
      <c r="E55" s="12">
        <f t="shared" si="2"/>
        <v>4.3242885714285719E-3</v>
      </c>
      <c r="F55" s="12">
        <f>E55/Calculation!K$18*1000</f>
        <v>4.346272160372546E-3</v>
      </c>
      <c r="G55" s="12">
        <f t="shared" si="3"/>
        <v>59.297569354940613</v>
      </c>
    </row>
    <row r="56" spans="1:7">
      <c r="A56" s="12">
        <v>25.5</v>
      </c>
      <c r="B56" s="76">
        <v>1464.11</v>
      </c>
      <c r="C56" s="12">
        <f t="shared" si="0"/>
        <v>1.4641099999999998</v>
      </c>
      <c r="D56" s="12">
        <f t="shared" si="1"/>
        <v>0.103073344</v>
      </c>
      <c r="E56" s="12">
        <f t="shared" si="2"/>
        <v>4.6014885714285719E-3</v>
      </c>
      <c r="F56" s="12">
        <f>E56/Calculation!K$18*1000</f>
        <v>4.6248813750340125E-3</v>
      </c>
      <c r="G56" s="12">
        <f t="shared" si="3"/>
        <v>59.432136657971711</v>
      </c>
    </row>
    <row r="57" spans="1:7">
      <c r="A57" s="12">
        <v>26</v>
      </c>
      <c r="B57" s="76">
        <v>1467.63</v>
      </c>
      <c r="C57" s="12">
        <f t="shared" si="0"/>
        <v>1.4676300000000002</v>
      </c>
      <c r="D57" s="12">
        <f t="shared" si="1"/>
        <v>0.10332115200000001</v>
      </c>
      <c r="E57" s="12">
        <f t="shared" si="2"/>
        <v>4.6125514285714295E-3</v>
      </c>
      <c r="F57" s="12">
        <f>E57/Calculation!K$18*1000</f>
        <v>4.6360004729434053E-3</v>
      </c>
      <c r="G57" s="12">
        <f t="shared" si="3"/>
        <v>59.571049885691373</v>
      </c>
    </row>
    <row r="58" spans="1:7">
      <c r="A58" s="12">
        <v>26.5</v>
      </c>
      <c r="B58" s="76">
        <v>1531.14</v>
      </c>
      <c r="C58" s="12">
        <f t="shared" si="0"/>
        <v>1.5311400000000002</v>
      </c>
      <c r="D58" s="12">
        <f t="shared" si="1"/>
        <v>0.10779225600000002</v>
      </c>
      <c r="E58" s="12">
        <f t="shared" si="2"/>
        <v>4.8121542857142863E-3</v>
      </c>
      <c r="F58" s="12">
        <f>E58/Calculation!K$18*1000</f>
        <v>4.836618060507461E-3</v>
      </c>
      <c r="G58" s="12">
        <f t="shared" si="3"/>
        <v>59.713139163693135</v>
      </c>
    </row>
    <row r="59" spans="1:7">
      <c r="A59" s="12">
        <v>27</v>
      </c>
      <c r="B59" s="76">
        <v>1641.68</v>
      </c>
      <c r="C59" s="12">
        <f t="shared" si="0"/>
        <v>1.64168</v>
      </c>
      <c r="D59" s="12">
        <f t="shared" si="1"/>
        <v>0.11557427200000001</v>
      </c>
      <c r="E59" s="12">
        <f t="shared" si="2"/>
        <v>5.1595657142857153E-3</v>
      </c>
      <c r="F59" s="12">
        <f>E59/Calculation!K$18*1000</f>
        <v>5.1857956408779661E-3</v>
      </c>
      <c r="G59" s="12">
        <f t="shared" si="3"/>
        <v>59.863475369213916</v>
      </c>
    </row>
    <row r="60" spans="1:7">
      <c r="A60" s="12">
        <v>27.5</v>
      </c>
      <c r="B60" s="76">
        <v>1066.6199999999999</v>
      </c>
      <c r="C60" s="12">
        <f t="shared" si="0"/>
        <v>1.0666199999999999</v>
      </c>
      <c r="D60" s="12">
        <f t="shared" si="1"/>
        <v>7.5090047999999993E-2</v>
      </c>
      <c r="E60" s="12">
        <f t="shared" si="2"/>
        <v>3.3522342857142855E-3</v>
      </c>
      <c r="F60" s="12">
        <f>E60/Calculation!K$18*1000</f>
        <v>3.3692761966237356E-3</v>
      </c>
      <c r="G60" s="12">
        <f t="shared" si="3"/>
        <v>59.991801446776442</v>
      </c>
    </row>
    <row r="61" spans="1:7">
      <c r="A61" s="12">
        <v>28</v>
      </c>
      <c r="B61" s="76">
        <v>1125.42</v>
      </c>
      <c r="C61" s="12">
        <f t="shared" si="0"/>
        <v>1.1254200000000001</v>
      </c>
      <c r="D61" s="12">
        <f t="shared" si="1"/>
        <v>7.9229568000000014E-2</v>
      </c>
      <c r="E61" s="12">
        <f t="shared" si="2"/>
        <v>3.5370342857142865E-3</v>
      </c>
      <c r="F61" s="12">
        <f>E61/Calculation!K$18*1000</f>
        <v>3.5550156730647146E-3</v>
      </c>
      <c r="G61" s="12">
        <f t="shared" si="3"/>
        <v>60.095665824821772</v>
      </c>
    </row>
    <row r="62" spans="1:7">
      <c r="A62" s="12">
        <v>28.5</v>
      </c>
      <c r="B62" s="76">
        <v>898.46</v>
      </c>
      <c r="C62" s="12">
        <f t="shared" si="0"/>
        <v>0.89846000000000004</v>
      </c>
      <c r="D62" s="12">
        <f t="shared" si="1"/>
        <v>6.3251584E-2</v>
      </c>
      <c r="E62" s="12">
        <f t="shared" si="2"/>
        <v>2.8237314285714287E-3</v>
      </c>
      <c r="F62" s="12">
        <f>E62/Calculation!K$18*1000</f>
        <v>2.8380865646796065E-3</v>
      </c>
      <c r="G62" s="12">
        <f t="shared" si="3"/>
        <v>60.191562358387934</v>
      </c>
    </row>
    <row r="63" spans="1:7">
      <c r="A63" s="12">
        <v>29</v>
      </c>
      <c r="B63" s="76">
        <v>739.7</v>
      </c>
      <c r="C63" s="12">
        <f t="shared" si="0"/>
        <v>0.73970000000000002</v>
      </c>
      <c r="D63" s="12">
        <f t="shared" si="1"/>
        <v>5.2074880000000004E-2</v>
      </c>
      <c r="E63" s="12">
        <f t="shared" si="2"/>
        <v>2.324771428571429E-3</v>
      </c>
      <c r="F63" s="12">
        <f>E63/Calculation!K$18*1000</f>
        <v>2.3365899782889672E-3</v>
      </c>
      <c r="G63" s="12">
        <f t="shared" si="3"/>
        <v>60.269182506532459</v>
      </c>
    </row>
    <row r="64" spans="1:7">
      <c r="A64" s="12">
        <v>29.5</v>
      </c>
      <c r="B64" s="76">
        <v>605.63</v>
      </c>
      <c r="C64" s="12">
        <f t="shared" si="0"/>
        <v>0.60563</v>
      </c>
      <c r="D64" s="12">
        <f t="shared" si="1"/>
        <v>4.2636352000000002E-2</v>
      </c>
      <c r="E64" s="12">
        <f t="shared" si="2"/>
        <v>1.9034085714285717E-3</v>
      </c>
      <c r="F64" s="12">
        <f>E64/Calculation!K$18*1000</f>
        <v>1.9130850189957376E-3</v>
      </c>
      <c r="G64" s="12">
        <f t="shared" si="3"/>
        <v>60.332927631491728</v>
      </c>
    </row>
    <row r="65" spans="1:7">
      <c r="A65" s="12">
        <v>30</v>
      </c>
      <c r="B65" s="76">
        <v>566.83000000000004</v>
      </c>
      <c r="C65" s="12">
        <f t="shared" si="0"/>
        <v>0.56683000000000006</v>
      </c>
      <c r="D65" s="12">
        <f t="shared" si="1"/>
        <v>3.9904832000000008E-2</v>
      </c>
      <c r="E65" s="12">
        <f t="shared" si="2"/>
        <v>1.7814657142857149E-3</v>
      </c>
      <c r="F65" s="12">
        <f>E65/Calculation!K$19*1000</f>
        <v>1.8735148832054111E-3</v>
      </c>
      <c r="G65" s="12">
        <f t="shared" si="3"/>
        <v>60.389726630024747</v>
      </c>
    </row>
    <row r="66" spans="1:7">
      <c r="A66" s="12">
        <v>30.5</v>
      </c>
      <c r="B66" s="76">
        <v>476.28</v>
      </c>
      <c r="C66" s="12">
        <f t="shared" si="0"/>
        <v>0.47627999999999998</v>
      </c>
      <c r="D66" s="12">
        <f t="shared" si="1"/>
        <v>3.3530112000000001E-2</v>
      </c>
      <c r="E66" s="12">
        <f t="shared" si="2"/>
        <v>1.4968800000000001E-3</v>
      </c>
      <c r="F66" s="12">
        <f>E66/Calculation!K$19*1000</f>
        <v>1.5742244915990208E-3</v>
      </c>
      <c r="G66" s="12">
        <f t="shared" si="3"/>
        <v>60.441442720646812</v>
      </c>
    </row>
    <row r="67" spans="1:7">
      <c r="A67" s="12">
        <v>31</v>
      </c>
      <c r="B67" s="76">
        <v>468.04</v>
      </c>
      <c r="C67" s="12">
        <f t="shared" si="0"/>
        <v>0.46804000000000001</v>
      </c>
      <c r="D67" s="12">
        <f t="shared" si="1"/>
        <v>3.2950016000000006E-2</v>
      </c>
      <c r="E67" s="12">
        <f t="shared" si="2"/>
        <v>1.4709828571428576E-3</v>
      </c>
      <c r="F67" s="12">
        <f>E67/Calculation!K$19*1000</f>
        <v>1.546989231225342E-3</v>
      </c>
      <c r="G67" s="12">
        <f t="shared" si="3"/>
        <v>60.488260926489176</v>
      </c>
    </row>
    <row r="68" spans="1:7">
      <c r="A68" s="12">
        <v>31.5</v>
      </c>
      <c r="B68" s="76">
        <v>476.28</v>
      </c>
      <c r="C68" s="12">
        <f t="shared" si="0"/>
        <v>0.47627999999999998</v>
      </c>
      <c r="D68" s="12">
        <f t="shared" si="1"/>
        <v>3.3530112000000001E-2</v>
      </c>
      <c r="E68" s="12">
        <f t="shared" si="2"/>
        <v>1.4968800000000001E-3</v>
      </c>
      <c r="F68" s="12">
        <f>E68/Calculation!K$19*1000</f>
        <v>1.5742244915990208E-3</v>
      </c>
      <c r="G68" s="12">
        <f t="shared" si="3"/>
        <v>60.535079132331539</v>
      </c>
    </row>
    <row r="69" spans="1:7">
      <c r="A69" s="12">
        <v>32</v>
      </c>
      <c r="B69" s="76">
        <v>396.31</v>
      </c>
      <c r="C69" s="12">
        <f t="shared" si="0"/>
        <v>0.39631</v>
      </c>
      <c r="D69" s="12">
        <f t="shared" si="1"/>
        <v>2.7900224000000001E-2</v>
      </c>
      <c r="E69" s="12">
        <f t="shared" si="2"/>
        <v>1.2455457142857144E-3</v>
      </c>
      <c r="F69" s="12">
        <f>E69/Calculation!K$19*1000</f>
        <v>1.3099036454724277E-3</v>
      </c>
      <c r="G69" s="12">
        <f t="shared" si="3"/>
        <v>60.578341054387614</v>
      </c>
    </row>
    <row r="70" spans="1:7">
      <c r="A70" s="12">
        <v>32.5</v>
      </c>
      <c r="B70" s="76">
        <v>345.74</v>
      </c>
      <c r="C70" s="12">
        <f t="shared" ref="C70:C101" si="4">B70/1000</f>
        <v>0.34573999999999999</v>
      </c>
      <c r="D70" s="12">
        <f t="shared" ref="D70:D101" si="5">C70/1000*$B$1</f>
        <v>2.4340096000000002E-2</v>
      </c>
      <c r="E70" s="12">
        <f t="shared" ref="E70:E101" si="6">D70/22.4</f>
        <v>1.0866114285714287E-3</v>
      </c>
      <c r="F70" s="12">
        <f>E70/Calculation!K$19*1000</f>
        <v>1.1427571506791078E-3</v>
      </c>
      <c r="G70" s="12">
        <f t="shared" si="3"/>
        <v>60.615130966329886</v>
      </c>
    </row>
    <row r="71" spans="1:7">
      <c r="A71" s="12">
        <v>33</v>
      </c>
      <c r="B71" s="76">
        <v>0</v>
      </c>
      <c r="C71" s="12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E71/Calculation!K$19*1000</f>
        <v>0</v>
      </c>
      <c r="G71" s="12">
        <f t="shared" ref="G71:G101" si="7">G70+(F71+F70)/2*30</f>
        <v>60.632272323590072</v>
      </c>
    </row>
    <row r="72" spans="1:7">
      <c r="A72" s="12">
        <v>33.5</v>
      </c>
      <c r="B72" s="76">
        <v>358.68</v>
      </c>
      <c r="C72" s="12">
        <f t="shared" si="4"/>
        <v>0.35868</v>
      </c>
      <c r="D72" s="12">
        <f t="shared" si="5"/>
        <v>2.5251072000000003E-2</v>
      </c>
      <c r="E72" s="12">
        <f t="shared" si="6"/>
        <v>1.1272800000000003E-3</v>
      </c>
      <c r="F72" s="12">
        <f>E72/Calculation!K$19*1000</f>
        <v>1.1855270862659293E-3</v>
      </c>
      <c r="G72" s="12">
        <f t="shared" si="7"/>
        <v>60.65005522988406</v>
      </c>
    </row>
    <row r="73" spans="1:7">
      <c r="A73" s="12">
        <v>34</v>
      </c>
      <c r="B73" s="76">
        <v>350.44</v>
      </c>
      <c r="C73" s="12">
        <f t="shared" si="4"/>
        <v>0.35043999999999997</v>
      </c>
      <c r="D73" s="12">
        <f t="shared" si="5"/>
        <v>2.4670976000000001E-2</v>
      </c>
      <c r="E73" s="12">
        <f t="shared" si="6"/>
        <v>1.1013828571428573E-3</v>
      </c>
      <c r="F73" s="12">
        <f>E73/Calculation!K$19*1000</f>
        <v>1.1582918258922501E-3</v>
      </c>
      <c r="G73" s="12">
        <f t="shared" si="7"/>
        <v>60.685212513566434</v>
      </c>
    </row>
    <row r="74" spans="1:7">
      <c r="A74" s="12">
        <v>34.5</v>
      </c>
      <c r="B74" s="76">
        <v>321.05</v>
      </c>
      <c r="C74" s="12">
        <f t="shared" si="4"/>
        <v>0.32105</v>
      </c>
      <c r="D74" s="12">
        <f t="shared" si="5"/>
        <v>2.2601920000000005E-2</v>
      </c>
      <c r="E74" s="12">
        <f t="shared" si="6"/>
        <v>1.0090142857142859E-3</v>
      </c>
      <c r="F74" s="12">
        <f>E74/Calculation!K$19*1000</f>
        <v>1.0611505270594307E-3</v>
      </c>
      <c r="G74" s="12">
        <f t="shared" si="7"/>
        <v>60.71850414886071</v>
      </c>
    </row>
    <row r="75" spans="1:7">
      <c r="A75" s="12">
        <v>35</v>
      </c>
      <c r="B75" s="76">
        <v>365.73</v>
      </c>
      <c r="C75" s="12">
        <f t="shared" si="4"/>
        <v>0.36573</v>
      </c>
      <c r="D75" s="12">
        <f t="shared" si="5"/>
        <v>2.5747392000000001E-2</v>
      </c>
      <c r="E75" s="12">
        <f t="shared" si="6"/>
        <v>1.1494371428571429E-3</v>
      </c>
      <c r="F75" s="12">
        <f>E75/Calculation!K$19*1000</f>
        <v>1.2088290990856425E-3</v>
      </c>
      <c r="G75" s="12">
        <f t="shared" si="7"/>
        <v>60.752553843252883</v>
      </c>
    </row>
    <row r="76" spans="1:7">
      <c r="A76" s="12">
        <v>35.5</v>
      </c>
      <c r="B76" s="76">
        <v>295.17</v>
      </c>
      <c r="C76" s="12">
        <f t="shared" si="4"/>
        <v>0.29517000000000004</v>
      </c>
      <c r="D76" s="12">
        <f t="shared" si="5"/>
        <v>2.0779968000000003E-2</v>
      </c>
      <c r="E76" s="12">
        <f t="shared" si="6"/>
        <v>9.2767714285714301E-4</v>
      </c>
      <c r="F76" s="12">
        <f>E76/Calculation!K$19*1000</f>
        <v>9.7561065588578765E-4</v>
      </c>
      <c r="G76" s="12">
        <f t="shared" si="7"/>
        <v>60.785320439577454</v>
      </c>
    </row>
    <row r="77" spans="1:7">
      <c r="A77" s="12">
        <v>36</v>
      </c>
      <c r="B77" s="76">
        <v>236.37</v>
      </c>
      <c r="C77" s="12">
        <f t="shared" si="4"/>
        <v>0.23637</v>
      </c>
      <c r="D77" s="12">
        <f t="shared" si="5"/>
        <v>1.6640448000000002E-2</v>
      </c>
      <c r="E77" s="12">
        <f t="shared" si="6"/>
        <v>7.4287714285714297E-4</v>
      </c>
      <c r="F77" s="12">
        <f>E77/Calculation!K$19*1000</f>
        <v>7.8126195321924193E-4</v>
      </c>
      <c r="G77" s="12">
        <f t="shared" si="7"/>
        <v>60.811673528714032</v>
      </c>
    </row>
    <row r="78" spans="1:7">
      <c r="A78" s="12">
        <v>36.5</v>
      </c>
      <c r="B78" s="76">
        <v>236.37</v>
      </c>
      <c r="C78" s="12">
        <f t="shared" si="4"/>
        <v>0.23637</v>
      </c>
      <c r="D78" s="12">
        <f t="shared" si="5"/>
        <v>1.6640448000000002E-2</v>
      </c>
      <c r="E78" s="12">
        <f t="shared" si="6"/>
        <v>7.4287714285714297E-4</v>
      </c>
      <c r="F78" s="12">
        <f>E78/Calculation!K$19*1000</f>
        <v>7.8126195321924193E-4</v>
      </c>
      <c r="G78" s="12">
        <f t="shared" si="7"/>
        <v>60.835111387310612</v>
      </c>
    </row>
    <row r="79" spans="1:7">
      <c r="A79" s="12">
        <v>37</v>
      </c>
      <c r="B79" s="76">
        <v>348.09</v>
      </c>
      <c r="C79" s="12">
        <f t="shared" si="4"/>
        <v>0.34808999999999996</v>
      </c>
      <c r="D79" s="12">
        <f t="shared" si="5"/>
        <v>2.4505535999999998E-2</v>
      </c>
      <c r="E79" s="12">
        <f t="shared" si="6"/>
        <v>1.0939971428571428E-3</v>
      </c>
      <c r="F79" s="12">
        <f>E79/Calculation!K$19*1000</f>
        <v>1.1505244882856788E-3</v>
      </c>
      <c r="G79" s="12">
        <f t="shared" si="7"/>
        <v>60.864088183933184</v>
      </c>
    </row>
    <row r="80" spans="1:7">
      <c r="A80" s="12">
        <v>37.5</v>
      </c>
      <c r="B80" s="76">
        <v>284.58999999999997</v>
      </c>
      <c r="C80" s="12">
        <f t="shared" si="4"/>
        <v>0.28458999999999995</v>
      </c>
      <c r="D80" s="12">
        <f t="shared" si="5"/>
        <v>2.0035135999999995E-2</v>
      </c>
      <c r="E80" s="12">
        <f t="shared" si="6"/>
        <v>8.9442571428571414E-4</v>
      </c>
      <c r="F80" s="12">
        <f>E80/Calculation!K$19*1000</f>
        <v>9.4064111040599065E-4</v>
      </c>
      <c r="G80" s="12">
        <f t="shared" si="7"/>
        <v>60.895455667913559</v>
      </c>
    </row>
    <row r="81" spans="1:7">
      <c r="A81" s="12">
        <v>38</v>
      </c>
      <c r="B81" s="76">
        <v>195.21</v>
      </c>
      <c r="C81" s="12">
        <f t="shared" si="4"/>
        <v>0.19520999999999999</v>
      </c>
      <c r="D81" s="12">
        <f t="shared" si="5"/>
        <v>1.3742784000000001E-2</v>
      </c>
      <c r="E81" s="12">
        <f t="shared" si="6"/>
        <v>6.1351714285714295E-4</v>
      </c>
      <c r="F81" s="12">
        <f>E81/Calculation!K$19*1000</f>
        <v>6.4521786135265989E-4</v>
      </c>
      <c r="G81" s="12">
        <f t="shared" si="7"/>
        <v>60.919243552489938</v>
      </c>
    </row>
    <row r="82" spans="1:7">
      <c r="A82" s="12">
        <v>38.5</v>
      </c>
      <c r="B82" s="76">
        <v>230.49</v>
      </c>
      <c r="C82" s="12">
        <f t="shared" si="4"/>
        <v>0.23049</v>
      </c>
      <c r="D82" s="12">
        <f t="shared" si="5"/>
        <v>1.6226496E-2</v>
      </c>
      <c r="E82" s="12">
        <f t="shared" si="6"/>
        <v>7.2439714285714289E-4</v>
      </c>
      <c r="F82" s="12">
        <f>E82/Calculation!K$19*1000</f>
        <v>7.6182708295258726E-4</v>
      </c>
      <c r="G82" s="12">
        <f t="shared" si="7"/>
        <v>60.940349226654519</v>
      </c>
    </row>
    <row r="83" spans="1:7">
      <c r="A83" s="12">
        <v>39</v>
      </c>
      <c r="B83" s="76">
        <v>282.24</v>
      </c>
      <c r="C83" s="12">
        <f t="shared" si="4"/>
        <v>0.28223999999999999</v>
      </c>
      <c r="D83" s="12">
        <f t="shared" si="5"/>
        <v>1.9869696000000003E-2</v>
      </c>
      <c r="E83" s="12">
        <f t="shared" si="6"/>
        <v>8.8704000000000018E-4</v>
      </c>
      <c r="F83" s="12">
        <f>E83/Calculation!K$19*1000</f>
        <v>9.3287377279941981E-4</v>
      </c>
      <c r="G83" s="12">
        <f t="shared" si="7"/>
        <v>60.965769739490796</v>
      </c>
    </row>
    <row r="84" spans="1:7">
      <c r="A84" s="12">
        <v>39.5</v>
      </c>
      <c r="B84" s="76">
        <v>321.05</v>
      </c>
      <c r="C84" s="12">
        <f t="shared" si="4"/>
        <v>0.32105</v>
      </c>
      <c r="D84" s="12">
        <f t="shared" si="5"/>
        <v>2.2601920000000005E-2</v>
      </c>
      <c r="E84" s="12">
        <f t="shared" si="6"/>
        <v>1.0090142857142859E-3</v>
      </c>
      <c r="F84" s="12">
        <f>E84/Calculation!K$19*1000</f>
        <v>1.0611505270594307E-3</v>
      </c>
      <c r="G84" s="12">
        <f t="shared" si="7"/>
        <v>60.995680103988676</v>
      </c>
    </row>
    <row r="85" spans="1:7">
      <c r="A85" s="12">
        <v>40</v>
      </c>
      <c r="B85" s="76">
        <v>251.66</v>
      </c>
      <c r="C85" s="12">
        <f t="shared" si="4"/>
        <v>0.25165999999999999</v>
      </c>
      <c r="D85" s="12">
        <f t="shared" si="5"/>
        <v>1.7716864000000002E-2</v>
      </c>
      <c r="E85" s="12">
        <f t="shared" si="6"/>
        <v>7.9093142857142871E-4</v>
      </c>
      <c r="F85" s="12">
        <f>E85/Calculation!K$19*1000</f>
        <v>8.3179922641263455E-4</v>
      </c>
      <c r="G85" s="12">
        <f t="shared" si="7"/>
        <v>61.024074350290753</v>
      </c>
    </row>
    <row r="86" spans="1:7">
      <c r="A86" s="12">
        <v>40.5</v>
      </c>
      <c r="B86" s="76">
        <v>312.81</v>
      </c>
      <c r="C86" s="12">
        <f t="shared" si="4"/>
        <v>0.31280999999999998</v>
      </c>
      <c r="D86" s="12">
        <f t="shared" si="5"/>
        <v>2.2021823999999999E-2</v>
      </c>
      <c r="E86" s="12">
        <f t="shared" si="6"/>
        <v>9.8311714285714293E-4</v>
      </c>
      <c r="F86" s="12">
        <f>E86/Calculation!K$19*1000</f>
        <v>1.0339152666857514E-3</v>
      </c>
      <c r="G86" s="12">
        <f t="shared" si="7"/>
        <v>61.052060067687229</v>
      </c>
    </row>
    <row r="87" spans="1:7">
      <c r="A87" s="12">
        <v>41</v>
      </c>
      <c r="B87" s="76">
        <v>263.42</v>
      </c>
      <c r="C87" s="12">
        <f t="shared" si="4"/>
        <v>0.26342000000000004</v>
      </c>
      <c r="D87" s="12">
        <f t="shared" si="5"/>
        <v>1.8544768000000007E-2</v>
      </c>
      <c r="E87" s="12">
        <f t="shared" si="6"/>
        <v>8.2789142857142887E-4</v>
      </c>
      <c r="F87" s="12">
        <f>E87/Calculation!K$19*1000</f>
        <v>8.7066896694594389E-4</v>
      </c>
      <c r="G87" s="12">
        <f t="shared" si="7"/>
        <v>61.080628831191703</v>
      </c>
    </row>
    <row r="88" spans="1:7">
      <c r="A88" s="12">
        <v>41.5</v>
      </c>
      <c r="B88" s="76">
        <v>282.24</v>
      </c>
      <c r="C88" s="12">
        <f t="shared" si="4"/>
        <v>0.28223999999999999</v>
      </c>
      <c r="D88" s="12">
        <f t="shared" si="5"/>
        <v>1.9869696000000003E-2</v>
      </c>
      <c r="E88" s="12">
        <f t="shared" si="6"/>
        <v>8.8704000000000018E-4</v>
      </c>
      <c r="F88" s="12">
        <f>E88/Calculation!K$19*1000</f>
        <v>9.3287377279941981E-4</v>
      </c>
      <c r="G88" s="12">
        <f t="shared" si="7"/>
        <v>61.107681972287885</v>
      </c>
    </row>
    <row r="89" spans="1:7">
      <c r="A89" s="12">
        <v>42</v>
      </c>
      <c r="B89" s="76">
        <v>297.52999999999997</v>
      </c>
      <c r="C89" s="12">
        <f t="shared" si="4"/>
        <v>0.29752999999999996</v>
      </c>
      <c r="D89" s="12">
        <f t="shared" si="5"/>
        <v>2.0946111999999999E-2</v>
      </c>
      <c r="E89" s="12">
        <f t="shared" si="6"/>
        <v>9.350942857142857E-4</v>
      </c>
      <c r="F89" s="12">
        <f>E89/Calculation!K$19*1000</f>
        <v>9.83411045992812E-4</v>
      </c>
      <c r="G89" s="12">
        <f t="shared" si="7"/>
        <v>61.136426244569769</v>
      </c>
    </row>
    <row r="90" spans="1:7">
      <c r="A90" s="12">
        <v>42.5</v>
      </c>
      <c r="B90" s="76">
        <v>272.83</v>
      </c>
      <c r="C90" s="12">
        <f t="shared" si="4"/>
        <v>0.27282999999999996</v>
      </c>
      <c r="D90" s="12">
        <f t="shared" si="5"/>
        <v>1.9207231999999998E-2</v>
      </c>
      <c r="E90" s="12">
        <f t="shared" si="6"/>
        <v>8.574657142857142E-4</v>
      </c>
      <c r="F90" s="12">
        <f>E90/Calculation!K$19*1000</f>
        <v>9.0177136987268152E-4</v>
      </c>
      <c r="G90" s="12">
        <f t="shared" si="7"/>
        <v>61.164703980807751</v>
      </c>
    </row>
    <row r="91" spans="1:7">
      <c r="A91" s="12">
        <v>43</v>
      </c>
      <c r="B91" s="76">
        <v>329.28</v>
      </c>
      <c r="C91" s="12">
        <f t="shared" si="4"/>
        <v>0.32927999999999996</v>
      </c>
      <c r="D91" s="12">
        <f t="shared" si="5"/>
        <v>2.3181311999999999E-2</v>
      </c>
      <c r="E91" s="12">
        <f t="shared" si="6"/>
        <v>1.03488E-3</v>
      </c>
      <c r="F91" s="12">
        <f>E91/Calculation!K$19*1000</f>
        <v>1.0883527349326563E-3</v>
      </c>
      <c r="G91" s="12">
        <f t="shared" si="7"/>
        <v>61.194555842379827</v>
      </c>
    </row>
    <row r="92" spans="1:7">
      <c r="A92" s="12">
        <v>43.5</v>
      </c>
      <c r="B92" s="76">
        <v>252.84</v>
      </c>
      <c r="C92" s="12">
        <f t="shared" si="4"/>
        <v>0.25284000000000001</v>
      </c>
      <c r="D92" s="12">
        <f t="shared" si="5"/>
        <v>1.7799936000000002E-2</v>
      </c>
      <c r="E92" s="12">
        <f t="shared" si="6"/>
        <v>7.946400000000001E-4</v>
      </c>
      <c r="F92" s="12">
        <f>E92/Calculation!K$19*1000</f>
        <v>8.3569942146614678E-4</v>
      </c>
      <c r="G92" s="12">
        <f t="shared" si="7"/>
        <v>61.223416624725807</v>
      </c>
    </row>
    <row r="93" spans="1:7">
      <c r="A93" s="12">
        <v>44</v>
      </c>
      <c r="B93" s="76">
        <v>263.42</v>
      </c>
      <c r="C93" s="12">
        <f t="shared" si="4"/>
        <v>0.26342000000000004</v>
      </c>
      <c r="D93" s="12">
        <f t="shared" si="5"/>
        <v>1.8544768000000007E-2</v>
      </c>
      <c r="E93" s="12">
        <f t="shared" si="6"/>
        <v>8.2789142857142887E-4</v>
      </c>
      <c r="F93" s="12">
        <f>E93/Calculation!K$19*1000</f>
        <v>8.7066896694594389E-4</v>
      </c>
      <c r="G93" s="12">
        <f t="shared" si="7"/>
        <v>61.249012150551991</v>
      </c>
    </row>
    <row r="94" spans="1:7">
      <c r="A94" s="12">
        <v>44.5</v>
      </c>
      <c r="B94" s="76">
        <v>198.74</v>
      </c>
      <c r="C94" s="12">
        <f t="shared" si="4"/>
        <v>0.19874</v>
      </c>
      <c r="D94" s="12">
        <f t="shared" si="5"/>
        <v>1.3991296000000002E-2</v>
      </c>
      <c r="E94" s="12">
        <f t="shared" si="6"/>
        <v>6.2461142857142874E-4</v>
      </c>
      <c r="F94" s="12">
        <f>E94/Calculation!K$19*1000</f>
        <v>6.5688539401274339E-4</v>
      </c>
      <c r="G94" s="12">
        <f t="shared" si="7"/>
        <v>61.271925465966369</v>
      </c>
    </row>
    <row r="95" spans="1:7">
      <c r="A95" s="12">
        <v>45</v>
      </c>
      <c r="B95" s="76">
        <v>224.61</v>
      </c>
      <c r="C95" s="12">
        <f t="shared" si="4"/>
        <v>0.22461</v>
      </c>
      <c r="D95" s="12">
        <f t="shared" si="5"/>
        <v>1.5812544000000001E-2</v>
      </c>
      <c r="E95" s="12">
        <f t="shared" si="6"/>
        <v>7.0591714285714291E-4</v>
      </c>
      <c r="F95" s="12">
        <f>E95/Calculation!K$19*1000</f>
        <v>7.423922126859327E-4</v>
      </c>
      <c r="G95" s="12">
        <f t="shared" si="7"/>
        <v>61.292914630066846</v>
      </c>
    </row>
    <row r="96" spans="1:7">
      <c r="A96" s="12">
        <v>45.5</v>
      </c>
      <c r="B96" s="76">
        <v>221.09</v>
      </c>
      <c r="C96" s="12">
        <f t="shared" si="4"/>
        <v>0.22109000000000001</v>
      </c>
      <c r="D96" s="12">
        <f t="shared" si="5"/>
        <v>1.5564736000000003E-2</v>
      </c>
      <c r="E96" s="12">
        <f t="shared" si="6"/>
        <v>6.9485428571428585E-4</v>
      </c>
      <c r="F96" s="12">
        <f>E96/Calculation!K$19*1000</f>
        <v>7.3075773252630292E-4</v>
      </c>
      <c r="G96" s="12">
        <f t="shared" si="7"/>
        <v>61.315011879245027</v>
      </c>
    </row>
    <row r="97" spans="1:7">
      <c r="A97" s="12">
        <v>46</v>
      </c>
      <c r="B97" s="76">
        <v>271.64999999999998</v>
      </c>
      <c r="C97" s="12">
        <f t="shared" si="4"/>
        <v>0.27165</v>
      </c>
      <c r="D97" s="12">
        <f t="shared" si="5"/>
        <v>1.9124160000000001E-2</v>
      </c>
      <c r="E97" s="12">
        <f t="shared" si="6"/>
        <v>8.5375714285714291E-4</v>
      </c>
      <c r="F97" s="12">
        <f>E97/Calculation!K$19*1000</f>
        <v>8.978711748191693E-4</v>
      </c>
      <c r="G97" s="12">
        <f t="shared" si="7"/>
        <v>61.339441312855207</v>
      </c>
    </row>
    <row r="98" spans="1:7">
      <c r="A98" s="12">
        <v>46.5</v>
      </c>
      <c r="B98" s="76">
        <v>315.17</v>
      </c>
      <c r="C98" s="12">
        <f t="shared" si="4"/>
        <v>0.31517000000000001</v>
      </c>
      <c r="D98" s="12">
        <f t="shared" si="5"/>
        <v>2.2187967999999999E-2</v>
      </c>
      <c r="E98" s="12">
        <f t="shared" si="6"/>
        <v>9.9053428571428573E-4</v>
      </c>
      <c r="F98" s="12">
        <f>E98/Calculation!K$19*1000</f>
        <v>1.0417156567927759E-3</v>
      </c>
      <c r="G98" s="12">
        <f t="shared" si="7"/>
        <v>61.368535115329387</v>
      </c>
    </row>
    <row r="99" spans="1:7">
      <c r="A99" s="12">
        <v>47</v>
      </c>
      <c r="B99" s="76">
        <v>321.05</v>
      </c>
      <c r="C99" s="12">
        <f t="shared" si="4"/>
        <v>0.32105</v>
      </c>
      <c r="D99" s="12">
        <f t="shared" si="5"/>
        <v>2.2601920000000005E-2</v>
      </c>
      <c r="E99" s="12">
        <f t="shared" si="6"/>
        <v>1.0090142857142859E-3</v>
      </c>
      <c r="F99" s="12">
        <f>E99/Calculation!K$19*1000</f>
        <v>1.0611505270594307E-3</v>
      </c>
      <c r="G99" s="12">
        <f t="shared" si="7"/>
        <v>61.400078108087172</v>
      </c>
    </row>
    <row r="100" spans="1:7">
      <c r="A100" s="12">
        <v>47.5</v>
      </c>
      <c r="B100" s="76">
        <v>326.92</v>
      </c>
      <c r="C100" s="12">
        <f t="shared" si="4"/>
        <v>0.32691999999999999</v>
      </c>
      <c r="D100" s="12">
        <f t="shared" si="5"/>
        <v>2.3015167999999999E-2</v>
      </c>
      <c r="E100" s="12">
        <f t="shared" si="6"/>
        <v>1.0274628571428572E-3</v>
      </c>
      <c r="F100" s="12">
        <f>E100/Calculation!K$19*1000</f>
        <v>1.0805523448256316E-3</v>
      </c>
      <c r="G100" s="12">
        <f t="shared" si="7"/>
        <v>61.432203651165445</v>
      </c>
    </row>
    <row r="101" spans="1:7">
      <c r="A101" s="12">
        <v>48</v>
      </c>
      <c r="B101" s="76">
        <v>312.81</v>
      </c>
      <c r="C101" s="12">
        <f t="shared" si="4"/>
        <v>0.31280999999999998</v>
      </c>
      <c r="D101" s="12">
        <f t="shared" si="5"/>
        <v>2.2021823999999999E-2</v>
      </c>
      <c r="E101" s="12">
        <f t="shared" si="6"/>
        <v>9.8311714285714293E-4</v>
      </c>
      <c r="F101" s="12">
        <f>E101/Calculation!K$20*1000</f>
        <v>1.0897445438068927E-3</v>
      </c>
      <c r="G101" s="12">
        <f t="shared" si="7"/>
        <v>61.464758104494933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82" zoomScale="98" zoomScaleNormal="98" zoomScalePageLayoutView="98" workbookViewId="0">
      <selection activeCell="B5" sqref="B5:B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70.400000000000006</v>
      </c>
      <c r="C1" s="9" t="s">
        <v>51</v>
      </c>
    </row>
    <row r="3" spans="1:12">
      <c r="A3" s="133" t="s">
        <v>5</v>
      </c>
      <c r="B3" s="133" t="s">
        <v>36</v>
      </c>
      <c r="C3" s="133"/>
      <c r="D3" s="133" t="s">
        <v>52</v>
      </c>
      <c r="E3" s="133"/>
      <c r="F3" s="133"/>
      <c r="G3" s="8" t="s">
        <v>53</v>
      </c>
    </row>
    <row r="4" spans="1:12">
      <c r="A4" s="133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6">
        <v>2795.86</v>
      </c>
      <c r="C5" s="36">
        <f>B5/1000</f>
        <v>2.7958600000000002</v>
      </c>
      <c r="D5" s="12">
        <f>C5/1000*$B$1</f>
        <v>0.19682854400000002</v>
      </c>
      <c r="E5" s="12">
        <f>D5/22.4</f>
        <v>8.7869885714285736E-3</v>
      </c>
      <c r="F5" s="12">
        <f>E5/Calculation!K$4*1000</f>
        <v>5.4237785013605188E-3</v>
      </c>
      <c r="G5" s="12">
        <f>(0+F5)/2*30</f>
        <v>8.1356677520407789E-2</v>
      </c>
    </row>
    <row r="6" spans="1:12">
      <c r="A6" s="35">
        <v>0.5</v>
      </c>
      <c r="B6" s="76">
        <v>3413.68</v>
      </c>
      <c r="C6" s="36">
        <f t="shared" ref="C6:C69" si="0">B6/1000</f>
        <v>3.4136799999999998</v>
      </c>
      <c r="D6" s="12">
        <f>C6/1000*$B$1</f>
        <v>0.240323072</v>
      </c>
      <c r="E6" s="12">
        <f t="shared" ref="E6:E69" si="1">D6/22.4</f>
        <v>1.0728708571428573E-2</v>
      </c>
      <c r="F6" s="12">
        <f>E6/Calculation!K$4*1000</f>
        <v>6.6223073381801566E-3</v>
      </c>
      <c r="G6" s="12">
        <f>G5+(F6+F5)/2*30</f>
        <v>0.26204796511351791</v>
      </c>
    </row>
    <row r="7" spans="1:12">
      <c r="A7" s="35">
        <v>1</v>
      </c>
      <c r="B7" s="76">
        <v>3872.68</v>
      </c>
      <c r="C7" s="36">
        <f t="shared" si="0"/>
        <v>3.8726799999999999</v>
      </c>
      <c r="D7" s="12">
        <f t="shared" ref="D7:D69" si="2">C7/1000*$B$1</f>
        <v>0.27263667200000002</v>
      </c>
      <c r="E7" s="12">
        <f t="shared" si="1"/>
        <v>1.2171280000000001E-2</v>
      </c>
      <c r="F7" s="12">
        <f>E7/Calculation!K$4*1000</f>
        <v>7.512736162271663E-3</v>
      </c>
      <c r="G7" s="12">
        <f>G6+(F7+F6)/2*30</f>
        <v>0.47407361762029521</v>
      </c>
    </row>
    <row r="8" spans="1:12">
      <c r="A8" s="35">
        <v>1.5</v>
      </c>
      <c r="B8" s="76">
        <v>4536.6000000000004</v>
      </c>
      <c r="C8" s="36">
        <f t="shared" si="0"/>
        <v>4.5366</v>
      </c>
      <c r="D8" s="12">
        <f t="shared" si="2"/>
        <v>0.31937664000000004</v>
      </c>
      <c r="E8" s="12">
        <f t="shared" si="1"/>
        <v>1.4257885714285717E-2</v>
      </c>
      <c r="F8" s="12">
        <f>E8/Calculation!K$4*1000</f>
        <v>8.8006958679161789E-3</v>
      </c>
      <c r="G8" s="12">
        <f t="shared" ref="G8:G70" si="3">G7+(F8+F7)/2*30</f>
        <v>0.71877509807311279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6">
        <v>5141.54</v>
      </c>
      <c r="C9" s="36">
        <f t="shared" si="0"/>
        <v>5.14154</v>
      </c>
      <c r="D9" s="12">
        <f t="shared" si="2"/>
        <v>0.36196441600000001</v>
      </c>
      <c r="E9" s="12">
        <f t="shared" si="1"/>
        <v>1.6159125714285717E-2</v>
      </c>
      <c r="F9" s="12">
        <f>E9/Calculation!K$5*1000</f>
        <v>1.0238873889317728E-2</v>
      </c>
      <c r="G9" s="12">
        <f t="shared" si="3"/>
        <v>1.0043686444316213</v>
      </c>
    </row>
    <row r="10" spans="1:12">
      <c r="A10" s="35">
        <v>2.5</v>
      </c>
      <c r="B10" s="76">
        <v>5901.56</v>
      </c>
      <c r="C10" s="36">
        <f t="shared" si="0"/>
        <v>5.9015600000000008</v>
      </c>
      <c r="D10" s="12">
        <f t="shared" si="2"/>
        <v>0.4154698240000001</v>
      </c>
      <c r="E10" s="12">
        <f t="shared" si="1"/>
        <v>1.8547760000000007E-2</v>
      </c>
      <c r="F10" s="12">
        <f>E10/Calculation!K$5*1000</f>
        <v>1.1752379363039465E-2</v>
      </c>
      <c r="G10" s="12">
        <f t="shared" si="3"/>
        <v>1.3342374432169792</v>
      </c>
    </row>
    <row r="11" spans="1:12">
      <c r="A11" s="35">
        <v>3</v>
      </c>
      <c r="B11" s="76">
        <v>7266.53</v>
      </c>
      <c r="C11" s="36">
        <f t="shared" si="0"/>
        <v>7.2665299999999995</v>
      </c>
      <c r="D11" s="12">
        <f t="shared" si="2"/>
        <v>0.51156371199999995</v>
      </c>
      <c r="E11" s="12">
        <f t="shared" si="1"/>
        <v>2.2837665714285714E-2</v>
      </c>
      <c r="F11" s="12">
        <f>E11/Calculation!K$5*1000</f>
        <v>1.4470583576699574E-2</v>
      </c>
      <c r="G11" s="12">
        <f t="shared" si="3"/>
        <v>1.7275818873130648</v>
      </c>
    </row>
    <row r="12" spans="1:12">
      <c r="A12" s="35">
        <v>3.5</v>
      </c>
      <c r="B12" s="76">
        <v>9029.98</v>
      </c>
      <c r="C12" s="36">
        <f t="shared" si="0"/>
        <v>9.0299800000000001</v>
      </c>
      <c r="D12" s="12">
        <f t="shared" si="2"/>
        <v>0.63571059200000002</v>
      </c>
      <c r="E12" s="12">
        <f t="shared" si="1"/>
        <v>2.8379937142857147E-2</v>
      </c>
      <c r="F12" s="12">
        <f>E12/Calculation!K$6*1000</f>
        <v>1.8507438193504734E-2</v>
      </c>
      <c r="G12" s="12">
        <f t="shared" si="3"/>
        <v>2.2222522138661294</v>
      </c>
    </row>
    <row r="13" spans="1:12">
      <c r="A13" s="35">
        <v>4</v>
      </c>
      <c r="B13" s="76">
        <v>11542.78</v>
      </c>
      <c r="C13" s="36">
        <f t="shared" si="0"/>
        <v>11.54278</v>
      </c>
      <c r="D13" s="12">
        <f t="shared" si="2"/>
        <v>0.81261171200000015</v>
      </c>
      <c r="E13" s="12">
        <f t="shared" si="1"/>
        <v>3.6277308571428579E-2</v>
      </c>
      <c r="F13" s="12">
        <f>E13/Calculation!K$6*1000</f>
        <v>2.3657559311451692E-2</v>
      </c>
      <c r="G13" s="12">
        <f t="shared" si="3"/>
        <v>2.854727176440476</v>
      </c>
    </row>
    <row r="14" spans="1:12">
      <c r="A14" s="35">
        <v>4.5</v>
      </c>
      <c r="B14" s="76">
        <v>13773.87</v>
      </c>
      <c r="C14" s="36">
        <f t="shared" si="0"/>
        <v>13.773870000000001</v>
      </c>
      <c r="D14" s="12">
        <f t="shared" si="2"/>
        <v>0.96968044800000008</v>
      </c>
      <c r="E14" s="12">
        <f t="shared" si="1"/>
        <v>4.3289305714285721E-2</v>
      </c>
      <c r="F14" s="12">
        <f>E14/Calculation!K$6*1000</f>
        <v>2.8230300367262057E-2</v>
      </c>
      <c r="G14" s="12">
        <f t="shared" si="3"/>
        <v>3.633045071621182</v>
      </c>
    </row>
    <row r="15" spans="1:12">
      <c r="A15" s="35">
        <v>5</v>
      </c>
      <c r="B15" s="76">
        <v>16199.89</v>
      </c>
      <c r="C15" s="36">
        <f t="shared" si="0"/>
        <v>16.19989</v>
      </c>
      <c r="D15" s="12">
        <f t="shared" si="2"/>
        <v>1.1404722560000002</v>
      </c>
      <c r="E15" s="12">
        <f t="shared" si="1"/>
        <v>5.0913940000000012E-2</v>
      </c>
      <c r="F15" s="12">
        <f>E15/Calculation!K$7*1000</f>
        <v>3.4197974350965402E-2</v>
      </c>
      <c r="G15" s="12">
        <f t="shared" si="3"/>
        <v>4.5694691923945943</v>
      </c>
    </row>
    <row r="16" spans="1:12">
      <c r="A16" s="35">
        <v>5.5</v>
      </c>
      <c r="B16" s="76">
        <v>18525.73</v>
      </c>
      <c r="C16" s="36">
        <f t="shared" si="0"/>
        <v>18.525729999999999</v>
      </c>
      <c r="D16" s="12">
        <f t="shared" si="2"/>
        <v>1.3042113920000002</v>
      </c>
      <c r="E16" s="12">
        <f t="shared" si="1"/>
        <v>5.8223722857142869E-2</v>
      </c>
      <c r="F16" s="12">
        <f>E16/Calculation!K$7*1000</f>
        <v>3.9107823532932032E-2</v>
      </c>
      <c r="G16" s="12">
        <f t="shared" si="3"/>
        <v>5.6690561606530556</v>
      </c>
    </row>
    <row r="17" spans="1:7">
      <c r="A17" s="35">
        <v>6</v>
      </c>
      <c r="B17" s="76">
        <v>20829.54</v>
      </c>
      <c r="C17" s="36">
        <f t="shared" si="0"/>
        <v>20.829540000000001</v>
      </c>
      <c r="D17" s="12">
        <f t="shared" si="2"/>
        <v>1.4663996160000001</v>
      </c>
      <c r="E17" s="12">
        <f t="shared" si="1"/>
        <v>6.5464268571428577E-2</v>
      </c>
      <c r="F17" s="12">
        <f>E17/Calculation!K$8*1000</f>
        <v>4.5386677558627783E-2</v>
      </c>
      <c r="G17" s="12">
        <f t="shared" si="3"/>
        <v>6.936473677026453</v>
      </c>
    </row>
    <row r="18" spans="1:7">
      <c r="A18" s="35">
        <v>6.5</v>
      </c>
      <c r="B18" s="76">
        <v>23120.3</v>
      </c>
      <c r="C18" s="36">
        <f t="shared" si="0"/>
        <v>23.1203</v>
      </c>
      <c r="D18" s="12">
        <f t="shared" si="2"/>
        <v>1.6276691200000002</v>
      </c>
      <c r="E18" s="12">
        <f t="shared" si="1"/>
        <v>7.2663800000000014E-2</v>
      </c>
      <c r="F18" s="12">
        <f>E18/Calculation!K$8*1000</f>
        <v>5.03781457083902E-2</v>
      </c>
      <c r="G18" s="12">
        <f t="shared" si="3"/>
        <v>8.3729460260317232</v>
      </c>
    </row>
    <row r="19" spans="1:7">
      <c r="A19" s="35">
        <v>7</v>
      </c>
      <c r="B19" s="76">
        <v>25499.71</v>
      </c>
      <c r="C19" s="36">
        <f t="shared" si="0"/>
        <v>25.49971</v>
      </c>
      <c r="D19" s="12">
        <f t="shared" si="2"/>
        <v>1.7951795840000002</v>
      </c>
      <c r="E19" s="12">
        <f t="shared" si="1"/>
        <v>8.0141945714285734E-2</v>
      </c>
      <c r="F19" s="12">
        <f>E19/Calculation!K$8*1000</f>
        <v>5.5562778419903501E-2</v>
      </c>
      <c r="G19" s="12">
        <f t="shared" si="3"/>
        <v>9.9620598879561282</v>
      </c>
    </row>
    <row r="20" spans="1:7">
      <c r="A20" s="35">
        <v>7.5</v>
      </c>
      <c r="B20" s="76">
        <v>27094.51</v>
      </c>
      <c r="C20" s="36">
        <f t="shared" si="0"/>
        <v>27.09451</v>
      </c>
      <c r="D20" s="12">
        <f t="shared" si="2"/>
        <v>1.907453504</v>
      </c>
      <c r="E20" s="12">
        <f t="shared" si="1"/>
        <v>8.5154174285714299E-2</v>
      </c>
      <c r="F20" s="12">
        <f>E20/Calculation!K$9*1000</f>
        <v>6.1119506531581012E-2</v>
      </c>
      <c r="G20" s="12">
        <f t="shared" si="3"/>
        <v>11.712294162228396</v>
      </c>
    </row>
    <row r="21" spans="1:7">
      <c r="A21" s="35">
        <v>8</v>
      </c>
      <c r="B21" s="76">
        <v>28044.54</v>
      </c>
      <c r="C21" s="36">
        <f t="shared" si="0"/>
        <v>28.044540000000001</v>
      </c>
      <c r="D21" s="12">
        <f t="shared" si="2"/>
        <v>1.9743356160000001</v>
      </c>
      <c r="E21" s="12">
        <f t="shared" si="1"/>
        <v>8.8139982857142862E-2</v>
      </c>
      <c r="F21" s="12">
        <f>E21/Calculation!K$9*1000</f>
        <v>6.3262574067779215E-2</v>
      </c>
      <c r="G21" s="12">
        <f t="shared" si="3"/>
        <v>13.5780253712188</v>
      </c>
    </row>
    <row r="22" spans="1:7">
      <c r="A22" s="35">
        <v>8.5</v>
      </c>
      <c r="B22" s="76">
        <v>29397.3</v>
      </c>
      <c r="C22" s="36">
        <f t="shared" si="0"/>
        <v>29.397299999999998</v>
      </c>
      <c r="D22" s="12">
        <f t="shared" si="2"/>
        <v>2.0695699200000002</v>
      </c>
      <c r="E22" s="12">
        <f t="shared" si="1"/>
        <v>9.2391514285714293E-2</v>
      </c>
      <c r="F22" s="12">
        <f>E22/Calculation!K$9*1000</f>
        <v>6.6314115640432186E-2</v>
      </c>
      <c r="G22" s="12">
        <f t="shared" si="3"/>
        <v>15.521675716841971</v>
      </c>
    </row>
    <row r="23" spans="1:7">
      <c r="A23" s="35">
        <v>9</v>
      </c>
      <c r="B23" s="76">
        <v>30826.84</v>
      </c>
      <c r="C23" s="36">
        <f t="shared" si="0"/>
        <v>30.826840000000001</v>
      </c>
      <c r="D23" s="12">
        <f t="shared" si="2"/>
        <v>2.1702095360000002</v>
      </c>
      <c r="E23" s="12">
        <f t="shared" si="1"/>
        <v>9.6884354285714305E-2</v>
      </c>
      <c r="F23" s="12">
        <f>E23/Calculation!K$10*1000</f>
        <v>7.1799874457863913E-2</v>
      </c>
      <c r="G23" s="12">
        <f t="shared" si="3"/>
        <v>17.593385568316414</v>
      </c>
    </row>
    <row r="24" spans="1:7">
      <c r="A24" s="35">
        <v>9.5</v>
      </c>
      <c r="B24" s="76">
        <v>31945.18</v>
      </c>
      <c r="C24" s="36">
        <f t="shared" si="0"/>
        <v>31.945180000000001</v>
      </c>
      <c r="D24" s="12">
        <f t="shared" si="2"/>
        <v>2.2489406720000003</v>
      </c>
      <c r="E24" s="12">
        <f t="shared" si="1"/>
        <v>0.10039913714285716</v>
      </c>
      <c r="F24" s="12">
        <f>E24/Calculation!K$10*1000</f>
        <v>7.4404639383532811E-2</v>
      </c>
      <c r="G24" s="12">
        <f t="shared" si="3"/>
        <v>19.786453275937365</v>
      </c>
    </row>
    <row r="25" spans="1:7">
      <c r="A25" s="35">
        <v>10</v>
      </c>
      <c r="B25" s="76">
        <v>34083.730000000003</v>
      </c>
      <c r="C25" s="36">
        <f t="shared" si="0"/>
        <v>34.083730000000003</v>
      </c>
      <c r="D25" s="12">
        <f t="shared" si="2"/>
        <v>2.3994945920000004</v>
      </c>
      <c r="E25" s="12">
        <f t="shared" si="1"/>
        <v>0.1071202942857143</v>
      </c>
      <c r="F25" s="12">
        <f>E25/Calculation!K$11*1000</f>
        <v>8.220403527605126E-2</v>
      </c>
      <c r="G25" s="12">
        <f t="shared" si="3"/>
        <v>22.135583395831127</v>
      </c>
    </row>
    <row r="26" spans="1:7">
      <c r="A26" s="35">
        <v>10.5</v>
      </c>
      <c r="B26" s="76">
        <v>35534.629999999997</v>
      </c>
      <c r="C26" s="36">
        <f t="shared" si="0"/>
        <v>35.53463</v>
      </c>
      <c r="D26" s="12">
        <f t="shared" si="2"/>
        <v>2.5016379519999998</v>
      </c>
      <c r="E26" s="12">
        <f t="shared" si="1"/>
        <v>0.11168026571428571</v>
      </c>
      <c r="F26" s="12">
        <f>E26/Calculation!K$11*1000</f>
        <v>8.5703354006190891E-2</v>
      </c>
      <c r="G26" s="12">
        <f t="shared" si="3"/>
        <v>24.654194235064757</v>
      </c>
    </row>
    <row r="27" spans="1:7">
      <c r="A27" s="35">
        <v>11</v>
      </c>
      <c r="B27" s="76">
        <v>38214.050000000003</v>
      </c>
      <c r="C27" s="36">
        <f t="shared" si="0"/>
        <v>38.21405</v>
      </c>
      <c r="D27" s="12">
        <f t="shared" si="2"/>
        <v>2.69026912</v>
      </c>
      <c r="E27" s="12">
        <f t="shared" si="1"/>
        <v>0.12010130000000001</v>
      </c>
      <c r="F27" s="12">
        <f>E27/Calculation!K$11*1000</f>
        <v>9.2165649541314468E-2</v>
      </c>
      <c r="G27" s="12">
        <f t="shared" si="3"/>
        <v>27.322229288277338</v>
      </c>
    </row>
    <row r="28" spans="1:7">
      <c r="A28" s="35">
        <v>11.5</v>
      </c>
      <c r="B28" s="76">
        <v>41144.32</v>
      </c>
      <c r="C28" s="36">
        <f t="shared" si="0"/>
        <v>41.14432</v>
      </c>
      <c r="D28" s="12">
        <f t="shared" si="2"/>
        <v>2.896560128</v>
      </c>
      <c r="E28" s="12">
        <f t="shared" si="1"/>
        <v>0.12931072000000002</v>
      </c>
      <c r="F28" s="12">
        <f>E28/Calculation!K$12*1000</f>
        <v>0.10252079045639474</v>
      </c>
      <c r="G28" s="12">
        <f t="shared" si="3"/>
        <v>30.242525888242977</v>
      </c>
    </row>
    <row r="29" spans="1:7">
      <c r="A29" s="35">
        <v>12</v>
      </c>
      <c r="B29" s="76">
        <v>40467.69</v>
      </c>
      <c r="C29" s="36">
        <f t="shared" si="0"/>
        <v>40.467690000000005</v>
      </c>
      <c r="D29" s="12">
        <f t="shared" si="2"/>
        <v>2.8489253760000008</v>
      </c>
      <c r="E29" s="12">
        <f t="shared" si="1"/>
        <v>0.12718416857142861</v>
      </c>
      <c r="F29" s="12">
        <f>E29/Calculation!K$12*1000</f>
        <v>0.10083480700967573</v>
      </c>
      <c r="G29" s="12">
        <f t="shared" si="3"/>
        <v>33.292859850234031</v>
      </c>
    </row>
    <row r="30" spans="1:7">
      <c r="A30" s="35">
        <v>12.5</v>
      </c>
      <c r="B30" s="76">
        <v>35035.120000000003</v>
      </c>
      <c r="C30" s="36">
        <f t="shared" si="0"/>
        <v>35.035119999999999</v>
      </c>
      <c r="D30" s="12">
        <f t="shared" si="2"/>
        <v>2.4664724479999998</v>
      </c>
      <c r="E30" s="12">
        <f t="shared" si="1"/>
        <v>0.11011037714285714</v>
      </c>
      <c r="F30" s="12">
        <f>E30/Calculation!K$12*1000</f>
        <v>8.729827582846536E-2</v>
      </c>
      <c r="G30" s="12">
        <f t="shared" si="3"/>
        <v>36.11485609280615</v>
      </c>
    </row>
    <row r="31" spans="1:7">
      <c r="A31" s="35">
        <v>13</v>
      </c>
      <c r="B31" s="76">
        <v>30115.63</v>
      </c>
      <c r="C31" s="36">
        <f t="shared" si="0"/>
        <v>30.115629999999999</v>
      </c>
      <c r="D31" s="12">
        <f t="shared" si="2"/>
        <v>2.1201403520000004</v>
      </c>
      <c r="E31" s="12">
        <f t="shared" si="1"/>
        <v>9.4649122857142887E-2</v>
      </c>
      <c r="F31" s="12">
        <f>E31/Calculation!K$13*1000</f>
        <v>7.7960056963619059E-2</v>
      </c>
      <c r="G31" s="12">
        <f t="shared" si="3"/>
        <v>38.59373108468742</v>
      </c>
    </row>
    <row r="32" spans="1:7">
      <c r="A32" s="35">
        <v>13.5</v>
      </c>
      <c r="B32" s="76">
        <v>27280.28</v>
      </c>
      <c r="C32" s="36">
        <f t="shared" si="0"/>
        <v>27.280279999999998</v>
      </c>
      <c r="D32" s="12">
        <f t="shared" si="2"/>
        <v>1.9205317119999998</v>
      </c>
      <c r="E32" s="12">
        <f t="shared" si="1"/>
        <v>8.5738022857142854E-2</v>
      </c>
      <c r="F32" s="12">
        <f>E32/Calculation!K$13*1000</f>
        <v>7.0620212254682263E-2</v>
      </c>
      <c r="G32" s="12">
        <f t="shared" si="3"/>
        <v>40.822435122961942</v>
      </c>
    </row>
    <row r="33" spans="1:7">
      <c r="A33" s="35">
        <v>14</v>
      </c>
      <c r="B33" s="76">
        <v>23763.88</v>
      </c>
      <c r="C33" s="36">
        <f t="shared" si="0"/>
        <v>23.76388</v>
      </c>
      <c r="D33" s="12">
        <f t="shared" si="2"/>
        <v>1.6729771520000003</v>
      </c>
      <c r="E33" s="12">
        <f t="shared" si="1"/>
        <v>7.4686480000000013E-2</v>
      </c>
      <c r="F33" s="12">
        <f>E33/Calculation!K$14*1000</f>
        <v>6.3849045231056736E-2</v>
      </c>
      <c r="G33" s="12">
        <f t="shared" si="3"/>
        <v>42.839473985248027</v>
      </c>
    </row>
    <row r="34" spans="1:7">
      <c r="A34" s="35">
        <v>14.5</v>
      </c>
      <c r="B34" s="76">
        <v>21414.14</v>
      </c>
      <c r="C34" s="36">
        <f t="shared" si="0"/>
        <v>21.41414</v>
      </c>
      <c r="D34" s="12">
        <f t="shared" si="2"/>
        <v>1.507555456</v>
      </c>
      <c r="E34" s="12">
        <f t="shared" si="1"/>
        <v>6.7301582857142855E-2</v>
      </c>
      <c r="F34" s="12">
        <f>E34/Calculation!K$14*1000</f>
        <v>5.7535738837436519E-2</v>
      </c>
      <c r="G34" s="12">
        <f t="shared" si="3"/>
        <v>44.660245746275429</v>
      </c>
    </row>
    <row r="35" spans="1:7">
      <c r="A35" s="35">
        <v>15</v>
      </c>
      <c r="B35" s="76">
        <v>18905.75</v>
      </c>
      <c r="C35" s="36">
        <f t="shared" si="0"/>
        <v>18.905750000000001</v>
      </c>
      <c r="D35" s="12">
        <f t="shared" si="2"/>
        <v>1.3309648000000003</v>
      </c>
      <c r="E35" s="12">
        <f t="shared" si="1"/>
        <v>5.9418071428571445E-2</v>
      </c>
      <c r="F35" s="12">
        <f>E35/Calculation!K$14*1000</f>
        <v>5.0796169938454955E-2</v>
      </c>
      <c r="G35" s="12">
        <f t="shared" si="3"/>
        <v>46.285224377913799</v>
      </c>
    </row>
    <row r="36" spans="1:7">
      <c r="A36" s="35">
        <v>15.5</v>
      </c>
      <c r="B36" s="76">
        <v>17210.09</v>
      </c>
      <c r="C36" s="36">
        <f t="shared" si="0"/>
        <v>17.210090000000001</v>
      </c>
      <c r="D36" s="12">
        <f t="shared" si="2"/>
        <v>1.2115903360000002</v>
      </c>
      <c r="E36" s="12">
        <f t="shared" si="1"/>
        <v>5.4088854285714298E-2</v>
      </c>
      <c r="F36" s="12">
        <f>E36/Calculation!K$15*1000</f>
        <v>4.8018723892496715E-2</v>
      </c>
      <c r="G36" s="12">
        <f t="shared" si="3"/>
        <v>47.767447785378074</v>
      </c>
    </row>
    <row r="37" spans="1:7">
      <c r="A37" s="35">
        <v>16</v>
      </c>
      <c r="B37" s="76">
        <v>15156.63</v>
      </c>
      <c r="C37" s="36">
        <f t="shared" si="0"/>
        <v>15.15663</v>
      </c>
      <c r="D37" s="12">
        <f t="shared" si="2"/>
        <v>1.0670267520000001</v>
      </c>
      <c r="E37" s="12">
        <f t="shared" si="1"/>
        <v>4.7635122857142866E-2</v>
      </c>
      <c r="F37" s="12">
        <f>E37/Calculation!K$15*1000</f>
        <v>4.2289263514062536E-2</v>
      </c>
      <c r="G37" s="12">
        <f t="shared" si="3"/>
        <v>49.122067596476462</v>
      </c>
    </row>
    <row r="38" spans="1:7">
      <c r="A38" s="35">
        <v>16.5</v>
      </c>
      <c r="B38" s="76">
        <v>13378.09</v>
      </c>
      <c r="C38" s="36">
        <f t="shared" si="0"/>
        <v>13.37809</v>
      </c>
      <c r="D38" s="12">
        <f t="shared" si="2"/>
        <v>0.94181753600000007</v>
      </c>
      <c r="E38" s="12">
        <f t="shared" si="1"/>
        <v>4.2045425714285718E-2</v>
      </c>
      <c r="F38" s="12">
        <f>E38/Calculation!K$15*1000</f>
        <v>3.7326871034315992E-2</v>
      </c>
      <c r="G38" s="12">
        <f t="shared" si="3"/>
        <v>50.316309614702142</v>
      </c>
    </row>
    <row r="39" spans="1:7">
      <c r="A39" s="35">
        <v>17</v>
      </c>
      <c r="B39" s="76">
        <v>11789.9</v>
      </c>
      <c r="C39" s="36">
        <f t="shared" si="0"/>
        <v>11.789899999999999</v>
      </c>
      <c r="D39" s="12">
        <f t="shared" si="2"/>
        <v>0.83000896000000002</v>
      </c>
      <c r="E39" s="12">
        <f t="shared" si="1"/>
        <v>3.7053971428571433E-2</v>
      </c>
      <c r="F39" s="12">
        <f>E39/Calculation!K$16*1000</f>
        <v>3.414983452834755E-2</v>
      </c>
      <c r="G39" s="12">
        <f>G38+(F39+F38)/2*30</f>
        <v>51.388460198142099</v>
      </c>
    </row>
    <row r="40" spans="1:7">
      <c r="A40" s="35">
        <v>17.5</v>
      </c>
      <c r="B40" s="76">
        <v>10325.280000000001</v>
      </c>
      <c r="C40" s="36">
        <f t="shared" si="0"/>
        <v>10.325280000000001</v>
      </c>
      <c r="D40" s="12">
        <f t="shared" si="2"/>
        <v>0.72689971200000014</v>
      </c>
      <c r="E40" s="12">
        <f t="shared" si="1"/>
        <v>3.2450880000000008E-2</v>
      </c>
      <c r="F40" s="12">
        <f>E40/Calculation!K$16*1000</f>
        <v>2.9907514352017949E-2</v>
      </c>
      <c r="G40" s="12">
        <f t="shared" si="3"/>
        <v>52.349320431347579</v>
      </c>
    </row>
    <row r="41" spans="1:7">
      <c r="A41" s="35">
        <v>18</v>
      </c>
      <c r="B41" s="76">
        <v>8976.25</v>
      </c>
      <c r="C41" s="36">
        <f t="shared" si="0"/>
        <v>8.9762500000000003</v>
      </c>
      <c r="D41" s="12">
        <f t="shared" si="2"/>
        <v>0.63192800000000005</v>
      </c>
      <c r="E41" s="12">
        <f t="shared" si="1"/>
        <v>2.8211071428571433E-2</v>
      </c>
      <c r="F41" s="12">
        <f>E41/Calculation!K$17*1000</f>
        <v>2.7054058659749695E-2</v>
      </c>
      <c r="G41" s="12">
        <f t="shared" si="3"/>
        <v>53.203744026524092</v>
      </c>
    </row>
    <row r="42" spans="1:7">
      <c r="A42" s="35">
        <v>18.5</v>
      </c>
      <c r="B42" s="76">
        <v>7962.82</v>
      </c>
      <c r="C42" s="36">
        <f t="shared" si="0"/>
        <v>7.9628199999999998</v>
      </c>
      <c r="D42" s="12">
        <f t="shared" si="2"/>
        <v>0.56058252799999997</v>
      </c>
      <c r="E42" s="12">
        <f t="shared" si="1"/>
        <v>2.5026005714285714E-2</v>
      </c>
      <c r="F42" s="12">
        <f>E42/Calculation!K$17*1000</f>
        <v>2.3999621153268685E-2</v>
      </c>
      <c r="G42" s="12">
        <f t="shared" si="3"/>
        <v>53.969549223719369</v>
      </c>
    </row>
    <row r="43" spans="1:7">
      <c r="A43" s="35">
        <v>19</v>
      </c>
      <c r="B43" s="76">
        <v>6934.99</v>
      </c>
      <c r="C43" s="36">
        <f t="shared" si="0"/>
        <v>6.93499</v>
      </c>
      <c r="D43" s="12">
        <f t="shared" si="2"/>
        <v>0.48822329600000008</v>
      </c>
      <c r="E43" s="12">
        <f t="shared" si="1"/>
        <v>2.1795682857142864E-2</v>
      </c>
      <c r="F43" s="12">
        <f>E43/Calculation!K$17*1000</f>
        <v>2.0901782622451199E-2</v>
      </c>
      <c r="G43" s="12">
        <f t="shared" si="3"/>
        <v>54.643070280355168</v>
      </c>
    </row>
    <row r="44" spans="1:7">
      <c r="A44" s="35">
        <v>19.5</v>
      </c>
      <c r="B44" s="76">
        <v>6052.25</v>
      </c>
      <c r="C44" s="36">
        <f t="shared" si="0"/>
        <v>6.0522499999999999</v>
      </c>
      <c r="D44" s="12">
        <f t="shared" si="2"/>
        <v>0.42607840000000008</v>
      </c>
      <c r="E44" s="12">
        <f t="shared" si="1"/>
        <v>1.9021357142857149E-2</v>
      </c>
      <c r="F44" s="12">
        <f>E44/Calculation!K$17*1000</f>
        <v>1.8241239551424052E-2</v>
      </c>
      <c r="G44" s="12">
        <f t="shared" si="3"/>
        <v>55.230215612963299</v>
      </c>
    </row>
    <row r="45" spans="1:7">
      <c r="A45" s="35">
        <v>20</v>
      </c>
      <c r="B45" s="76">
        <v>5378.32</v>
      </c>
      <c r="C45" s="36">
        <f t="shared" si="0"/>
        <v>5.3783199999999995</v>
      </c>
      <c r="D45" s="12">
        <f t="shared" si="2"/>
        <v>0.378633728</v>
      </c>
      <c r="E45" s="12">
        <f t="shared" si="1"/>
        <v>1.6903291428571429E-2</v>
      </c>
      <c r="F45" s="12">
        <f>E45/Calculation!K$17*1000</f>
        <v>1.6210041472876194E-2</v>
      </c>
      <c r="G45" s="12">
        <f t="shared" si="3"/>
        <v>55.746984828327804</v>
      </c>
    </row>
    <row r="46" spans="1:7">
      <c r="A46" s="35">
        <v>20.5</v>
      </c>
      <c r="B46" s="76">
        <v>4762.88</v>
      </c>
      <c r="C46" s="36">
        <f t="shared" si="0"/>
        <v>4.76288</v>
      </c>
      <c r="D46" s="12">
        <f t="shared" si="2"/>
        <v>0.33530675199999999</v>
      </c>
      <c r="E46" s="12">
        <f t="shared" si="1"/>
        <v>1.4969051428571429E-2</v>
      </c>
      <c r="F46" s="12">
        <f>E46/Calculation!K$17*1000</f>
        <v>1.4355129916095097E-2</v>
      </c>
      <c r="G46" s="12">
        <f t="shared" si="3"/>
        <v>56.205462399162371</v>
      </c>
    </row>
    <row r="47" spans="1:7">
      <c r="A47" s="35">
        <v>21</v>
      </c>
      <c r="B47" s="76">
        <v>4299.6400000000003</v>
      </c>
      <c r="C47" s="36">
        <f t="shared" si="0"/>
        <v>4.2996400000000001</v>
      </c>
      <c r="D47" s="12">
        <f t="shared" si="2"/>
        <v>0.30269465600000006</v>
      </c>
      <c r="E47" s="12">
        <f t="shared" si="1"/>
        <v>1.3513154285714288E-2</v>
      </c>
      <c r="F47" s="12">
        <f>E47/Calculation!K$17*1000</f>
        <v>1.2958943074870484E-2</v>
      </c>
      <c r="G47" s="12">
        <f t="shared" si="3"/>
        <v>56.615173494026855</v>
      </c>
    </row>
    <row r="48" spans="1:7">
      <c r="A48" s="35">
        <v>21.5</v>
      </c>
      <c r="B48" s="76">
        <v>3810.64</v>
      </c>
      <c r="C48" s="36">
        <f t="shared" si="0"/>
        <v>3.8106399999999998</v>
      </c>
      <c r="D48" s="12">
        <f t="shared" si="2"/>
        <v>0.26826905600000001</v>
      </c>
      <c r="E48" s="12">
        <f t="shared" si="1"/>
        <v>1.1976297142857143E-2</v>
      </c>
      <c r="F48" s="12">
        <f>E48/Calculation!K$17*1000</f>
        <v>1.1485116623443929E-2</v>
      </c>
      <c r="G48" s="12">
        <f t="shared" si="3"/>
        <v>56.981834389501572</v>
      </c>
    </row>
    <row r="49" spans="1:7">
      <c r="A49" s="35">
        <v>22</v>
      </c>
      <c r="B49" s="76">
        <v>3465.04</v>
      </c>
      <c r="C49" s="36">
        <f t="shared" si="0"/>
        <v>3.4650400000000001</v>
      </c>
      <c r="D49" s="12">
        <f t="shared" si="2"/>
        <v>0.24393881600000003</v>
      </c>
      <c r="E49" s="12">
        <f t="shared" si="1"/>
        <v>1.0890125714285716E-2</v>
      </c>
      <c r="F49" s="12">
        <f>E49/Calculation!K$17*1000</f>
        <v>1.044349203936823E-2</v>
      </c>
      <c r="G49" s="12">
        <f t="shared" si="3"/>
        <v>57.310763519443753</v>
      </c>
    </row>
    <row r="50" spans="1:7">
      <c r="A50" s="35">
        <v>22.5</v>
      </c>
      <c r="B50" s="76">
        <v>3169.6</v>
      </c>
      <c r="C50" s="36">
        <f t="shared" si="0"/>
        <v>3.1696</v>
      </c>
      <c r="D50" s="12">
        <f t="shared" si="2"/>
        <v>0.22313984000000001</v>
      </c>
      <c r="E50" s="12">
        <f t="shared" si="1"/>
        <v>9.961600000000001E-3</v>
      </c>
      <c r="F50" s="12">
        <f>E50/Calculation!K$17*1000</f>
        <v>9.553047690064629E-3</v>
      </c>
      <c r="G50" s="12">
        <f t="shared" si="3"/>
        <v>57.610711615385249</v>
      </c>
    </row>
    <row r="51" spans="1:7">
      <c r="A51" s="35">
        <v>23</v>
      </c>
      <c r="B51" s="76">
        <v>2936.2</v>
      </c>
      <c r="C51" s="36">
        <f t="shared" si="0"/>
        <v>2.9361999999999999</v>
      </c>
      <c r="D51" s="12">
        <f t="shared" si="2"/>
        <v>0.20670848</v>
      </c>
      <c r="E51" s="12">
        <f t="shared" si="1"/>
        <v>9.2280571428571441E-3</v>
      </c>
      <c r="F51" s="12">
        <f>E51/Calculation!K$17*1000</f>
        <v>8.8495894206107283E-3</v>
      </c>
      <c r="G51" s="12">
        <f t="shared" si="3"/>
        <v>57.886751172045379</v>
      </c>
    </row>
    <row r="52" spans="1:7">
      <c r="A52" s="35">
        <v>23.5</v>
      </c>
      <c r="B52" s="76">
        <v>2752.64</v>
      </c>
      <c r="C52" s="36">
        <f t="shared" si="0"/>
        <v>2.75264</v>
      </c>
      <c r="D52" s="12">
        <f t="shared" si="2"/>
        <v>0.19378585600000001</v>
      </c>
      <c r="E52" s="12">
        <f t="shared" si="1"/>
        <v>8.6511542857142867E-3</v>
      </c>
      <c r="F52" s="12">
        <f>E52/Calculation!K$17*1000</f>
        <v>8.2963469187214475E-3</v>
      </c>
      <c r="G52" s="12">
        <f t="shared" si="3"/>
        <v>58.143940217135359</v>
      </c>
    </row>
    <row r="53" spans="1:7">
      <c r="A53" s="35">
        <v>24</v>
      </c>
      <c r="B53" s="76">
        <v>2623.82</v>
      </c>
      <c r="C53" s="36">
        <f t="shared" si="0"/>
        <v>2.6238200000000003</v>
      </c>
      <c r="D53" s="12">
        <f t="shared" si="2"/>
        <v>0.18471692800000003</v>
      </c>
      <c r="E53" s="12">
        <f t="shared" si="1"/>
        <v>8.2462914285714312E-3</v>
      </c>
      <c r="F53" s="12">
        <f>E53/Calculation!K$18*1000</f>
        <v>8.2882134876762995E-3</v>
      </c>
      <c r="G53" s="12">
        <f t="shared" si="3"/>
        <v>58.392708623231329</v>
      </c>
    </row>
    <row r="54" spans="1:7">
      <c r="A54" s="35">
        <v>24.5</v>
      </c>
      <c r="B54" s="76">
        <v>2505.5100000000002</v>
      </c>
      <c r="C54" s="36">
        <f t="shared" si="0"/>
        <v>2.5055100000000001</v>
      </c>
      <c r="D54" s="12">
        <f t="shared" si="2"/>
        <v>0.17638790400000004</v>
      </c>
      <c r="E54" s="12">
        <f t="shared" si="1"/>
        <v>7.8744600000000015E-3</v>
      </c>
      <c r="F54" s="12">
        <f>E54/Calculation!K$18*1000</f>
        <v>7.9144917622046632E-3</v>
      </c>
      <c r="G54" s="12">
        <f t="shared" si="3"/>
        <v>58.635749201979543</v>
      </c>
    </row>
    <row r="55" spans="1:7">
      <c r="A55" s="35">
        <v>25</v>
      </c>
      <c r="B55" s="76">
        <v>2419.41</v>
      </c>
      <c r="C55" s="36">
        <f t="shared" si="0"/>
        <v>2.4194100000000001</v>
      </c>
      <c r="D55" s="12">
        <f t="shared" si="2"/>
        <v>0.17032646400000001</v>
      </c>
      <c r="E55" s="12">
        <f t="shared" si="1"/>
        <v>7.6038600000000013E-3</v>
      </c>
      <c r="F55" s="12">
        <f>E55/Calculation!K$18*1000</f>
        <v>7.6425161002732309E-3</v>
      </c>
      <c r="G55" s="12">
        <f t="shared" si="3"/>
        <v>58.869104319916708</v>
      </c>
    </row>
    <row r="56" spans="1:7">
      <c r="A56" s="35">
        <v>25.5</v>
      </c>
      <c r="B56" s="76">
        <v>2376.52</v>
      </c>
      <c r="C56" s="36">
        <f t="shared" si="0"/>
        <v>2.3765200000000002</v>
      </c>
      <c r="D56" s="12">
        <f t="shared" si="2"/>
        <v>0.16730700800000001</v>
      </c>
      <c r="E56" s="12">
        <f t="shared" si="1"/>
        <v>7.4690628571428578E-3</v>
      </c>
      <c r="F56" s="12">
        <f>E56/Calculation!K$18*1000</f>
        <v>7.5070336828488519E-3</v>
      </c>
      <c r="G56" s="12">
        <f t="shared" si="3"/>
        <v>59.096347566663539</v>
      </c>
    </row>
    <row r="57" spans="1:7">
      <c r="A57" s="35">
        <v>26</v>
      </c>
      <c r="B57" s="76">
        <v>2353.13</v>
      </c>
      <c r="C57" s="36">
        <f t="shared" si="0"/>
        <v>2.3531300000000002</v>
      </c>
      <c r="D57" s="12">
        <f t="shared" si="2"/>
        <v>0.16566035200000001</v>
      </c>
      <c r="E57" s="12">
        <f t="shared" si="1"/>
        <v>7.3955514285714294E-3</v>
      </c>
      <c r="F57" s="12">
        <f>E57/Calculation!K$18*1000</f>
        <v>7.4331485407747961E-3</v>
      </c>
      <c r="G57" s="12">
        <f t="shared" si="3"/>
        <v>59.320450300017896</v>
      </c>
    </row>
    <row r="58" spans="1:7">
      <c r="A58" s="35">
        <v>26.5</v>
      </c>
      <c r="B58" s="76">
        <v>2300.25</v>
      </c>
      <c r="C58" s="36">
        <f t="shared" si="0"/>
        <v>2.3002500000000001</v>
      </c>
      <c r="D58" s="12">
        <f t="shared" si="2"/>
        <v>0.16193760000000001</v>
      </c>
      <c r="E58" s="12">
        <f t="shared" si="1"/>
        <v>7.2293571428571441E-3</v>
      </c>
      <c r="F58" s="12">
        <f>E58/Calculation!K$18*1000</f>
        <v>7.2661093653632507E-3</v>
      </c>
      <c r="G58" s="12">
        <f t="shared" si="3"/>
        <v>59.540939168609967</v>
      </c>
    </row>
    <row r="59" spans="1:7">
      <c r="A59" s="35">
        <v>27</v>
      </c>
      <c r="B59" s="76">
        <v>2289.06</v>
      </c>
      <c r="C59" s="36">
        <f t="shared" si="0"/>
        <v>2.2890600000000001</v>
      </c>
      <c r="D59" s="12">
        <f t="shared" si="2"/>
        <v>0.161149824</v>
      </c>
      <c r="E59" s="12">
        <f t="shared" si="1"/>
        <v>7.1941885714285718E-3</v>
      </c>
      <c r="F59" s="12">
        <f>E59/Calculation!K$18*1000</f>
        <v>7.2307620058160637E-3</v>
      </c>
      <c r="G59" s="12">
        <f t="shared" si="3"/>
        <v>59.75839223917766</v>
      </c>
    </row>
    <row r="60" spans="1:7">
      <c r="A60" s="35">
        <v>27.5</v>
      </c>
      <c r="B60" s="76">
        <v>2297.88</v>
      </c>
      <c r="C60" s="36">
        <f t="shared" si="0"/>
        <v>2.2978800000000001</v>
      </c>
      <c r="D60" s="12">
        <f t="shared" si="2"/>
        <v>0.16177075200000002</v>
      </c>
      <c r="E60" s="12">
        <f t="shared" si="1"/>
        <v>7.2219085714285728E-3</v>
      </c>
      <c r="F60" s="12">
        <f>E60/Calculation!K$18*1000</f>
        <v>7.2586229272822112E-3</v>
      </c>
      <c r="G60" s="12">
        <f t="shared" si="3"/>
        <v>59.975733013174136</v>
      </c>
    </row>
    <row r="61" spans="1:7">
      <c r="A61" s="35">
        <v>28</v>
      </c>
      <c r="B61" s="76">
        <v>2281.94</v>
      </c>
      <c r="C61" s="36">
        <f t="shared" si="0"/>
        <v>2.2819400000000001</v>
      </c>
      <c r="D61" s="12">
        <f t="shared" si="2"/>
        <v>0.16064857600000002</v>
      </c>
      <c r="E61" s="12">
        <f t="shared" si="1"/>
        <v>7.1718114285714294E-3</v>
      </c>
      <c r="F61" s="12">
        <f>E61/Calculation!K$18*1000</f>
        <v>7.2082711032266126E-3</v>
      </c>
      <c r="G61" s="12">
        <f t="shared" si="3"/>
        <v>60.192736423631764</v>
      </c>
    </row>
    <row r="62" spans="1:7">
      <c r="A62" s="35">
        <v>28.5</v>
      </c>
      <c r="B62" s="76">
        <v>2258.5500000000002</v>
      </c>
      <c r="C62" s="36">
        <f t="shared" si="0"/>
        <v>2.2585500000000001</v>
      </c>
      <c r="D62" s="12">
        <f t="shared" si="2"/>
        <v>0.15900192000000002</v>
      </c>
      <c r="E62" s="12">
        <f t="shared" si="1"/>
        <v>7.098300000000001E-3</v>
      </c>
      <c r="F62" s="12">
        <f>E62/Calculation!K$18*1000</f>
        <v>7.1343859611525569E-3</v>
      </c>
      <c r="G62" s="12">
        <f t="shared" si="3"/>
        <v>60.407876279597453</v>
      </c>
    </row>
    <row r="63" spans="1:7">
      <c r="A63" s="35">
        <v>29</v>
      </c>
      <c r="B63" s="76">
        <v>2196.86</v>
      </c>
      <c r="C63" s="36">
        <f t="shared" si="0"/>
        <v>2.19686</v>
      </c>
      <c r="D63" s="12">
        <f t="shared" si="2"/>
        <v>0.15465894400000002</v>
      </c>
      <c r="E63" s="12">
        <f t="shared" si="1"/>
        <v>6.904417142857144E-3</v>
      </c>
      <c r="F63" s="12">
        <f>E63/Calculation!K$18*1000</f>
        <v>6.9395174526211984E-3</v>
      </c>
      <c r="G63" s="12">
        <f t="shared" si="3"/>
        <v>60.61898483080406</v>
      </c>
    </row>
    <row r="64" spans="1:7">
      <c r="A64" s="35">
        <v>29.5</v>
      </c>
      <c r="B64" s="76">
        <v>2177.0300000000002</v>
      </c>
      <c r="C64" s="36">
        <f t="shared" si="0"/>
        <v>2.1770300000000002</v>
      </c>
      <c r="D64" s="12">
        <f t="shared" si="2"/>
        <v>0.15326291200000003</v>
      </c>
      <c r="E64" s="12">
        <f t="shared" si="1"/>
        <v>6.8420942857142873E-3</v>
      </c>
      <c r="F64" s="12">
        <f>E64/Calculation!K$18*1000</f>
        <v>6.8768777618418691E-3</v>
      </c>
      <c r="G64" s="12">
        <f t="shared" si="3"/>
        <v>60.826230759021009</v>
      </c>
    </row>
    <row r="65" spans="1:7">
      <c r="A65" s="35">
        <v>30</v>
      </c>
      <c r="B65" s="76">
        <v>2122.62</v>
      </c>
      <c r="C65" s="36">
        <f t="shared" si="0"/>
        <v>2.12262</v>
      </c>
      <c r="D65" s="12">
        <f t="shared" si="2"/>
        <v>0.14943244800000002</v>
      </c>
      <c r="E65" s="12">
        <f t="shared" si="1"/>
        <v>6.6710914285714297E-3</v>
      </c>
      <c r="F65" s="12">
        <f>E65/Calculation!K$19*1000</f>
        <v>7.0157898512595825E-3</v>
      </c>
      <c r="G65" s="12">
        <f t="shared" si="3"/>
        <v>61.034620773217533</v>
      </c>
    </row>
    <row r="66" spans="1:7">
      <c r="A66" s="35">
        <v>30.5</v>
      </c>
      <c r="B66" s="76">
        <v>2073.63</v>
      </c>
      <c r="C66" s="36">
        <f t="shared" si="0"/>
        <v>2.0736300000000001</v>
      </c>
      <c r="D66" s="12">
        <f t="shared" si="2"/>
        <v>0.14598355200000002</v>
      </c>
      <c r="E66" s="12">
        <f t="shared" si="1"/>
        <v>6.5171228571428586E-3</v>
      </c>
      <c r="F66" s="12">
        <f>E66/Calculation!K$19*1000</f>
        <v>6.8538656515379137E-3</v>
      </c>
      <c r="G66" s="12">
        <f t="shared" si="3"/>
        <v>61.242665605759498</v>
      </c>
    </row>
    <row r="67" spans="1:7">
      <c r="A67" s="35">
        <v>31</v>
      </c>
      <c r="B67" s="76">
        <v>1968.54</v>
      </c>
      <c r="C67" s="36">
        <f t="shared" si="0"/>
        <v>1.96854</v>
      </c>
      <c r="D67" s="12">
        <f t="shared" si="2"/>
        <v>0.13858521600000001</v>
      </c>
      <c r="E67" s="12">
        <f t="shared" si="1"/>
        <v>6.1868400000000007E-3</v>
      </c>
      <c r="F67" s="12">
        <f>E67/Calculation!K$19*1000</f>
        <v>6.5065169242721436E-3</v>
      </c>
      <c r="G67" s="12">
        <f t="shared" si="3"/>
        <v>61.44307134439665</v>
      </c>
    </row>
    <row r="68" spans="1:7">
      <c r="A68" s="35">
        <v>31.5</v>
      </c>
      <c r="B68" s="76">
        <v>1911.08</v>
      </c>
      <c r="C68" s="36">
        <f t="shared" si="0"/>
        <v>1.9110799999999999</v>
      </c>
      <c r="D68" s="12">
        <f t="shared" si="2"/>
        <v>0.134540032</v>
      </c>
      <c r="E68" s="12">
        <f t="shared" si="1"/>
        <v>6.006251428571429E-3</v>
      </c>
      <c r="F68" s="12">
        <f>E68/Calculation!K$19*1000</f>
        <v>6.3165972566663654E-3</v>
      </c>
      <c r="G68" s="12">
        <f t="shared" si="3"/>
        <v>61.635418057110726</v>
      </c>
    </row>
    <row r="69" spans="1:7">
      <c r="A69" s="35">
        <v>32</v>
      </c>
      <c r="B69" s="76">
        <v>1843.45</v>
      </c>
      <c r="C69" s="36">
        <f t="shared" si="0"/>
        <v>1.84345</v>
      </c>
      <c r="D69" s="12">
        <f t="shared" si="2"/>
        <v>0.12977888000000001</v>
      </c>
      <c r="E69" s="12">
        <f t="shared" si="1"/>
        <v>5.7937000000000006E-3</v>
      </c>
      <c r="F69" s="12">
        <f>E69/Calculation!K$19*1000</f>
        <v>6.0930631960993843E-3</v>
      </c>
      <c r="G69" s="12">
        <f t="shared" si="3"/>
        <v>61.82156296390221</v>
      </c>
    </row>
    <row r="70" spans="1:7">
      <c r="A70" s="35">
        <v>32.5</v>
      </c>
      <c r="B70" s="76">
        <v>1788.54</v>
      </c>
      <c r="C70" s="36">
        <f t="shared" ref="C70:C101" si="4">B70/1000</f>
        <v>1.78854</v>
      </c>
      <c r="D70" s="12">
        <f t="shared" ref="D70:D101" si="5">C70/1000*$B$1</f>
        <v>0.12591321599999999</v>
      </c>
      <c r="E70" s="12">
        <f t="shared" ref="E70:E101" si="6">D70/22.4</f>
        <v>5.6211257142857142E-3</v>
      </c>
      <c r="F70" s="12">
        <f>E70/Calculation!K$19*1000</f>
        <v>5.9115719161092475E-3</v>
      </c>
      <c r="G70" s="12">
        <f t="shared" si="3"/>
        <v>62.001632490585337</v>
      </c>
    </row>
    <row r="71" spans="1:7">
      <c r="A71" s="35">
        <v>33</v>
      </c>
      <c r="B71" s="76">
        <v>1780.06</v>
      </c>
      <c r="C71" s="36">
        <f t="shared" si="4"/>
        <v>1.78006</v>
      </c>
      <c r="D71" s="12">
        <f t="shared" si="5"/>
        <v>0.125316224</v>
      </c>
      <c r="E71" s="12">
        <f t="shared" si="6"/>
        <v>5.5944742857142859E-3</v>
      </c>
      <c r="F71" s="12">
        <f>E71/Calculation!K$19*1000</f>
        <v>5.8835433957246846E-3</v>
      </c>
      <c r="G71" s="12">
        <f t="shared" ref="G71:G101" si="7">G70+(F71+F70)/2*30</f>
        <v>62.178559220262848</v>
      </c>
    </row>
    <row r="72" spans="1:7">
      <c r="A72" s="35">
        <v>33.5</v>
      </c>
      <c r="B72" s="76">
        <v>1669.72</v>
      </c>
      <c r="C72" s="36">
        <f t="shared" si="4"/>
        <v>1.6697200000000001</v>
      </c>
      <c r="D72" s="12">
        <f t="shared" si="5"/>
        <v>0.11754828800000003</v>
      </c>
      <c r="E72" s="12">
        <f t="shared" si="6"/>
        <v>5.2476914285714306E-3</v>
      </c>
      <c r="F72" s="12">
        <f>E72/Calculation!K$19*1000</f>
        <v>5.5188421057208309E-3</v>
      </c>
      <c r="G72" s="12">
        <f t="shared" si="7"/>
        <v>62.349595002784532</v>
      </c>
    </row>
    <row r="73" spans="1:7">
      <c r="A73" s="35">
        <v>34</v>
      </c>
      <c r="B73" s="76">
        <v>1617.51</v>
      </c>
      <c r="C73" s="36">
        <f t="shared" si="4"/>
        <v>1.61751</v>
      </c>
      <c r="D73" s="12">
        <f t="shared" si="5"/>
        <v>0.11387270400000001</v>
      </c>
      <c r="E73" s="12">
        <f t="shared" si="6"/>
        <v>5.083602857142858E-3</v>
      </c>
      <c r="F73" s="12">
        <f>E73/Calculation!K$19*1000</f>
        <v>5.3462750008531372E-3</v>
      </c>
      <c r="G73" s="12">
        <f t="shared" si="7"/>
        <v>62.512571759383142</v>
      </c>
    </row>
    <row r="74" spans="1:7">
      <c r="A74" s="35">
        <v>34.5</v>
      </c>
      <c r="B74" s="76">
        <v>1564.12</v>
      </c>
      <c r="C74" s="36">
        <f t="shared" si="4"/>
        <v>1.56412</v>
      </c>
      <c r="D74" s="12">
        <f t="shared" si="5"/>
        <v>0.11011404800000001</v>
      </c>
      <c r="E74" s="12">
        <f t="shared" si="6"/>
        <v>4.9158057142857153E-3</v>
      </c>
      <c r="F74" s="12">
        <f>E74/Calculation!K$19*1000</f>
        <v>5.1698077009319325E-3</v>
      </c>
      <c r="G74" s="12">
        <f t="shared" si="7"/>
        <v>62.670312999909918</v>
      </c>
    </row>
    <row r="75" spans="1:7">
      <c r="A75" s="35">
        <v>35</v>
      </c>
      <c r="B75" s="76">
        <v>1475.64</v>
      </c>
      <c r="C75" s="36">
        <f t="shared" si="4"/>
        <v>1.4756400000000001</v>
      </c>
      <c r="D75" s="12">
        <f t="shared" si="5"/>
        <v>0.10388505600000002</v>
      </c>
      <c r="E75" s="12">
        <f t="shared" si="6"/>
        <v>4.6377257142857153E-3</v>
      </c>
      <c r="F75" s="12">
        <f>E75/Calculation!K$19*1000</f>
        <v>4.8773591769194153E-3</v>
      </c>
      <c r="G75" s="12">
        <f t="shared" si="7"/>
        <v>62.82102050307769</v>
      </c>
    </row>
    <row r="76" spans="1:7">
      <c r="A76" s="35">
        <v>35.5</v>
      </c>
      <c r="B76" s="76">
        <v>1415.98</v>
      </c>
      <c r="C76" s="36">
        <f t="shared" si="4"/>
        <v>1.41598</v>
      </c>
      <c r="D76" s="12">
        <f t="shared" si="5"/>
        <v>9.9684992000000014E-2</v>
      </c>
      <c r="E76" s="12">
        <f t="shared" si="6"/>
        <v>4.4502228571428578E-3</v>
      </c>
      <c r="F76" s="12">
        <f>E76/Calculation!K$19*1000</f>
        <v>4.6801679592138688E-3</v>
      </c>
      <c r="G76" s="12">
        <f t="shared" si="7"/>
        <v>62.964383410119687</v>
      </c>
    </row>
    <row r="77" spans="1:7">
      <c r="A77" s="35">
        <v>36</v>
      </c>
      <c r="B77" s="76">
        <v>1365.13</v>
      </c>
      <c r="C77" s="36">
        <f t="shared" si="4"/>
        <v>1.3651300000000002</v>
      </c>
      <c r="D77" s="12">
        <f t="shared" si="5"/>
        <v>9.6105152000000027E-2</v>
      </c>
      <c r="E77" s="12">
        <f t="shared" si="6"/>
        <v>4.2904085714285728E-3</v>
      </c>
      <c r="F77" s="12">
        <f>E77/Calculation!K$19*1000</f>
        <v>4.5120959944078519E-3</v>
      </c>
      <c r="G77" s="12">
        <f t="shared" si="7"/>
        <v>63.102267369424013</v>
      </c>
    </row>
    <row r="78" spans="1:7">
      <c r="A78" s="35">
        <v>36.5</v>
      </c>
      <c r="B78" s="76">
        <v>1304.6199999999999</v>
      </c>
      <c r="C78" s="36">
        <f t="shared" si="4"/>
        <v>1.3046199999999999</v>
      </c>
      <c r="D78" s="12">
        <f t="shared" si="5"/>
        <v>9.184524799999999E-2</v>
      </c>
      <c r="E78" s="12">
        <f t="shared" si="6"/>
        <v>4.1002342857142859E-3</v>
      </c>
      <c r="F78" s="12">
        <f>E78/Calculation!K$19*1000</f>
        <v>4.3120953141637568E-3</v>
      </c>
      <c r="G78" s="12">
        <f t="shared" si="7"/>
        <v>63.234630239052585</v>
      </c>
    </row>
    <row r="79" spans="1:7">
      <c r="A79" s="35">
        <v>37</v>
      </c>
      <c r="B79" s="76">
        <v>1265.6400000000001</v>
      </c>
      <c r="C79" s="36">
        <f t="shared" si="4"/>
        <v>1.2656400000000001</v>
      </c>
      <c r="D79" s="12">
        <f t="shared" si="5"/>
        <v>8.9101056000000026E-2</v>
      </c>
      <c r="E79" s="12">
        <f t="shared" si="6"/>
        <v>3.9777257142857153E-3</v>
      </c>
      <c r="F79" s="12">
        <f>E79/Calculation!K$19*1000</f>
        <v>4.1832566673960375E-3</v>
      </c>
      <c r="G79" s="12">
        <f t="shared" si="7"/>
        <v>63.362060518775984</v>
      </c>
    </row>
    <row r="80" spans="1:7">
      <c r="A80" s="35">
        <v>37.5</v>
      </c>
      <c r="B80" s="76">
        <v>1199.19</v>
      </c>
      <c r="C80" s="36">
        <f t="shared" si="4"/>
        <v>1.19919</v>
      </c>
      <c r="D80" s="12">
        <f t="shared" si="5"/>
        <v>8.4422975999999997E-2</v>
      </c>
      <c r="E80" s="12">
        <f t="shared" si="6"/>
        <v>3.7688828571428574E-3</v>
      </c>
      <c r="F80" s="12">
        <f>E80/Calculation!K$19*1000</f>
        <v>3.9636228018825681E-3</v>
      </c>
      <c r="G80" s="12">
        <f t="shared" si="7"/>
        <v>63.484263710815164</v>
      </c>
    </row>
    <row r="81" spans="1:7">
      <c r="A81" s="35">
        <v>38</v>
      </c>
      <c r="B81" s="76">
        <v>1148.3499999999999</v>
      </c>
      <c r="C81" s="36">
        <f t="shared" si="4"/>
        <v>1.14835</v>
      </c>
      <c r="D81" s="12">
        <f t="shared" si="5"/>
        <v>8.0843840000000014E-2</v>
      </c>
      <c r="E81" s="12">
        <f t="shared" si="6"/>
        <v>3.6091000000000009E-3</v>
      </c>
      <c r="F81" s="12">
        <f>E81/Calculation!K$19*1000</f>
        <v>3.7955838895770045E-3</v>
      </c>
      <c r="G81" s="12">
        <f t="shared" si="7"/>
        <v>63.600651811187056</v>
      </c>
    </row>
    <row r="82" spans="1:7">
      <c r="A82" s="35">
        <v>38.5</v>
      </c>
      <c r="B82" s="76">
        <v>1106.6500000000001</v>
      </c>
      <c r="C82" s="36">
        <f t="shared" si="4"/>
        <v>1.1066500000000001</v>
      </c>
      <c r="D82" s="12">
        <f t="shared" si="5"/>
        <v>7.7908160000000004E-2</v>
      </c>
      <c r="E82" s="12">
        <f t="shared" si="6"/>
        <v>3.4780428571428578E-3</v>
      </c>
      <c r="F82" s="12">
        <f>E82/Calculation!K$19*1000</f>
        <v>3.6577549626859336E-3</v>
      </c>
      <c r="G82" s="12">
        <f t="shared" si="7"/>
        <v>63.712451893971</v>
      </c>
    </row>
    <row r="83" spans="1:7">
      <c r="A83" s="35">
        <v>39</v>
      </c>
      <c r="B83" s="76">
        <v>1077.5</v>
      </c>
      <c r="C83" s="36">
        <f t="shared" si="4"/>
        <v>1.0774999999999999</v>
      </c>
      <c r="D83" s="12">
        <f t="shared" si="5"/>
        <v>7.5855999999999993E-2</v>
      </c>
      <c r="E83" s="12">
        <f t="shared" si="6"/>
        <v>3.3864285714285715E-3</v>
      </c>
      <c r="F83" s="12">
        <f>E83/Calculation!K$19*1000</f>
        <v>3.5614069238639975E-3</v>
      </c>
      <c r="G83" s="12">
        <f t="shared" si="7"/>
        <v>63.820739322269247</v>
      </c>
    </row>
    <row r="84" spans="1:7">
      <c r="A84" s="35">
        <v>39.5</v>
      </c>
      <c r="B84" s="76">
        <v>1029.02</v>
      </c>
      <c r="C84" s="36">
        <f t="shared" si="4"/>
        <v>1.02902</v>
      </c>
      <c r="D84" s="12">
        <f t="shared" si="5"/>
        <v>7.2443008000000017E-2</v>
      </c>
      <c r="E84" s="12">
        <f t="shared" si="6"/>
        <v>3.2340628571428582E-3</v>
      </c>
      <c r="F84" s="12">
        <f>E84/Calculation!K$19*1000</f>
        <v>3.4011684016654591E-3</v>
      </c>
      <c r="G84" s="12">
        <f t="shared" si="7"/>
        <v>63.92517795215219</v>
      </c>
    </row>
    <row r="85" spans="1:7">
      <c r="A85" s="35">
        <v>40</v>
      </c>
      <c r="B85" s="76">
        <v>986.31</v>
      </c>
      <c r="C85" s="36">
        <f t="shared" si="4"/>
        <v>0.98630999999999991</v>
      </c>
      <c r="D85" s="12">
        <f t="shared" si="5"/>
        <v>6.9436224000000005E-2</v>
      </c>
      <c r="E85" s="12">
        <f t="shared" si="6"/>
        <v>3.0998314285714292E-3</v>
      </c>
      <c r="F85" s="12">
        <f>E85/Calculation!K$19*1000</f>
        <v>3.2600011722285845E-3</v>
      </c>
      <c r="G85" s="12">
        <f t="shared" si="7"/>
        <v>64.025095495760596</v>
      </c>
    </row>
    <row r="86" spans="1:7">
      <c r="A86" s="35">
        <v>40.5</v>
      </c>
      <c r="B86" s="76">
        <v>957.66</v>
      </c>
      <c r="C86" s="36">
        <f t="shared" si="4"/>
        <v>0.95765999999999996</v>
      </c>
      <c r="D86" s="12">
        <f t="shared" si="5"/>
        <v>6.7419264000000007E-2</v>
      </c>
      <c r="E86" s="12">
        <f t="shared" si="6"/>
        <v>3.0097885714285718E-3</v>
      </c>
      <c r="F86" s="12">
        <f>E86/Calculation!K$19*1000</f>
        <v>3.1653057584293235E-3</v>
      </c>
      <c r="G86" s="12">
        <f t="shared" si="7"/>
        <v>64.12147509972047</v>
      </c>
    </row>
    <row r="87" spans="1:7">
      <c r="A87" s="35">
        <v>41</v>
      </c>
      <c r="B87" s="76">
        <v>908.51</v>
      </c>
      <c r="C87" s="36">
        <f t="shared" si="4"/>
        <v>0.90851000000000004</v>
      </c>
      <c r="D87" s="12">
        <f t="shared" si="5"/>
        <v>6.3959104000000017E-2</v>
      </c>
      <c r="E87" s="12">
        <f t="shared" si="6"/>
        <v>2.8553171428571437E-3</v>
      </c>
      <c r="F87" s="12">
        <f>E87/Calculation!K$19*1000</f>
        <v>3.0028527187003998E-3</v>
      </c>
      <c r="G87" s="12">
        <f t="shared" si="7"/>
        <v>64.21399747687741</v>
      </c>
    </row>
    <row r="88" spans="1:7">
      <c r="A88" s="35">
        <v>41.5</v>
      </c>
      <c r="B88" s="76">
        <v>881.73</v>
      </c>
      <c r="C88" s="36">
        <f t="shared" si="4"/>
        <v>0.88173000000000001</v>
      </c>
      <c r="D88" s="12">
        <f t="shared" si="5"/>
        <v>6.207379200000001E-2</v>
      </c>
      <c r="E88" s="12">
        <f t="shared" si="6"/>
        <v>2.7711514285714291E-3</v>
      </c>
      <c r="F88" s="12">
        <f>E88/Calculation!K$19*1000</f>
        <v>2.9143381224859427E-3</v>
      </c>
      <c r="G88" s="12">
        <f t="shared" si="7"/>
        <v>64.302755339495206</v>
      </c>
    </row>
    <row r="89" spans="1:7">
      <c r="A89" s="35">
        <v>42</v>
      </c>
      <c r="B89" s="76">
        <v>854.27</v>
      </c>
      <c r="C89" s="36">
        <f t="shared" si="4"/>
        <v>0.85426999999999997</v>
      </c>
      <c r="D89" s="12">
        <f t="shared" si="5"/>
        <v>6.0140608000000005E-2</v>
      </c>
      <c r="E89" s="12">
        <f t="shared" si="6"/>
        <v>2.6848485714285717E-3</v>
      </c>
      <c r="F89" s="12">
        <f>E89/Calculation!K$19*1000</f>
        <v>2.823575956240647E-3</v>
      </c>
      <c r="G89" s="12">
        <f t="shared" si="7"/>
        <v>64.388824050676106</v>
      </c>
    </row>
    <row r="90" spans="1:7">
      <c r="A90" s="35">
        <v>42.5</v>
      </c>
      <c r="B90" s="76">
        <v>812.57</v>
      </c>
      <c r="C90" s="36">
        <f t="shared" si="4"/>
        <v>0.81257000000000001</v>
      </c>
      <c r="D90" s="12">
        <f t="shared" si="5"/>
        <v>5.7204928000000002E-2</v>
      </c>
      <c r="E90" s="12">
        <f t="shared" si="6"/>
        <v>2.5537914285714289E-3</v>
      </c>
      <c r="F90" s="12">
        <f>E90/Calculation!K$19*1000</f>
        <v>2.6857470293495766E-3</v>
      </c>
      <c r="G90" s="12">
        <f t="shared" si="7"/>
        <v>64.471463895459962</v>
      </c>
    </row>
    <row r="91" spans="1:7">
      <c r="A91" s="35">
        <v>43</v>
      </c>
      <c r="B91" s="76">
        <v>775.45</v>
      </c>
      <c r="C91" s="36">
        <f t="shared" si="4"/>
        <v>0.77545000000000008</v>
      </c>
      <c r="D91" s="12">
        <f t="shared" si="5"/>
        <v>5.459168000000001E-2</v>
      </c>
      <c r="E91" s="12">
        <f t="shared" si="6"/>
        <v>2.4371285714285722E-3</v>
      </c>
      <c r="F91" s="12">
        <f>E91/Calculation!K$19*1000</f>
        <v>2.5630561476662067E-3</v>
      </c>
      <c r="G91" s="12">
        <f t="shared" si="7"/>
        <v>64.550195943115199</v>
      </c>
    </row>
    <row r="92" spans="1:7">
      <c r="A92" s="35">
        <v>43.5</v>
      </c>
      <c r="B92" s="76">
        <v>772.06</v>
      </c>
      <c r="C92" s="36">
        <f t="shared" si="4"/>
        <v>0.77205999999999997</v>
      </c>
      <c r="D92" s="12">
        <f t="shared" si="5"/>
        <v>5.4353024E-2</v>
      </c>
      <c r="E92" s="12">
        <f t="shared" si="6"/>
        <v>2.4264742857142856E-3</v>
      </c>
      <c r="F92" s="12">
        <f>E92/Calculation!K$19*1000</f>
        <v>2.5518513500124712E-3</v>
      </c>
      <c r="G92" s="12">
        <f t="shared" si="7"/>
        <v>64.626919555580372</v>
      </c>
    </row>
    <row r="93" spans="1:7">
      <c r="A93" s="35">
        <v>44</v>
      </c>
      <c r="B93" s="76">
        <v>747.48</v>
      </c>
      <c r="C93" s="36">
        <f t="shared" si="4"/>
        <v>0.74748000000000003</v>
      </c>
      <c r="D93" s="12">
        <f t="shared" si="5"/>
        <v>5.2622592000000003E-2</v>
      </c>
      <c r="E93" s="12">
        <f t="shared" si="6"/>
        <v>2.3492228571428573E-3</v>
      </c>
      <c r="F93" s="12">
        <f>E93/Calculation!K$19*1000</f>
        <v>2.4706083038977828E-3</v>
      </c>
      <c r="G93" s="12">
        <f t="shared" si="7"/>
        <v>64.702256450389029</v>
      </c>
    </row>
    <row r="94" spans="1:7">
      <c r="A94" s="35">
        <v>44.5</v>
      </c>
      <c r="B94" s="76">
        <v>721.55</v>
      </c>
      <c r="C94" s="36">
        <f t="shared" si="4"/>
        <v>0.72154999999999991</v>
      </c>
      <c r="D94" s="12">
        <f t="shared" si="5"/>
        <v>5.0797120000000001E-2</v>
      </c>
      <c r="E94" s="12">
        <f t="shared" si="6"/>
        <v>2.2677285714285717E-3</v>
      </c>
      <c r="F94" s="12">
        <f>E94/Calculation!K$19*1000</f>
        <v>2.3849031702218725E-3</v>
      </c>
      <c r="G94" s="12">
        <f t="shared" si="7"/>
        <v>64.77508912250083</v>
      </c>
    </row>
    <row r="95" spans="1:7">
      <c r="A95" s="35">
        <v>45</v>
      </c>
      <c r="B95" s="76">
        <v>715.96</v>
      </c>
      <c r="C95" s="36">
        <f t="shared" si="4"/>
        <v>0.71596000000000004</v>
      </c>
      <c r="D95" s="12">
        <f t="shared" si="5"/>
        <v>5.0403584000000008E-2</v>
      </c>
      <c r="E95" s="12">
        <f t="shared" si="6"/>
        <v>2.2501600000000006E-3</v>
      </c>
      <c r="F95" s="12">
        <f>E95/Calculation!K$19*1000</f>
        <v>2.3664268224683695E-3</v>
      </c>
      <c r="G95" s="12">
        <f t="shared" si="7"/>
        <v>64.846359072391181</v>
      </c>
    </row>
    <row r="96" spans="1:7">
      <c r="A96" s="35">
        <v>45.5</v>
      </c>
      <c r="B96" s="76">
        <v>698.33</v>
      </c>
      <c r="C96" s="36">
        <f t="shared" si="4"/>
        <v>0.69833000000000001</v>
      </c>
      <c r="D96" s="12">
        <f t="shared" si="5"/>
        <v>4.9162432000000006E-2</v>
      </c>
      <c r="E96" s="12">
        <f t="shared" si="6"/>
        <v>2.1947514285714288E-3</v>
      </c>
      <c r="F96" s="12">
        <f>E96/Calculation!K$19*1000</f>
        <v>2.3081552641688592E-3</v>
      </c>
      <c r="G96" s="12">
        <f t="shared" si="7"/>
        <v>64.916477803690739</v>
      </c>
    </row>
    <row r="97" spans="1:7">
      <c r="A97" s="35">
        <v>46</v>
      </c>
      <c r="B97" s="76">
        <v>714.43</v>
      </c>
      <c r="C97" s="36">
        <f t="shared" si="4"/>
        <v>0.7144299999999999</v>
      </c>
      <c r="D97" s="12">
        <f t="shared" si="5"/>
        <v>5.0295871999999998E-2</v>
      </c>
      <c r="E97" s="12">
        <f t="shared" si="6"/>
        <v>2.2453514285714288E-3</v>
      </c>
      <c r="F97" s="12">
        <f>E97/Calculation!K$19*1000</f>
        <v>2.3613697898989846E-3</v>
      </c>
      <c r="G97" s="12">
        <f t="shared" si="7"/>
        <v>64.986520679501751</v>
      </c>
    </row>
    <row r="98" spans="1:7">
      <c r="A98" s="35">
        <v>46.5</v>
      </c>
      <c r="B98" s="76">
        <v>694.26</v>
      </c>
      <c r="C98" s="36">
        <f t="shared" si="4"/>
        <v>0.69425999999999999</v>
      </c>
      <c r="D98" s="12">
        <f t="shared" si="5"/>
        <v>4.8875904000000005E-2</v>
      </c>
      <c r="E98" s="12">
        <f t="shared" si="6"/>
        <v>2.1819600000000001E-3</v>
      </c>
      <c r="F98" s="12">
        <f>E98/Calculation!K$19*1000</f>
        <v>2.2947028964842866E-3</v>
      </c>
      <c r="G98" s="12">
        <f t="shared" si="7"/>
        <v>65.056361769797505</v>
      </c>
    </row>
    <row r="99" spans="1:7">
      <c r="A99" s="35">
        <v>47</v>
      </c>
      <c r="B99" s="76">
        <v>705.28</v>
      </c>
      <c r="C99" s="36">
        <f t="shared" si="4"/>
        <v>0.70528000000000002</v>
      </c>
      <c r="D99" s="12">
        <f t="shared" si="5"/>
        <v>4.9651712000000001E-2</v>
      </c>
      <c r="E99" s="12">
        <f t="shared" si="6"/>
        <v>2.2165942857142857E-3</v>
      </c>
      <c r="F99" s="12">
        <f>E99/Calculation!K$19*1000</f>
        <v>2.3311267519840373E-3</v>
      </c>
      <c r="G99" s="12">
        <f t="shared" si="7"/>
        <v>65.125749214524532</v>
      </c>
    </row>
    <row r="100" spans="1:7">
      <c r="A100" s="35">
        <v>47.5</v>
      </c>
      <c r="B100" s="76">
        <v>723.92</v>
      </c>
      <c r="C100" s="36">
        <f t="shared" si="4"/>
        <v>0.72392000000000001</v>
      </c>
      <c r="D100" s="12">
        <f t="shared" si="5"/>
        <v>5.0963967999999998E-2</v>
      </c>
      <c r="E100" s="12">
        <f t="shared" si="6"/>
        <v>2.275177142857143E-3</v>
      </c>
      <c r="F100" s="12">
        <f>E100/Calculation!K$19*1000</f>
        <v>2.3927366128293505E-3</v>
      </c>
      <c r="G100" s="12">
        <f t="shared" si="7"/>
        <v>65.196607164996735</v>
      </c>
    </row>
    <row r="101" spans="1:7">
      <c r="A101" s="35">
        <v>48</v>
      </c>
      <c r="B101" s="76">
        <v>731.04</v>
      </c>
      <c r="C101" s="36">
        <f t="shared" si="4"/>
        <v>0.73103999999999991</v>
      </c>
      <c r="D101" s="12">
        <f t="shared" si="5"/>
        <v>5.1465215999999994E-2</v>
      </c>
      <c r="E101" s="12">
        <f t="shared" si="6"/>
        <v>2.2975542857142854E-3</v>
      </c>
      <c r="F101" s="12">
        <f>E101/Calculation!K$20*1000</f>
        <v>2.5467435545685579E-3</v>
      </c>
      <c r="G101" s="12">
        <f t="shared" si="7"/>
        <v>65.270699367507703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3" t="s">
        <v>41</v>
      </c>
      <c r="B1" s="133"/>
      <c r="D1" s="159" t="s">
        <v>4</v>
      </c>
      <c r="E1" s="159" t="s">
        <v>5</v>
      </c>
      <c r="F1" s="133" t="s">
        <v>142</v>
      </c>
      <c r="G1" s="133"/>
      <c r="H1" s="133"/>
      <c r="I1" s="133"/>
      <c r="J1" s="133" t="s">
        <v>42</v>
      </c>
      <c r="K1" s="133"/>
      <c r="L1" s="133"/>
      <c r="M1" s="133"/>
      <c r="N1" s="160" t="s">
        <v>43</v>
      </c>
      <c r="O1" s="131"/>
      <c r="P1" s="131"/>
      <c r="Q1" s="161"/>
      <c r="R1" s="133" t="s">
        <v>65</v>
      </c>
      <c r="S1" s="133"/>
      <c r="T1" s="133"/>
      <c r="U1" s="133"/>
    </row>
    <row r="2" spans="1:21">
      <c r="A2" s="133" t="s">
        <v>34</v>
      </c>
      <c r="B2" s="133"/>
      <c r="D2" s="159"/>
      <c r="E2" s="159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3" t="s">
        <v>35</v>
      </c>
      <c r="B3" s="14" t="s">
        <v>38</v>
      </c>
      <c r="D3" s="16">
        <v>0</v>
      </c>
      <c r="E3" s="64">
        <v>-0.16666666666666666</v>
      </c>
      <c r="F3" s="52">
        <v>48.997187685020727</v>
      </c>
      <c r="G3" s="52">
        <v>0.38220104599394272</v>
      </c>
      <c r="H3" s="13">
        <f>F3*Calculation!I3/Calculation!F22</f>
        <v>48.997187685020727</v>
      </c>
      <c r="I3" s="13">
        <f>G3*Calculation!I3/Calculation!F22</f>
        <v>0.38220104599394272</v>
      </c>
      <c r="J3" s="13">
        <v>0.88809946714031973</v>
      </c>
      <c r="K3" s="13">
        <v>4.4404973357016028E-2</v>
      </c>
      <c r="L3" s="13">
        <f>J3*Calculation!I3/Calculation!F22</f>
        <v>0.88809946714031973</v>
      </c>
      <c r="M3" s="13">
        <f>K3*Calculation!I3/Calculation!F22</f>
        <v>4.4404973357016028E-2</v>
      </c>
      <c r="N3" s="13">
        <v>0.99916736053288935</v>
      </c>
      <c r="O3" s="13">
        <v>5.7686954456915129E-2</v>
      </c>
      <c r="P3" s="13">
        <f>N3*Calculation!I3/Calculation!F22</f>
        <v>0.99916736053288935</v>
      </c>
      <c r="Q3" s="13">
        <f>O3*Calculation!I3/Calculation!F22</f>
        <v>5.7686954456915129E-2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33"/>
      <c r="B4" s="14" t="s">
        <v>39</v>
      </c>
      <c r="D4" s="16">
        <v>0</v>
      </c>
      <c r="E4" s="66">
        <v>0.16666666666666666</v>
      </c>
      <c r="F4" s="52">
        <v>47.424511545293065</v>
      </c>
      <c r="G4" s="52">
        <v>9.4849064668264496E-2</v>
      </c>
      <c r="H4" s="13">
        <f>F4*Calculation!I4/Calculation!K3</f>
        <v>47.509807429367328</v>
      </c>
      <c r="I4" s="13">
        <f>G4*Calculation!I4/Calculation!K3</f>
        <v>9.5019656511193026E-2</v>
      </c>
      <c r="J4" s="13">
        <v>1.6059798697454115</v>
      </c>
      <c r="K4" s="13">
        <v>4.6218161622249711E-2</v>
      </c>
      <c r="L4" s="13">
        <f>J4*Calculation!I4/Calculation!K3</f>
        <v>1.608868322748551</v>
      </c>
      <c r="M4" s="13">
        <f>K4*Calculation!I4/Calculation!K3</f>
        <v>4.6301287812217783E-2</v>
      </c>
      <c r="N4" s="13">
        <v>4.1854010546766585</v>
      </c>
      <c r="O4" s="13">
        <v>1.9228984818971735E-2</v>
      </c>
      <c r="P4" s="13">
        <f>N4*Calculation!I4/Calculation!K3</f>
        <v>4.1929287544152851</v>
      </c>
      <c r="Q4" s="13">
        <f>O4*Calculation!I4/Calculation!K3</f>
        <v>1.9263569324041826E-2</v>
      </c>
      <c r="R4" s="13">
        <v>1.1296980230284597</v>
      </c>
      <c r="S4" s="13">
        <v>8.689984792526613E-2</v>
      </c>
      <c r="T4" s="13">
        <f>R4*Calculation!I4/Calculation!K3</f>
        <v>1.1317298540051295</v>
      </c>
      <c r="U4" s="13">
        <f>S4*Calculation!I4/Calculation!K3</f>
        <v>8.7056142615779195E-2</v>
      </c>
    </row>
    <row r="5" spans="1:21">
      <c r="A5" s="15" t="s">
        <v>37</v>
      </c>
      <c r="B5" s="15">
        <v>180.16</v>
      </c>
      <c r="D5" s="16">
        <v>1</v>
      </c>
      <c r="E5" s="66">
        <v>2</v>
      </c>
      <c r="F5" s="52">
        <v>47.039668442865597</v>
      </c>
      <c r="G5" s="52">
        <v>6.6915117377241942E-2</v>
      </c>
      <c r="H5" s="13">
        <f>F5*Calculation!I5/Calculation!K4</f>
        <v>47.182342738765065</v>
      </c>
      <c r="I5" s="13">
        <f>G5*Calculation!I5/Calculation!K4</f>
        <v>6.7118075169523658E-2</v>
      </c>
      <c r="J5" s="13">
        <v>1.7910005920663112</v>
      </c>
      <c r="K5" s="13">
        <v>1.2818611660515681E-2</v>
      </c>
      <c r="L5" s="13">
        <f>J5*Calculation!I5/Calculation!K4</f>
        <v>1.7964328103809226</v>
      </c>
      <c r="M5" s="13">
        <f>K5*Calculation!I5/Calculation!K4</f>
        <v>1.2857491322163255E-2</v>
      </c>
      <c r="N5" s="13">
        <v>4.5628642797668615</v>
      </c>
      <c r="O5" s="13">
        <v>5.7686954456915213E-2</v>
      </c>
      <c r="P5" s="13">
        <f>N5*Calculation!I5/Calculation!K4</f>
        <v>4.5767037363351246</v>
      </c>
      <c r="Q5" s="13">
        <f>O5*Calculation!I5/Calculation!K4</f>
        <v>5.7861922646151531E-2</v>
      </c>
      <c r="R5" s="13">
        <v>1.1441813310160041</v>
      </c>
      <c r="S5" s="13">
        <v>2.5085825296094988E-2</v>
      </c>
      <c r="T5" s="13">
        <f>R5*Calculation!I5/Calculation!K4</f>
        <v>1.1476517055145468</v>
      </c>
      <c r="U5" s="13">
        <f>S5*Calculation!I5/Calculation!K4</f>
        <v>2.5161912194231282E-2</v>
      </c>
    </row>
    <row r="6" spans="1:21">
      <c r="A6" s="15" t="s">
        <v>40</v>
      </c>
      <c r="B6" s="15">
        <v>180.16</v>
      </c>
      <c r="D6" s="16">
        <v>2</v>
      </c>
      <c r="E6" s="66">
        <v>3.3333333333333335</v>
      </c>
      <c r="F6" s="52">
        <v>46.380994671403201</v>
      </c>
      <c r="G6" s="52">
        <v>9.9911190053289758E-2</v>
      </c>
      <c r="H6" s="13">
        <f>F6*Calculation!I6/Calculation!K5</f>
        <v>46.609836053351955</v>
      </c>
      <c r="I6" s="13">
        <f>G6*Calculation!I6/Calculation!K5</f>
        <v>0.10040414659650157</v>
      </c>
      <c r="J6" s="13">
        <v>2.1240378922439316</v>
      </c>
      <c r="K6" s="13">
        <v>2.5637223321031362E-2</v>
      </c>
      <c r="L6" s="13">
        <f>J6*Calculation!I6/Calculation!K5</f>
        <v>2.1345177831996192</v>
      </c>
      <c r="M6" s="13">
        <f>K6*Calculation!I6/Calculation!K5</f>
        <v>2.5763716028996742E-2</v>
      </c>
      <c r="N6" s="13">
        <v>5.0180405217873991</v>
      </c>
      <c r="O6" s="13">
        <v>1.9228984818971735E-2</v>
      </c>
      <c r="P6" s="13">
        <f>N6*Calculation!I6/Calculation!K5</f>
        <v>5.0427992691108736</v>
      </c>
      <c r="Q6" s="13">
        <f>O6*Calculation!I6/Calculation!K5</f>
        <v>1.9323859616086819E-2</v>
      </c>
      <c r="R6" s="13">
        <v>1.3179810268665362</v>
      </c>
      <c r="S6" s="13">
        <v>2.5085825296094988E-2</v>
      </c>
      <c r="T6" s="13">
        <f>R6*Calculation!I6/Calculation!K5</f>
        <v>1.3244838757533959</v>
      </c>
      <c r="U6" s="13">
        <f>S6*Calculation!I6/Calculation!K5</f>
        <v>2.5209597435281624E-2</v>
      </c>
    </row>
    <row r="7" spans="1:21">
      <c r="A7" s="32" t="s">
        <v>116</v>
      </c>
      <c r="B7" s="32">
        <v>46.03</v>
      </c>
      <c r="D7" s="16">
        <v>3</v>
      </c>
      <c r="E7" s="66">
        <v>4.666666666666667</v>
      </c>
      <c r="F7" s="52">
        <v>43.946121965660154</v>
      </c>
      <c r="G7" s="52">
        <v>0.91552172110264818</v>
      </c>
      <c r="H7" s="13">
        <f>F7*Calculation!I7/Calculation!K6</f>
        <v>44.306242967267316</v>
      </c>
      <c r="I7" s="13">
        <f>G7*Calculation!I7/Calculation!K6</f>
        <v>0.92302405770140961</v>
      </c>
      <c r="J7" s="13">
        <v>2.5384843102427475</v>
      </c>
      <c r="K7" s="13">
        <v>4.6218161622249884E-2</v>
      </c>
      <c r="L7" s="13">
        <f>J7*Calculation!I7/Calculation!K6</f>
        <v>2.5592861801570717</v>
      </c>
      <c r="M7" s="13">
        <f>K7*Calculation!I7/Calculation!K6</f>
        <v>4.6596901085742305E-2</v>
      </c>
      <c r="N7" s="13">
        <v>5.3510963086316954</v>
      </c>
      <c r="O7" s="13">
        <v>0.11696534835251457</v>
      </c>
      <c r="P7" s="13">
        <f>N7*Calculation!I7/Calculation!K6</f>
        <v>5.3949464159032008</v>
      </c>
      <c r="Q7" s="13">
        <f>O7*Calculation!I7/Calculation!K6</f>
        <v>0.11792383289035281</v>
      </c>
      <c r="R7" s="13">
        <v>1.4338474907668912</v>
      </c>
      <c r="S7" s="13">
        <v>0</v>
      </c>
      <c r="T7" s="13">
        <f>R7*Calculation!I7/Calculation!K6</f>
        <v>1.4455973010216023</v>
      </c>
      <c r="U7" s="13">
        <f>S7*Calculation!I7/Calculation!K6</f>
        <v>0</v>
      </c>
    </row>
    <row r="8" spans="1:21">
      <c r="A8" s="15" t="s">
        <v>43</v>
      </c>
      <c r="B8" s="15">
        <v>60.05</v>
      </c>
      <c r="D8" s="16">
        <v>4</v>
      </c>
      <c r="E8" s="66">
        <v>6</v>
      </c>
      <c r="F8" s="52">
        <v>40.822972172883368</v>
      </c>
      <c r="G8" s="52">
        <v>0.17352537133945248</v>
      </c>
      <c r="H8" s="13">
        <f>F8*Calculation!I8/Calculation!K7</f>
        <v>41.322020523941937</v>
      </c>
      <c r="I8" s="13">
        <f>G8*Calculation!I8/Calculation!K7</f>
        <v>0.17564666593963599</v>
      </c>
      <c r="J8" s="13">
        <v>2.8345174659561874</v>
      </c>
      <c r="K8" s="13">
        <v>1.2818611660515681E-2</v>
      </c>
      <c r="L8" s="13">
        <f>J8*Calculation!I8/Calculation!K7</f>
        <v>2.8691685751758085</v>
      </c>
      <c r="M8" s="13">
        <f>K8*Calculation!I8/Calculation!K7</f>
        <v>1.2975315268105764E-2</v>
      </c>
      <c r="N8" s="13">
        <v>5.7285595337218984</v>
      </c>
      <c r="O8" s="13">
        <v>3.330557868442921E-2</v>
      </c>
      <c r="P8" s="13">
        <f>N8*Calculation!I8/Calculation!K7</f>
        <v>5.7985894222155077</v>
      </c>
      <c r="Q8" s="13">
        <f>O8*Calculation!I8/Calculation!K7</f>
        <v>3.3712729198926934E-2</v>
      </c>
      <c r="R8" s="13">
        <v>1.5062640307046131</v>
      </c>
      <c r="S8" s="13">
        <v>5.0171650592189816E-2</v>
      </c>
      <c r="T8" s="13">
        <f>R8*Calculation!I8/Calculation!K7</f>
        <v>1.5246776478611141</v>
      </c>
      <c r="U8" s="13">
        <f>S8*Calculation!I8/Calculation!K7</f>
        <v>5.0784983678077919E-2</v>
      </c>
    </row>
    <row r="9" spans="1:21">
      <c r="A9" s="32" t="s">
        <v>67</v>
      </c>
      <c r="B9" s="32">
        <v>74.08</v>
      </c>
      <c r="D9" s="16">
        <v>5</v>
      </c>
      <c r="E9" s="66">
        <v>7.333333333333333</v>
      </c>
      <c r="F9" s="52">
        <v>35.945825932504441</v>
      </c>
      <c r="G9" s="52">
        <v>0.25436143955127832</v>
      </c>
      <c r="H9" s="13">
        <f>F9*Calculation!I9/Calculation!K8</f>
        <v>36.584623909680651</v>
      </c>
      <c r="I9" s="13">
        <f>G9*Calculation!I9/Calculation!K8</f>
        <v>0.25888172998394454</v>
      </c>
      <c r="J9" s="13">
        <v>3.1009473060982833</v>
      </c>
      <c r="K9" s="13">
        <v>1.2818611660515681E-2</v>
      </c>
      <c r="L9" s="13">
        <f>J9*Calculation!I9/Calculation!K8</f>
        <v>3.1560546465217612</v>
      </c>
      <c r="M9" s="13">
        <f>K9*Calculation!I9/Calculation!K8</f>
        <v>1.3046412886013194E-2</v>
      </c>
      <c r="N9" s="13">
        <v>6.827643630308077</v>
      </c>
      <c r="O9" s="13">
        <v>6.6611157368858892E-2</v>
      </c>
      <c r="P9" s="13">
        <f>N9*Calculation!I9/Calculation!K8</f>
        <v>6.9489785788528788</v>
      </c>
      <c r="Q9" s="13">
        <f>O9*Calculation!I9/Calculation!K8</f>
        <v>6.7794912964417933E-2</v>
      </c>
      <c r="R9" s="13">
        <v>1.3759142588167137</v>
      </c>
      <c r="S9" s="13">
        <v>2.5085825296094995E-2</v>
      </c>
      <c r="T9" s="13">
        <f>R9*Calculation!I9/Calculation!K8</f>
        <v>1.4003658111875061</v>
      </c>
      <c r="U9" s="13">
        <f>S9*Calculation!I9/Calculation!K8</f>
        <v>2.5531628780622824E-2</v>
      </c>
    </row>
    <row r="10" spans="1:21">
      <c r="A10" s="32" t="s">
        <v>66</v>
      </c>
      <c r="B10" s="32">
        <v>88.11</v>
      </c>
      <c r="D10" s="16">
        <v>6</v>
      </c>
      <c r="E10" s="66">
        <v>8.6666666666666661</v>
      </c>
      <c r="F10" s="52">
        <v>28.544997039668445</v>
      </c>
      <c r="G10" s="52">
        <v>0.18048769091558914</v>
      </c>
      <c r="H10" s="13">
        <f>F10*Calculation!I10/Calculation!K9</f>
        <v>29.277644166993088</v>
      </c>
      <c r="I10" s="13">
        <f>G10*Calculation!I10/Calculation!K9</f>
        <v>0.18512015901789797</v>
      </c>
      <c r="J10" s="13">
        <v>3.7004144464179989</v>
      </c>
      <c r="K10" s="13">
        <v>3.3914858606837212E-2</v>
      </c>
      <c r="L10" s="13">
        <f>J10*Calculation!I10/Calculation!K9</f>
        <v>3.7953907398228002</v>
      </c>
      <c r="M10" s="13">
        <f>K10*Calculation!I10/Calculation!K9</f>
        <v>3.4785330714344892E-2</v>
      </c>
      <c r="N10" s="13">
        <v>11.19067443796836</v>
      </c>
      <c r="O10" s="13">
        <v>8.8118278470094694E-2</v>
      </c>
      <c r="P10" s="13">
        <f>N10*Calculation!I10/Calculation!K9</f>
        <v>11.477898691956163</v>
      </c>
      <c r="Q10" s="13">
        <f>O10*Calculation!I10/Calculation!K9</f>
        <v>9.037995688246904E-2</v>
      </c>
      <c r="R10" s="13">
        <v>1.6076471866174233</v>
      </c>
      <c r="S10" s="13">
        <v>4.34499239626331E-2</v>
      </c>
      <c r="T10" s="13">
        <f>R10*Calculation!I10/Calculation!K9</f>
        <v>1.6489096919660831</v>
      </c>
      <c r="U10" s="13">
        <f>S10*Calculation!I10/Calculation!K9</f>
        <v>4.4565126809894176E-2</v>
      </c>
    </row>
    <row r="11" spans="1:21">
      <c r="A11" s="15" t="s">
        <v>42</v>
      </c>
      <c r="B11" s="15">
        <v>90.08</v>
      </c>
      <c r="D11" s="16">
        <v>7</v>
      </c>
      <c r="E11" s="66">
        <v>10</v>
      </c>
      <c r="F11" s="52">
        <v>19.108940201302545</v>
      </c>
      <c r="G11" s="52">
        <v>0.54479099557191568</v>
      </c>
      <c r="H11" s="13">
        <f>F11*Calculation!I11/Calculation!K10</f>
        <v>19.825980413744883</v>
      </c>
      <c r="I11" s="13">
        <f>G11*Calculation!I11/Calculation!K10</f>
        <v>0.56523362855346282</v>
      </c>
      <c r="J11" s="13">
        <v>5.8984606275902909</v>
      </c>
      <c r="K11" s="13">
        <v>0.16061674374045828</v>
      </c>
      <c r="L11" s="13">
        <f>J11*Calculation!I11/Calculation!K10</f>
        <v>6.1197933345293087</v>
      </c>
      <c r="M11" s="13">
        <f>K11*Calculation!I11/Calculation!K10</f>
        <v>0.16664369567186912</v>
      </c>
      <c r="N11" s="13">
        <v>17.629752983624758</v>
      </c>
      <c r="O11" s="13">
        <v>0.45218788463871928</v>
      </c>
      <c r="P11" s="13">
        <f>N11*Calculation!I11/Calculation!K10</f>
        <v>18.291288458199251</v>
      </c>
      <c r="Q11" s="13">
        <f>O11*Calculation!I11/Calculation!K10</f>
        <v>0.46915569622060377</v>
      </c>
      <c r="R11" s="13">
        <v>2.6359620537330724</v>
      </c>
      <c r="S11" s="13">
        <v>2.5085825296094995E-2</v>
      </c>
      <c r="T11" s="13">
        <f>R11*Calculation!I11/Calculation!K10</f>
        <v>2.7348733890079542</v>
      </c>
      <c r="U11" s="13">
        <f>S11*Calculation!I11/Calculation!K10</f>
        <v>2.6027141000164091E-2</v>
      </c>
    </row>
    <row r="12" spans="1:21">
      <c r="A12" s="15" t="s">
        <v>44</v>
      </c>
      <c r="B12" s="15">
        <v>46.07</v>
      </c>
      <c r="D12" s="16">
        <v>8</v>
      </c>
      <c r="E12" s="66">
        <v>11.333333333333334</v>
      </c>
      <c r="F12" s="52">
        <v>4.0963587921847244</v>
      </c>
      <c r="G12" s="52">
        <v>2.937112911927834E-2</v>
      </c>
      <c r="H12" s="13">
        <f>F12*Calculation!I12/Calculation!K11</f>
        <v>4.3129406296431751</v>
      </c>
      <c r="I12" s="13">
        <f>G12*Calculation!I12/Calculation!K11</f>
        <v>3.0924033402228136E-2</v>
      </c>
      <c r="J12" s="13">
        <v>8.1335109532267627</v>
      </c>
      <c r="K12" s="13">
        <v>5.5875032824679961E-2</v>
      </c>
      <c r="L12" s="13">
        <f>J12*Calculation!I12/Calculation!K11</f>
        <v>8.5635442673493234</v>
      </c>
      <c r="M12" s="13">
        <f>K12*Calculation!I12/Calculation!K11</f>
        <v>5.8829246039671879E-2</v>
      </c>
      <c r="N12" s="13">
        <v>26.844296419650291</v>
      </c>
      <c r="O12" s="13">
        <v>0.18543761408259873</v>
      </c>
      <c r="P12" s="13">
        <f>N12*Calculation!I12/Calculation!K11</f>
        <v>28.263602525096779</v>
      </c>
      <c r="Q12" s="13">
        <f>O12*Calculation!I12/Calculation!K11</f>
        <v>0.1952420333801819</v>
      </c>
      <c r="R12" s="13">
        <v>1.9262799623433993</v>
      </c>
      <c r="S12" s="13">
        <v>5.017165059218999E-2</v>
      </c>
      <c r="T12" s="13">
        <f>R12*Calculation!I12/Calculation!K11</f>
        <v>2.0281258393451118</v>
      </c>
      <c r="U12" s="13">
        <f>S12*Calculation!I12/Calculation!K11</f>
        <v>5.2824315757729494E-2</v>
      </c>
    </row>
    <row r="13" spans="1:21">
      <c r="D13" s="16">
        <v>9</v>
      </c>
      <c r="E13" s="66">
        <v>12.666666666666666</v>
      </c>
      <c r="F13" s="52">
        <v>0</v>
      </c>
      <c r="G13" s="52">
        <v>0</v>
      </c>
      <c r="H13" s="13">
        <f>F13*Calculation!I13/Calculation!K12</f>
        <v>0</v>
      </c>
      <c r="I13" s="13">
        <f>G13*Calculation!I13/Calculation!K12</f>
        <v>0</v>
      </c>
      <c r="J13" s="13">
        <v>8.4073416222616935</v>
      </c>
      <c r="K13" s="13">
        <v>2.5637223321031362E-2</v>
      </c>
      <c r="L13" s="13">
        <f>J13*Calculation!I13/Calculation!K12</f>
        <v>8.8985117179988986</v>
      </c>
      <c r="M13" s="13">
        <f>K13*Calculation!I13/Calculation!K12</f>
        <v>2.713499015373437E-2</v>
      </c>
      <c r="N13" s="13">
        <v>32.472939217318903</v>
      </c>
      <c r="O13" s="13">
        <v>3.3305578684429675E-2</v>
      </c>
      <c r="P13" s="13">
        <f>N13*Calculation!I13/Calculation!K12</f>
        <v>34.37005930364986</v>
      </c>
      <c r="Q13" s="13">
        <f>O13*Calculation!I13/Calculation!K12</f>
        <v>3.5251342875538355E-2</v>
      </c>
      <c r="R13" s="13">
        <v>0</v>
      </c>
      <c r="S13" s="13">
        <v>0</v>
      </c>
      <c r="T13" s="13">
        <f>R13*Calculation!I13/Calculation!K12</f>
        <v>0</v>
      </c>
      <c r="U13" s="13">
        <f>S13*Calculation!I13/Calculation!K12</f>
        <v>0</v>
      </c>
    </row>
    <row r="14" spans="1:21">
      <c r="D14" s="16">
        <v>10</v>
      </c>
      <c r="E14" s="66">
        <v>14</v>
      </c>
      <c r="F14" s="52">
        <v>0</v>
      </c>
      <c r="G14" s="52">
        <v>0</v>
      </c>
      <c r="H14" s="13">
        <f>F14*Calculation!I14/Calculation!K13</f>
        <v>0</v>
      </c>
      <c r="I14" s="13">
        <f>G14*Calculation!I14/Calculation!K13</f>
        <v>0</v>
      </c>
      <c r="J14" s="13">
        <v>8.2593250444049744</v>
      </c>
      <c r="K14" s="13">
        <v>9.6778395726924454E-2</v>
      </c>
      <c r="L14" s="13">
        <f>J14*Calculation!I14/Calculation!K13</f>
        <v>8.7554537680632958</v>
      </c>
      <c r="M14" s="13">
        <f>K14*Calculation!I14/Calculation!K13</f>
        <v>0.10259176930061917</v>
      </c>
      <c r="N14" s="13">
        <v>34.060505134610047</v>
      </c>
      <c r="O14" s="13">
        <v>0.30766375710354776</v>
      </c>
      <c r="P14" s="13">
        <f>N14*Calculation!I14/Calculation!K13</f>
        <v>36.106482844500398</v>
      </c>
      <c r="Q14" s="13">
        <f>O14*Calculation!I14/Calculation!K13</f>
        <v>0.32614478628051524</v>
      </c>
      <c r="R14" s="13">
        <v>0</v>
      </c>
      <c r="S14" s="13">
        <v>0</v>
      </c>
      <c r="T14" s="13">
        <f>R14*Calculation!I14/Calculation!K13</f>
        <v>0</v>
      </c>
      <c r="U14" s="13">
        <f>S14*Calculation!I14/Calculation!K13</f>
        <v>0</v>
      </c>
    </row>
    <row r="15" spans="1:21">
      <c r="D15" s="16">
        <v>11</v>
      </c>
      <c r="E15" s="66">
        <v>15.333333333333334</v>
      </c>
      <c r="F15" s="52">
        <v>0</v>
      </c>
      <c r="G15" s="52">
        <v>0</v>
      </c>
      <c r="H15" s="13">
        <f>F15*Calculation!I15/Calculation!K14</f>
        <v>0</v>
      </c>
      <c r="I15" s="13">
        <f>G15*Calculation!I15/Calculation!K14</f>
        <v>0</v>
      </c>
      <c r="J15" s="13">
        <v>8.0743043220840729</v>
      </c>
      <c r="K15" s="13">
        <v>9.2436323244499768E-2</v>
      </c>
      <c r="L15" s="13">
        <f>J15*Calculation!I15/Calculation!K14</f>
        <v>8.5731244043449077</v>
      </c>
      <c r="M15" s="13">
        <f>K15*Calculation!I15/Calculation!K14</f>
        <v>9.8146919789467407E-2</v>
      </c>
      <c r="N15" s="13">
        <v>34.038301415487098</v>
      </c>
      <c r="O15" s="13">
        <v>0.46269588640965037</v>
      </c>
      <c r="P15" s="13">
        <f>N15*Calculation!I15/Calculation!K14</f>
        <v>36.141143670968241</v>
      </c>
      <c r="Q15" s="13">
        <f>O15*Calculation!I15/Calculation!K14</f>
        <v>0.49128064008178346</v>
      </c>
      <c r="R15" s="13">
        <v>0</v>
      </c>
      <c r="S15" s="13">
        <v>0</v>
      </c>
      <c r="T15" s="13">
        <f>R15*Calculation!I15/Calculation!K14</f>
        <v>0</v>
      </c>
      <c r="U15" s="13">
        <f>S15*Calculation!I15/Calculation!K14</f>
        <v>0</v>
      </c>
    </row>
    <row r="16" spans="1:21">
      <c r="D16" s="16">
        <v>12</v>
      </c>
      <c r="E16" s="66">
        <v>16.666666666666668</v>
      </c>
      <c r="F16" s="52">
        <v>0</v>
      </c>
      <c r="G16" s="52">
        <v>0</v>
      </c>
      <c r="H16" s="13">
        <f>F16*Calculation!I16/Calculation!K15</f>
        <v>0</v>
      </c>
      <c r="I16" s="13">
        <f>G16*Calculation!I16/Calculation!K15</f>
        <v>0</v>
      </c>
      <c r="J16" s="13">
        <v>7.8522794552989925</v>
      </c>
      <c r="K16" s="13">
        <v>0.14783144135167403</v>
      </c>
      <c r="L16" s="13">
        <f>J16*Calculation!I16/Calculation!K15</f>
        <v>8.3513252405864939</v>
      </c>
      <c r="M16" s="13">
        <f>K16*Calculation!I16/Calculation!K15</f>
        <v>0.15722675874447817</v>
      </c>
      <c r="N16" s="13">
        <v>33.738551207327227</v>
      </c>
      <c r="O16" s="13">
        <v>0.70494622776075544</v>
      </c>
      <c r="P16" s="13">
        <f>N16*Calculation!I16/Calculation!K15</f>
        <v>35.882779756192853</v>
      </c>
      <c r="Q16" s="13">
        <f>O16*Calculation!I16/Calculation!K15</f>
        <v>0.74974856137878787</v>
      </c>
      <c r="R16" s="13">
        <v>0</v>
      </c>
      <c r="S16" s="13">
        <v>0</v>
      </c>
      <c r="T16" s="13">
        <f>R16*Calculation!I16/Calculation!K15</f>
        <v>0</v>
      </c>
      <c r="U16" s="13">
        <f>S16*Calculation!I16/Calculation!K15</f>
        <v>0</v>
      </c>
    </row>
    <row r="17" spans="4:21">
      <c r="D17" s="16">
        <v>13</v>
      </c>
      <c r="E17" s="66">
        <v>18</v>
      </c>
      <c r="F17" s="52">
        <v>0</v>
      </c>
      <c r="G17" s="52">
        <v>0</v>
      </c>
      <c r="H17" s="13">
        <f>F17*Calculation!I17/Calculation!K16</f>
        <v>0</v>
      </c>
      <c r="I17" s="13">
        <f>G17*Calculation!I17/Calculation!K16</f>
        <v>0</v>
      </c>
      <c r="J17" s="13">
        <v>7.6228537596210764</v>
      </c>
      <c r="K17" s="13">
        <v>2.5637223321030654E-2</v>
      </c>
      <c r="L17" s="13">
        <f>J17*Calculation!I17/Calculation!K16</f>
        <v>8.1143439713553978</v>
      </c>
      <c r="M17" s="13">
        <f>K17*Calculation!I17/Calculation!K16</f>
        <v>2.7290205880538633E-2</v>
      </c>
      <c r="N17" s="13">
        <v>32.683874548986957</v>
      </c>
      <c r="O17" s="13">
        <v>0.11696534835251457</v>
      </c>
      <c r="P17" s="13">
        <f>N17*Calculation!I17/Calculation!K16</f>
        <v>34.791196154377182</v>
      </c>
      <c r="Q17" s="13">
        <f>O17*Calculation!I17/Calculation!K16</f>
        <v>0.12450679223169162</v>
      </c>
      <c r="R17" s="13">
        <v>0</v>
      </c>
      <c r="S17" s="13">
        <v>0</v>
      </c>
      <c r="T17" s="13">
        <f>R17*Calculation!I17/Calculation!K16</f>
        <v>0</v>
      </c>
      <c r="U17" s="13">
        <f>S17*Calculation!I17/Calculation!K16</f>
        <v>0</v>
      </c>
    </row>
    <row r="18" spans="4:21">
      <c r="D18" s="16">
        <v>14</v>
      </c>
      <c r="E18" s="66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7.7486678507992899</v>
      </c>
      <c r="K18" s="13">
        <v>0.10174457582051165</v>
      </c>
      <c r="L18" s="13">
        <f>J18*Calculation!I18/Calculation!K17</f>
        <v>8.2631317847162808</v>
      </c>
      <c r="M18" s="13">
        <f>K18*Calculation!I18/Calculation!K17</f>
        <v>0.10849979048956429</v>
      </c>
      <c r="N18" s="13">
        <v>34.315847904524006</v>
      </c>
      <c r="O18" s="13">
        <v>0.47608729708335507</v>
      </c>
      <c r="P18" s="13">
        <f>N18*Calculation!I18/Calculation!K17</f>
        <v>36.594209353045436</v>
      </c>
      <c r="Q18" s="13">
        <f>O18*Calculation!I18/Calculation!K17</f>
        <v>0.50769656831055632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6">
        <v>30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7.8966844286560089</v>
      </c>
      <c r="K19" s="13">
        <v>7.7972570699028632E-2</v>
      </c>
      <c r="L19" s="13">
        <f>J19*Calculation!I19/Calculation!K18</f>
        <v>8.4209757538608123</v>
      </c>
      <c r="M19" s="13">
        <f>K19*Calculation!I19/Calculation!K18</f>
        <v>8.3149470294138397E-2</v>
      </c>
      <c r="N19" s="13">
        <v>36.958090480155427</v>
      </c>
      <c r="O19" s="13">
        <v>0.25869953256133549</v>
      </c>
      <c r="P19" s="13">
        <f>N19*Calculation!I19/Calculation!K18</f>
        <v>39.411880600546191</v>
      </c>
      <c r="Q19" s="13">
        <f>O19*Calculation!I19/Calculation!K18</f>
        <v>0.27587559195459782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6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7.1195973949082294</v>
      </c>
      <c r="K20" s="13">
        <v>0.12228176170706276</v>
      </c>
      <c r="L20" s="13">
        <f>J20*Calculation!I20/Calculation!K19</f>
        <v>7.5997823861832314</v>
      </c>
      <c r="M20" s="13">
        <f>K20*Calculation!I20/Calculation!K19</f>
        <v>0.13052911944675621</v>
      </c>
      <c r="N20" s="13">
        <v>33.361087982237031</v>
      </c>
      <c r="O20" s="13">
        <v>0.48302658712866192</v>
      </c>
      <c r="P20" s="13">
        <f>N20*Calculation!I20/Calculation!K19</f>
        <v>35.611144109446109</v>
      </c>
      <c r="Q20" s="13">
        <f>O20*Calculation!I20/Calculation!K19</f>
        <v>0.5156045693740976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9" t="s">
        <v>4</v>
      </c>
      <c r="E22" s="159" t="s">
        <v>60</v>
      </c>
      <c r="F22" s="133" t="s">
        <v>44</v>
      </c>
      <c r="G22" s="133"/>
      <c r="H22" s="133"/>
      <c r="I22" s="133"/>
      <c r="J22" s="133" t="s">
        <v>66</v>
      </c>
      <c r="K22" s="133"/>
      <c r="L22" s="133"/>
      <c r="M22" s="133"/>
      <c r="N22" s="160" t="s">
        <v>67</v>
      </c>
      <c r="O22" s="131"/>
      <c r="P22" s="131"/>
      <c r="Q22" s="161"/>
    </row>
    <row r="23" spans="4:21">
      <c r="D23" s="159"/>
      <c r="E23" s="159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4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6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1.778080429765823</v>
      </c>
      <c r="K25" s="13">
        <v>9.1736508553566756E-2</v>
      </c>
      <c r="L25" s="13">
        <f>J25*Calculation!I4/Calculation!K3</f>
        <v>1.7812784161502939</v>
      </c>
      <c r="M25" s="13">
        <f>K25*Calculation!I4/Calculation!K3</f>
        <v>9.1901502273986829E-2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6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2.4666137025687589</v>
      </c>
      <c r="K26" s="13">
        <v>6.9346282222310651E-2</v>
      </c>
      <c r="L26" s="13">
        <f>J26*Calculation!I5/Calculation!K4</f>
        <v>2.4740950982698662</v>
      </c>
      <c r="M26" s="13">
        <f>K26*Calculation!I5/Calculation!K4</f>
        <v>6.9556613891661817E-2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6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3.5788597586350392</v>
      </c>
      <c r="K27" s="13">
        <v>9.1736508553566756E-2</v>
      </c>
      <c r="L27" s="13">
        <f>J27*Calculation!I6/Calculation!K5</f>
        <v>3.5965176639639171</v>
      </c>
      <c r="M27" s="13">
        <f>K27*Calculation!I6/Calculation!K5</f>
        <v>9.2189131649325753E-2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6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5.7428214731585516</v>
      </c>
      <c r="K28" s="13">
        <v>0.27520952566070034</v>
      </c>
      <c r="L28" s="13">
        <f>J28*Calculation!I7/Calculation!K6</f>
        <v>5.7898816124486814</v>
      </c>
      <c r="M28" s="13">
        <f>K28*Calculation!I7/Calculation!K6</f>
        <v>0.2774647583319747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6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8.7769076533121488</v>
      </c>
      <c r="K29" s="13">
        <v>9.4503052977693111E-2</v>
      </c>
      <c r="L29" s="13">
        <f>J29*Calculation!I8/Calculation!K7</f>
        <v>8.8842026653761703</v>
      </c>
      <c r="M29" s="13">
        <f>K29*Calculation!I8/Calculation!K7</f>
        <v>9.5658323901103362E-2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6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12.824877993417319</v>
      </c>
      <c r="K30" s="13">
        <v>4.5397798206787014E-2</v>
      </c>
      <c r="L30" s="13">
        <f>J30*Calculation!I9/Calculation!K8</f>
        <v>13.052790578736955</v>
      </c>
      <c r="M30" s="13">
        <f>K30*Calculation!I9/Calculation!K8</f>
        <v>4.6204568420307852E-2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6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16.940945030832669</v>
      </c>
      <c r="K31" s="13">
        <v>0.18347301710713351</v>
      </c>
      <c r="L31" s="13">
        <f>J31*Calculation!I10/Calculation!K9</f>
        <v>17.375757992759269</v>
      </c>
      <c r="M31" s="13">
        <f>K31*Calculation!I10/Calculation!K9</f>
        <v>0.18818210776628908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6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23.016683690840996</v>
      </c>
      <c r="K32" s="13">
        <v>0.77076049694017157</v>
      </c>
      <c r="L32" s="13">
        <f>J32*Calculation!I11/Calculation!K10</f>
        <v>23.880357321588647</v>
      </c>
      <c r="M32" s="13">
        <f>K32*Calculation!I11/Calculation!K10</f>
        <v>0.79968236621424427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6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27.813717701358154</v>
      </c>
      <c r="K33" s="13">
        <v>0.18900610595538622</v>
      </c>
      <c r="L33" s="13">
        <f>J33*Calculation!I12/Calculation!K11</f>
        <v>29.284278848932342</v>
      </c>
      <c r="M33" s="13">
        <f>K33*Calculation!I12/Calculation!K11</f>
        <v>0.19899919781950295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6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29.591798131123969</v>
      </c>
      <c r="K34" s="13">
        <v>2.6210431015304791E-2</v>
      </c>
      <c r="L34" s="13">
        <f>J34*Calculation!I13/Calculation!K12</f>
        <v>31.32059743227455</v>
      </c>
      <c r="M34" s="13">
        <f>K34*Calculation!I13/Calculation!K12</f>
        <v>2.7741685541350494E-2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6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30.234933605720119</v>
      </c>
      <c r="K35" s="13">
        <v>0.23698346405426163</v>
      </c>
      <c r="L35" s="13">
        <f>J35*Calculation!I14/Calculation!K13</f>
        <v>32.051113370901</v>
      </c>
      <c r="M35" s="13">
        <f>K35*Calculation!I14/Calculation!K13</f>
        <v>0.25121880446249695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6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30.537585593765371</v>
      </c>
      <c r="K36" s="13">
        <v>0.50006315263067591</v>
      </c>
      <c r="L36" s="13">
        <f>J36*Calculation!I15/Calculation!K14</f>
        <v>32.424158151634686</v>
      </c>
      <c r="M36" s="13">
        <f>K36*Calculation!I15/Calculation!K14</f>
        <v>0.53095640770016816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6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30.295464003329169</v>
      </c>
      <c r="K37" s="13">
        <v>0.63974395108925963</v>
      </c>
      <c r="L37" s="13">
        <f>J37*Calculation!I16/Calculation!K15</f>
        <v>32.220869703706775</v>
      </c>
      <c r="M37" s="13">
        <f>K37*Calculation!I16/Calculation!K15</f>
        <v>0.68040240246910944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6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29.675027427836415</v>
      </c>
      <c r="K38" s="13">
        <v>5.7124310031180216E-2</v>
      </c>
      <c r="L38" s="13">
        <f>J38*Calculation!I17/Calculation!K16</f>
        <v>31.588350964355914</v>
      </c>
      <c r="M38" s="13">
        <f>K38*Calculation!I17/Calculation!K16</f>
        <v>6.0807450245823055E-2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6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31.846555442061057</v>
      </c>
      <c r="K39" s="13">
        <v>0.22355822952664076</v>
      </c>
      <c r="L39" s="13">
        <f>J39*Calculation!I18/Calculation!K17</f>
        <v>33.960971043542578</v>
      </c>
      <c r="M39" s="13">
        <f>K39*Calculation!I18/Calculation!K17</f>
        <v>0.23840112232271402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6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36.537661256762377</v>
      </c>
      <c r="K40" s="13">
        <v>0.27080588912606518</v>
      </c>
      <c r="L40" s="13">
        <f>J40*Calculation!I19/Calculation!K18</f>
        <v>38.963537460030196</v>
      </c>
      <c r="M40" s="13">
        <f>K40*Calculation!I19/Calculation!K18</f>
        <v>0.28878573620820758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6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34.880641622214661</v>
      </c>
      <c r="K41" s="13">
        <v>0.67118665406560296</v>
      </c>
      <c r="L41" s="13">
        <f>J41*Calculation!I20/Calculation!K19</f>
        <v>37.233184843971586</v>
      </c>
      <c r="M41" s="13">
        <f>K41*Calculation!I20/Calculation!K19</f>
        <v>0.71645519099957156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142</v>
      </c>
      <c r="B2" s="17">
        <v>180.16</v>
      </c>
    </row>
    <row r="4" spans="1:8">
      <c r="A4" s="162" t="s">
        <v>143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5</v>
      </c>
      <c r="C6" s="28" t="s">
        <v>19</v>
      </c>
      <c r="D6" s="167"/>
      <c r="E6" s="167"/>
      <c r="F6" s="167"/>
      <c r="G6" s="169"/>
      <c r="H6" s="169"/>
    </row>
    <row r="7" spans="1:8">
      <c r="A7" s="16">
        <v>0</v>
      </c>
      <c r="B7" s="64">
        <v>-0.16666666666666666</v>
      </c>
      <c r="C7" s="16">
        <v>2</v>
      </c>
      <c r="D7" s="19">
        <v>4.4530000000000003</v>
      </c>
      <c r="E7" s="19">
        <v>4.399</v>
      </c>
      <c r="F7" s="19">
        <v>4.3890000000000002</v>
      </c>
      <c r="G7" s="19">
        <f>(C7*1000*AVERAGE(D7:F7)/$B$2)</f>
        <v>48.997187685020727</v>
      </c>
      <c r="H7" s="19">
        <f>(C7*1000*STDEV(D7:F7))/$B$2</f>
        <v>0.38220104599394272</v>
      </c>
    </row>
    <row r="8" spans="1:8">
      <c r="A8" s="16">
        <v>0</v>
      </c>
      <c r="B8" s="66">
        <v>0.16666666666666666</v>
      </c>
      <c r="C8" s="16">
        <v>2</v>
      </c>
      <c r="D8" s="19">
        <v>4.2709999999999999</v>
      </c>
      <c r="E8" s="19">
        <v>4.2809999999999997</v>
      </c>
      <c r="F8" s="19">
        <v>4.2640000000000002</v>
      </c>
      <c r="G8" s="19">
        <f t="shared" ref="G8:G17" si="0">(C8*1000*AVERAGE(D8:F8))/$B$2</f>
        <v>47.424511545293065</v>
      </c>
      <c r="H8" s="19">
        <f t="shared" ref="H8:H17" si="1">(C8*1000*STDEV(D8:F8))/$B$2</f>
        <v>9.4849064668264496E-2</v>
      </c>
    </row>
    <row r="9" spans="1:8">
      <c r="A9" s="16">
        <v>1</v>
      </c>
      <c r="B9" s="66">
        <v>2</v>
      </c>
      <c r="C9" s="16">
        <v>2</v>
      </c>
      <c r="D9" s="19">
        <v>4.2430000000000003</v>
      </c>
      <c r="E9" s="19">
        <v>4.2309999999999999</v>
      </c>
      <c r="F9" s="19">
        <v>4.2380000000000004</v>
      </c>
      <c r="G9" s="19">
        <f t="shared" si="0"/>
        <v>47.039668442865597</v>
      </c>
      <c r="H9" s="19">
        <f t="shared" si="1"/>
        <v>6.6915117377241942E-2</v>
      </c>
    </row>
    <row r="10" spans="1:8">
      <c r="A10" s="16">
        <v>2</v>
      </c>
      <c r="B10" s="66">
        <v>3.3333333333333335</v>
      </c>
      <c r="C10" s="16">
        <v>2</v>
      </c>
      <c r="D10" s="19">
        <v>4.1779999999999999</v>
      </c>
      <c r="E10" s="19">
        <v>4.1870000000000003</v>
      </c>
      <c r="F10" s="19">
        <v>4.1689999999999996</v>
      </c>
      <c r="G10" s="19">
        <f t="shared" si="0"/>
        <v>46.380994671403201</v>
      </c>
      <c r="H10" s="19">
        <f t="shared" si="1"/>
        <v>9.9911190053289758E-2</v>
      </c>
    </row>
    <row r="11" spans="1:8">
      <c r="A11" s="16">
        <v>3</v>
      </c>
      <c r="B11" s="66">
        <v>4.666666666666667</v>
      </c>
      <c r="C11" s="16">
        <v>2</v>
      </c>
      <c r="D11" s="19">
        <v>4.024</v>
      </c>
      <c r="E11" s="19">
        <v>3.9860000000000002</v>
      </c>
      <c r="F11" s="19">
        <v>3.8660000000000001</v>
      </c>
      <c r="G11" s="19">
        <f t="shared" si="0"/>
        <v>43.946121965660154</v>
      </c>
      <c r="H11" s="19">
        <f t="shared" si="1"/>
        <v>0.91552172110264818</v>
      </c>
    </row>
    <row r="12" spans="1:8">
      <c r="A12" s="16">
        <v>4</v>
      </c>
      <c r="B12" s="66">
        <v>6</v>
      </c>
      <c r="C12" s="16">
        <v>2</v>
      </c>
      <c r="D12" s="19">
        <v>3.6629999999999998</v>
      </c>
      <c r="E12" s="19">
        <v>3.694</v>
      </c>
      <c r="F12" s="19">
        <v>3.6749999999999998</v>
      </c>
      <c r="G12" s="19">
        <f t="shared" si="0"/>
        <v>40.822972172883368</v>
      </c>
      <c r="H12" s="19">
        <f t="shared" si="1"/>
        <v>0.17352537133945248</v>
      </c>
    </row>
    <row r="13" spans="1:8">
      <c r="A13" s="16">
        <v>5</v>
      </c>
      <c r="B13" s="66">
        <v>7.333333333333333</v>
      </c>
      <c r="C13" s="16">
        <v>2</v>
      </c>
      <c r="D13" s="19">
        <v>3.2130000000000001</v>
      </c>
      <c r="E13" s="19">
        <v>3.258</v>
      </c>
      <c r="F13" s="19">
        <v>3.2429999999999999</v>
      </c>
      <c r="G13" s="19">
        <f t="shared" si="0"/>
        <v>35.945825932504441</v>
      </c>
      <c r="H13" s="19">
        <f t="shared" si="1"/>
        <v>0.25436143955127832</v>
      </c>
    </row>
    <row r="14" spans="1:8">
      <c r="A14" s="16">
        <v>6</v>
      </c>
      <c r="B14" s="66">
        <v>8.6666666666666661</v>
      </c>
      <c r="C14" s="16">
        <v>2</v>
      </c>
      <c r="D14" s="19">
        <v>2.5680000000000001</v>
      </c>
      <c r="E14" s="19">
        <v>2.589</v>
      </c>
      <c r="F14" s="19">
        <v>2.5569999999999999</v>
      </c>
      <c r="G14" s="19">
        <f t="shared" si="0"/>
        <v>28.544997039668445</v>
      </c>
      <c r="H14" s="19">
        <f t="shared" si="1"/>
        <v>0.18048769091558914</v>
      </c>
    </row>
    <row r="15" spans="1:8">
      <c r="A15" s="16">
        <v>7</v>
      </c>
      <c r="B15" s="66">
        <v>10</v>
      </c>
      <c r="C15" s="16">
        <v>2</v>
      </c>
      <c r="D15" s="19">
        <v>1.778</v>
      </c>
      <c r="E15" s="19">
        <v>1.6930000000000001</v>
      </c>
      <c r="F15" s="19">
        <v>1.6930000000000001</v>
      </c>
      <c r="G15" s="19">
        <f t="shared" si="0"/>
        <v>19.108940201302545</v>
      </c>
      <c r="H15" s="19">
        <f t="shared" si="1"/>
        <v>0.54479099557191568</v>
      </c>
    </row>
    <row r="16" spans="1:8">
      <c r="A16" s="16">
        <v>8</v>
      </c>
      <c r="B16" s="66">
        <v>11.333333333333334</v>
      </c>
      <c r="C16" s="16">
        <v>2</v>
      </c>
      <c r="D16" s="75">
        <v>0.36599999999999999</v>
      </c>
      <c r="E16" s="75">
        <v>0.37</v>
      </c>
      <c r="F16" s="75">
        <v>0.371</v>
      </c>
      <c r="G16" s="19">
        <f t="shared" si="0"/>
        <v>4.0963587921847244</v>
      </c>
      <c r="H16" s="19">
        <f t="shared" si="1"/>
        <v>2.937112911927834E-2</v>
      </c>
    </row>
    <row r="17" spans="1:8">
      <c r="A17" s="16">
        <v>9</v>
      </c>
      <c r="B17" s="66">
        <v>12.666666666666666</v>
      </c>
      <c r="C17" s="16">
        <v>2</v>
      </c>
      <c r="D17" s="75">
        <v>0</v>
      </c>
      <c r="E17" s="75">
        <v>0</v>
      </c>
      <c r="F17" s="75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6">
        <v>14</v>
      </c>
      <c r="C18" s="16">
        <v>2</v>
      </c>
      <c r="D18" s="75">
        <v>0</v>
      </c>
      <c r="E18" s="75">
        <v>0</v>
      </c>
      <c r="F18" s="75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6">
        <v>15.333333333333334</v>
      </c>
      <c r="C19" s="16">
        <v>2</v>
      </c>
      <c r="D19" s="75">
        <v>0</v>
      </c>
      <c r="E19" s="75">
        <v>0</v>
      </c>
      <c r="F19" s="75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6">
        <v>16.666666666666668</v>
      </c>
      <c r="C20" s="16">
        <v>2</v>
      </c>
      <c r="D20" s="75">
        <v>0</v>
      </c>
      <c r="E20" s="75">
        <v>0</v>
      </c>
      <c r="F20" s="75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6">
        <v>18</v>
      </c>
      <c r="C21" s="16">
        <v>2</v>
      </c>
      <c r="D21" s="75">
        <v>0</v>
      </c>
      <c r="E21" s="75">
        <v>0</v>
      </c>
      <c r="F21" s="75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6">
        <v>24</v>
      </c>
      <c r="C22" s="16">
        <v>2</v>
      </c>
      <c r="D22" s="75">
        <v>0</v>
      </c>
      <c r="E22" s="75">
        <v>0</v>
      </c>
      <c r="F22" s="75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6">
        <v>30</v>
      </c>
      <c r="C23" s="16">
        <v>2</v>
      </c>
      <c r="D23" s="75">
        <v>0</v>
      </c>
      <c r="E23" s="75">
        <v>0</v>
      </c>
      <c r="F23" s="75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6">
        <v>48</v>
      </c>
      <c r="C24" s="16">
        <v>2</v>
      </c>
      <c r="D24" s="75">
        <v>0</v>
      </c>
      <c r="E24" s="75">
        <v>0</v>
      </c>
      <c r="F24" s="75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62" t="s">
        <v>65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60</v>
      </c>
      <c r="C6" s="28" t="s">
        <v>19</v>
      </c>
      <c r="D6" s="167"/>
      <c r="E6" s="167"/>
      <c r="F6" s="167"/>
      <c r="G6" s="169"/>
      <c r="H6" s="169"/>
    </row>
    <row r="7" spans="1:8">
      <c r="A7" s="67">
        <v>0</v>
      </c>
      <c r="B7" s="64">
        <v>-0.16666666666666666</v>
      </c>
      <c r="C7" s="16">
        <v>2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5">
        <v>2.5999999999999999E-2</v>
      </c>
      <c r="E8" s="55">
        <v>2.8000000000000001E-2</v>
      </c>
      <c r="F8" s="55">
        <v>2.4E-2</v>
      </c>
      <c r="G8" s="16">
        <f t="shared" ref="G8:G10" si="1">(C8*1000*AVERAGE(D8:F8))/$B$2</f>
        <v>1.1296980230284597</v>
      </c>
      <c r="H8" s="19">
        <f t="shared" si="0"/>
        <v>8.689984792526613E-2</v>
      </c>
    </row>
    <row r="9" spans="1:8">
      <c r="A9" s="68">
        <v>1</v>
      </c>
      <c r="B9" s="66">
        <v>2</v>
      </c>
      <c r="C9" s="16">
        <v>2</v>
      </c>
      <c r="D9" s="55">
        <v>2.5999999999999999E-2</v>
      </c>
      <c r="E9" s="55">
        <v>2.7E-2</v>
      </c>
      <c r="F9" s="55">
        <v>2.5999999999999999E-2</v>
      </c>
      <c r="G9" s="16">
        <f t="shared" si="1"/>
        <v>1.1441813310160041</v>
      </c>
      <c r="H9" s="19">
        <f t="shared" si="0"/>
        <v>2.5085825296094988E-2</v>
      </c>
    </row>
    <row r="10" spans="1:8">
      <c r="A10" s="68">
        <v>2</v>
      </c>
      <c r="B10" s="66">
        <v>3.3333333333333335</v>
      </c>
      <c r="C10" s="16">
        <v>2</v>
      </c>
      <c r="D10" s="55">
        <v>0.03</v>
      </c>
      <c r="E10" s="55">
        <v>3.1E-2</v>
      </c>
      <c r="F10" s="55">
        <v>0.03</v>
      </c>
      <c r="G10" s="16">
        <f t="shared" si="1"/>
        <v>1.3179810268665362</v>
      </c>
      <c r="H10" s="19">
        <f t="shared" ref="H10:H23" si="2">(C10*1000*STDEV(D10:F10))/$B$2</f>
        <v>2.5085825296094988E-2</v>
      </c>
    </row>
    <row r="11" spans="1:8">
      <c r="A11" s="68">
        <v>3</v>
      </c>
      <c r="B11" s="66">
        <v>4.666666666666667</v>
      </c>
      <c r="C11" s="16">
        <v>2</v>
      </c>
      <c r="D11" s="55">
        <v>3.3000000000000002E-2</v>
      </c>
      <c r="E11" s="55">
        <v>3.3000000000000002E-2</v>
      </c>
      <c r="F11" s="55">
        <v>3.3000000000000002E-2</v>
      </c>
      <c r="G11" s="16">
        <f t="shared" ref="G11:G23" si="3">(C11*1000*AVERAGE(D11:F11))/$B$2</f>
        <v>1.4338474907668912</v>
      </c>
      <c r="H11" s="19">
        <f t="shared" si="2"/>
        <v>0</v>
      </c>
    </row>
    <row r="12" spans="1:8">
      <c r="A12" s="68">
        <v>4</v>
      </c>
      <c r="B12" s="66">
        <v>6</v>
      </c>
      <c r="C12" s="16">
        <v>2</v>
      </c>
      <c r="D12" s="55">
        <v>3.4000000000000002E-2</v>
      </c>
      <c r="E12" s="55">
        <v>3.5999999999999997E-2</v>
      </c>
      <c r="F12" s="55">
        <v>3.4000000000000002E-2</v>
      </c>
      <c r="G12" s="16">
        <f t="shared" si="3"/>
        <v>1.5062640307046131</v>
      </c>
      <c r="H12" s="19">
        <f t="shared" si="2"/>
        <v>5.0171650592189816E-2</v>
      </c>
    </row>
    <row r="13" spans="1:8">
      <c r="A13" s="68">
        <v>5</v>
      </c>
      <c r="B13" s="66">
        <v>7.333333333333333</v>
      </c>
      <c r="C13" s="16">
        <v>2</v>
      </c>
      <c r="D13" s="55">
        <v>3.1E-2</v>
      </c>
      <c r="E13" s="55">
        <v>3.2000000000000001E-2</v>
      </c>
      <c r="F13" s="55">
        <v>3.2000000000000001E-2</v>
      </c>
      <c r="G13" s="16">
        <f t="shared" si="3"/>
        <v>1.3759142588167137</v>
      </c>
      <c r="H13" s="19">
        <f t="shared" si="2"/>
        <v>2.5085825296094995E-2</v>
      </c>
    </row>
    <row r="14" spans="1:8">
      <c r="A14" s="68">
        <v>6</v>
      </c>
      <c r="B14" s="66">
        <v>8.6666666666666661</v>
      </c>
      <c r="C14" s="16">
        <v>2</v>
      </c>
      <c r="D14" s="55">
        <v>3.6999999999999998E-2</v>
      </c>
      <c r="E14" s="55">
        <v>3.7999999999999999E-2</v>
      </c>
      <c r="F14" s="55">
        <v>3.5999999999999997E-2</v>
      </c>
      <c r="G14" s="16">
        <f t="shared" si="3"/>
        <v>1.6076471866174233</v>
      </c>
      <c r="H14" s="19">
        <f t="shared" si="2"/>
        <v>4.34499239626331E-2</v>
      </c>
    </row>
    <row r="15" spans="1:8">
      <c r="A15" s="68">
        <v>7</v>
      </c>
      <c r="B15" s="66">
        <v>10</v>
      </c>
      <c r="C15" s="16">
        <v>2</v>
      </c>
      <c r="D15" s="55">
        <v>6.0999999999999999E-2</v>
      </c>
      <c r="E15" s="55">
        <v>0.06</v>
      </c>
      <c r="F15" s="55">
        <v>6.0999999999999999E-2</v>
      </c>
      <c r="G15" s="16">
        <f t="shared" si="3"/>
        <v>2.6359620537330724</v>
      </c>
      <c r="H15" s="19">
        <f t="shared" si="2"/>
        <v>2.5085825296094995E-2</v>
      </c>
    </row>
    <row r="16" spans="1:8">
      <c r="A16" s="68">
        <v>8</v>
      </c>
      <c r="B16" s="66">
        <v>11.333333333333334</v>
      </c>
      <c r="C16" s="16">
        <v>2</v>
      </c>
      <c r="D16" s="55">
        <v>4.4999999999999998E-2</v>
      </c>
      <c r="E16" s="55">
        <v>4.2999999999999997E-2</v>
      </c>
      <c r="F16" s="55">
        <v>4.4999999999999998E-2</v>
      </c>
      <c r="G16" s="16">
        <f t="shared" si="3"/>
        <v>1.9262799623433993</v>
      </c>
      <c r="H16" s="19">
        <f t="shared" si="2"/>
        <v>5.017165059218999E-2</v>
      </c>
    </row>
    <row r="17" spans="1:8">
      <c r="A17" s="68">
        <v>9</v>
      </c>
      <c r="B17" s="66">
        <v>12.666666666666666</v>
      </c>
      <c r="C17" s="16">
        <v>2</v>
      </c>
      <c r="D17" s="55">
        <v>0</v>
      </c>
      <c r="E17" s="55">
        <v>0</v>
      </c>
      <c r="F17" s="55">
        <v>0</v>
      </c>
      <c r="G17" s="16">
        <f t="shared" si="3"/>
        <v>0</v>
      </c>
      <c r="H17" s="19">
        <f t="shared" si="2"/>
        <v>0</v>
      </c>
    </row>
    <row r="18" spans="1:8">
      <c r="A18" s="68">
        <v>10</v>
      </c>
      <c r="B18" s="66">
        <v>14</v>
      </c>
      <c r="C18" s="16">
        <v>2</v>
      </c>
      <c r="D18" s="55">
        <v>0</v>
      </c>
      <c r="E18" s="55">
        <v>0</v>
      </c>
      <c r="F18" s="55">
        <v>0</v>
      </c>
      <c r="G18" s="16">
        <f t="shared" si="3"/>
        <v>0</v>
      </c>
      <c r="H18" s="19">
        <f t="shared" si="2"/>
        <v>0</v>
      </c>
    </row>
    <row r="19" spans="1:8">
      <c r="A19" s="68">
        <v>11</v>
      </c>
      <c r="B19" s="66">
        <v>15.333333333333334</v>
      </c>
      <c r="C19" s="16">
        <v>2</v>
      </c>
      <c r="D19" s="55">
        <v>0</v>
      </c>
      <c r="E19" s="55">
        <v>0</v>
      </c>
      <c r="F19" s="55">
        <v>0</v>
      </c>
      <c r="G19" s="16">
        <f t="shared" si="3"/>
        <v>0</v>
      </c>
      <c r="H19" s="19">
        <f t="shared" si="2"/>
        <v>0</v>
      </c>
    </row>
    <row r="20" spans="1:8">
      <c r="A20" s="68">
        <v>12</v>
      </c>
      <c r="B20" s="66">
        <v>16.666666666666668</v>
      </c>
      <c r="C20" s="16">
        <v>2</v>
      </c>
      <c r="D20" s="55">
        <v>0</v>
      </c>
      <c r="E20" s="55">
        <v>0</v>
      </c>
      <c r="F20" s="55">
        <v>0</v>
      </c>
      <c r="G20" s="16">
        <f t="shared" si="3"/>
        <v>0</v>
      </c>
      <c r="H20" s="19">
        <f t="shared" si="2"/>
        <v>0</v>
      </c>
    </row>
    <row r="21" spans="1:8">
      <c r="A21" s="68">
        <v>13</v>
      </c>
      <c r="B21" s="66">
        <v>18</v>
      </c>
      <c r="C21" s="16">
        <v>2</v>
      </c>
      <c r="D21" s="55">
        <v>0</v>
      </c>
      <c r="E21" s="55">
        <v>0</v>
      </c>
      <c r="F21" s="55">
        <v>0</v>
      </c>
      <c r="G21" s="16">
        <f t="shared" si="3"/>
        <v>0</v>
      </c>
      <c r="H21" s="19">
        <f t="shared" si="2"/>
        <v>0</v>
      </c>
    </row>
    <row r="22" spans="1:8">
      <c r="A22" s="68">
        <v>14</v>
      </c>
      <c r="B22" s="66">
        <v>24</v>
      </c>
      <c r="C22" s="16">
        <v>2</v>
      </c>
      <c r="D22" s="55">
        <v>0</v>
      </c>
      <c r="E22" s="55">
        <v>0</v>
      </c>
      <c r="F22" s="55">
        <v>0</v>
      </c>
      <c r="G22" s="16">
        <f t="shared" si="3"/>
        <v>0</v>
      </c>
      <c r="H22" s="19">
        <f t="shared" si="2"/>
        <v>0</v>
      </c>
    </row>
    <row r="23" spans="1:8">
      <c r="A23" s="68">
        <v>15</v>
      </c>
      <c r="B23" s="66">
        <v>30</v>
      </c>
      <c r="C23" s="16">
        <v>2</v>
      </c>
      <c r="D23" s="55">
        <v>0</v>
      </c>
      <c r="E23" s="55">
        <v>0</v>
      </c>
      <c r="F23" s="55">
        <v>0</v>
      </c>
      <c r="G23" s="16">
        <f t="shared" si="3"/>
        <v>0</v>
      </c>
      <c r="H23" s="19">
        <f t="shared" si="2"/>
        <v>0</v>
      </c>
    </row>
    <row r="24" spans="1:8">
      <c r="A24" s="68">
        <v>16</v>
      </c>
      <c r="B24" s="66">
        <v>48</v>
      </c>
      <c r="C24" s="16">
        <v>2</v>
      </c>
      <c r="D24" s="55">
        <v>0</v>
      </c>
      <c r="E24" s="55">
        <v>0</v>
      </c>
      <c r="F24" s="55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7" sqref="D7:F1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62" t="s">
        <v>43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2" t="s">
        <v>4</v>
      </c>
      <c r="B6" s="22" t="s">
        <v>60</v>
      </c>
      <c r="C6" s="22" t="s">
        <v>19</v>
      </c>
      <c r="D6" s="167"/>
      <c r="E6" s="167"/>
      <c r="F6" s="167"/>
      <c r="G6" s="169"/>
      <c r="H6" s="169"/>
    </row>
    <row r="7" spans="1:8">
      <c r="A7" s="67">
        <v>0</v>
      </c>
      <c r="B7" s="64">
        <v>-0.16666666666666666</v>
      </c>
      <c r="C7" s="16">
        <v>2</v>
      </c>
      <c r="D7" s="75">
        <v>2.8000000000000001E-2</v>
      </c>
      <c r="E7" s="75">
        <v>3.1E-2</v>
      </c>
      <c r="F7" s="75">
        <v>3.1E-2</v>
      </c>
      <c r="G7" s="16">
        <f>(C7*1000*AVERAGE(D7:F7))/$B$2</f>
        <v>0.99916736053288935</v>
      </c>
      <c r="H7" s="19">
        <f>(C7*1000*STDEV(D7:F7))/$B$2</f>
        <v>5.7686954456915129E-2</v>
      </c>
    </row>
    <row r="8" spans="1:8">
      <c r="A8" s="68">
        <v>0</v>
      </c>
      <c r="B8" s="66">
        <v>0.16666666666666666</v>
      </c>
      <c r="C8" s="16">
        <v>2</v>
      </c>
      <c r="D8" s="75">
        <v>0.126</v>
      </c>
      <c r="E8" s="75">
        <v>0.125</v>
      </c>
      <c r="F8" s="75">
        <v>0.126</v>
      </c>
      <c r="G8" s="16">
        <f t="shared" ref="G8:G17" si="0">(C8*1000*AVERAGE(D8:F8))/$B$2</f>
        <v>4.1854010546766585</v>
      </c>
      <c r="H8" s="19">
        <f t="shared" ref="H8:H17" si="1">(C8*1000*STDEV(D8:F8))/$B$2</f>
        <v>1.9228984818971735E-2</v>
      </c>
    </row>
    <row r="9" spans="1:8">
      <c r="A9" s="68">
        <v>1</v>
      </c>
      <c r="B9" s="66">
        <v>2</v>
      </c>
      <c r="C9" s="16">
        <v>2</v>
      </c>
      <c r="D9" s="75">
        <v>0.13500000000000001</v>
      </c>
      <c r="E9" s="75">
        <v>0.13800000000000001</v>
      </c>
      <c r="F9" s="75">
        <v>0.13800000000000001</v>
      </c>
      <c r="G9" s="16">
        <f t="shared" si="0"/>
        <v>4.5628642797668615</v>
      </c>
      <c r="H9" s="19">
        <f t="shared" si="1"/>
        <v>5.7686954456915213E-2</v>
      </c>
    </row>
    <row r="10" spans="1:8">
      <c r="A10" s="68">
        <v>2</v>
      </c>
      <c r="B10" s="66">
        <v>3.3333333333333335</v>
      </c>
      <c r="C10" s="16">
        <v>2</v>
      </c>
      <c r="D10" s="75">
        <v>0.151</v>
      </c>
      <c r="E10" s="75">
        <v>0.151</v>
      </c>
      <c r="F10" s="75">
        <v>0.15</v>
      </c>
      <c r="G10" s="16">
        <f t="shared" si="0"/>
        <v>5.0180405217873991</v>
      </c>
      <c r="H10" s="19">
        <f t="shared" si="1"/>
        <v>1.9228984818971735E-2</v>
      </c>
    </row>
    <row r="11" spans="1:8">
      <c r="A11" s="68">
        <v>3</v>
      </c>
      <c r="B11" s="66">
        <v>4.666666666666667</v>
      </c>
      <c r="C11" s="16">
        <v>2</v>
      </c>
      <c r="D11" s="75">
        <v>0.16400000000000001</v>
      </c>
      <c r="E11" s="75">
        <v>0.161</v>
      </c>
      <c r="F11" s="75">
        <v>0.157</v>
      </c>
      <c r="G11" s="16">
        <f t="shared" si="0"/>
        <v>5.3510963086316954</v>
      </c>
      <c r="H11" s="19">
        <f t="shared" si="1"/>
        <v>0.11696534835251457</v>
      </c>
    </row>
    <row r="12" spans="1:8">
      <c r="A12" s="68">
        <v>4</v>
      </c>
      <c r="B12" s="66">
        <v>6</v>
      </c>
      <c r="C12" s="16">
        <v>2</v>
      </c>
      <c r="D12" s="75">
        <v>0.17100000000000001</v>
      </c>
      <c r="E12" s="75">
        <v>0.17299999999999999</v>
      </c>
      <c r="F12" s="75">
        <v>0.17199999999999999</v>
      </c>
      <c r="G12" s="16">
        <f t="shared" si="0"/>
        <v>5.7285595337218984</v>
      </c>
      <c r="H12" s="19">
        <f t="shared" si="1"/>
        <v>3.330557868442921E-2</v>
      </c>
    </row>
    <row r="13" spans="1:8">
      <c r="A13" s="68">
        <v>5</v>
      </c>
      <c r="B13" s="66">
        <v>7.333333333333333</v>
      </c>
      <c r="C13" s="16">
        <v>2</v>
      </c>
      <c r="D13" s="75">
        <v>0.20300000000000001</v>
      </c>
      <c r="E13" s="75">
        <v>0.20699999999999999</v>
      </c>
      <c r="F13" s="75">
        <v>0.20499999999999999</v>
      </c>
      <c r="G13" s="16">
        <f t="shared" si="0"/>
        <v>6.827643630308077</v>
      </c>
      <c r="H13" s="19">
        <f t="shared" si="1"/>
        <v>6.6611157368858892E-2</v>
      </c>
    </row>
    <row r="14" spans="1:8">
      <c r="A14" s="68">
        <v>6</v>
      </c>
      <c r="B14" s="66">
        <v>8.6666666666666661</v>
      </c>
      <c r="C14" s="16">
        <v>2</v>
      </c>
      <c r="D14" s="75">
        <v>0.33400000000000002</v>
      </c>
      <c r="E14" s="75">
        <v>0.33900000000000002</v>
      </c>
      <c r="F14" s="75">
        <v>0.33500000000000002</v>
      </c>
      <c r="G14" s="16">
        <f t="shared" si="0"/>
        <v>11.19067443796836</v>
      </c>
      <c r="H14" s="19">
        <f t="shared" si="1"/>
        <v>8.8118278470094694E-2</v>
      </c>
    </row>
    <row r="15" spans="1:8">
      <c r="A15" s="68">
        <v>7</v>
      </c>
      <c r="B15" s="66">
        <v>10</v>
      </c>
      <c r="C15" s="16">
        <v>2</v>
      </c>
      <c r="D15" s="19">
        <v>0.54500000000000004</v>
      </c>
      <c r="E15" s="19">
        <v>0.52200000000000002</v>
      </c>
      <c r="F15" s="19">
        <v>0.52100000000000002</v>
      </c>
      <c r="G15" s="16">
        <f t="shared" si="0"/>
        <v>17.629752983624758</v>
      </c>
      <c r="H15" s="19">
        <f t="shared" si="1"/>
        <v>0.45218788463871928</v>
      </c>
    </row>
    <row r="16" spans="1:8">
      <c r="A16" s="68">
        <v>8</v>
      </c>
      <c r="B16" s="66">
        <v>11.333333333333334</v>
      </c>
      <c r="C16" s="16">
        <v>2</v>
      </c>
      <c r="D16" s="19">
        <v>0.80700000000000005</v>
      </c>
      <c r="E16" s="19">
        <v>0.8</v>
      </c>
      <c r="F16" s="19">
        <v>0.81100000000000005</v>
      </c>
      <c r="G16" s="16">
        <f t="shared" si="0"/>
        <v>26.844296419650291</v>
      </c>
      <c r="H16" s="19">
        <f t="shared" si="1"/>
        <v>0.18543761408259873</v>
      </c>
    </row>
    <row r="17" spans="1:8">
      <c r="A17" s="68">
        <v>9</v>
      </c>
      <c r="B17" s="66">
        <v>12.666666666666666</v>
      </c>
      <c r="C17" s="16">
        <v>2</v>
      </c>
      <c r="D17" s="19">
        <v>0.97499999999999998</v>
      </c>
      <c r="E17" s="19">
        <v>0.97399999999999998</v>
      </c>
      <c r="F17" s="19">
        <v>0.97599999999999998</v>
      </c>
      <c r="G17" s="16">
        <f t="shared" si="0"/>
        <v>32.472939217318903</v>
      </c>
      <c r="H17" s="19">
        <f t="shared" si="1"/>
        <v>3.3305578684429675E-2</v>
      </c>
    </row>
    <row r="18" spans="1:8">
      <c r="A18" s="68">
        <v>10</v>
      </c>
      <c r="B18" s="66">
        <v>14</v>
      </c>
      <c r="C18" s="16">
        <v>2</v>
      </c>
      <c r="D18" s="19">
        <v>1.012</v>
      </c>
      <c r="E18" s="19">
        <v>1.028</v>
      </c>
      <c r="F18" s="19">
        <v>1.028</v>
      </c>
      <c r="G18" s="16">
        <f t="shared" ref="G18:G23" si="2">(C18*1000*AVERAGE(D18:F18))/$B$2</f>
        <v>34.060505134610047</v>
      </c>
      <c r="H18" s="19">
        <f t="shared" ref="H18:H23" si="3">(C18*1000*STDEV(D18:F18))/$B$2</f>
        <v>0.30766375710354776</v>
      </c>
    </row>
    <row r="19" spans="1:8">
      <c r="A19" s="68">
        <v>11</v>
      </c>
      <c r="B19" s="66">
        <v>15.333333333333334</v>
      </c>
      <c r="C19" s="16">
        <v>2</v>
      </c>
      <c r="D19" s="19">
        <v>1.0289999999999999</v>
      </c>
      <c r="E19" s="19">
        <v>1.006</v>
      </c>
      <c r="F19" s="19">
        <v>1.0309999999999999</v>
      </c>
      <c r="G19" s="16">
        <f t="shared" si="2"/>
        <v>34.038301415487098</v>
      </c>
      <c r="H19" s="19">
        <f t="shared" si="3"/>
        <v>0.46269588640965037</v>
      </c>
    </row>
    <row r="20" spans="1:8">
      <c r="A20" s="68">
        <v>12</v>
      </c>
      <c r="B20" s="66">
        <v>16.666666666666668</v>
      </c>
      <c r="C20" s="16">
        <v>2</v>
      </c>
      <c r="D20" s="19">
        <v>1.0209999999999999</v>
      </c>
      <c r="E20" s="19">
        <v>1.0289999999999999</v>
      </c>
      <c r="F20" s="19">
        <v>0.98899999999999999</v>
      </c>
      <c r="G20" s="16">
        <f t="shared" si="2"/>
        <v>33.738551207327227</v>
      </c>
      <c r="H20" s="19">
        <f t="shared" si="3"/>
        <v>0.70494622776075544</v>
      </c>
    </row>
    <row r="21" spans="1:8">
      <c r="A21" s="68">
        <v>13</v>
      </c>
      <c r="B21" s="66">
        <v>18</v>
      </c>
      <c r="C21" s="16">
        <v>2</v>
      </c>
      <c r="D21" s="19">
        <v>0.98499999999999999</v>
      </c>
      <c r="E21" s="19">
        <v>0.98099999999999998</v>
      </c>
      <c r="F21" s="19">
        <v>0.97799999999999998</v>
      </c>
      <c r="G21" s="16">
        <f t="shared" si="2"/>
        <v>32.683874548986957</v>
      </c>
      <c r="H21" s="19">
        <f t="shared" si="3"/>
        <v>0.11696534835251457</v>
      </c>
    </row>
    <row r="22" spans="1:8">
      <c r="A22" s="68">
        <v>14</v>
      </c>
      <c r="B22" s="66">
        <v>24</v>
      </c>
      <c r="C22" s="16">
        <v>2</v>
      </c>
      <c r="D22" s="19">
        <v>1.018</v>
      </c>
      <c r="E22" s="19">
        <v>1.0269999999999999</v>
      </c>
      <c r="F22" s="19">
        <v>1.046</v>
      </c>
      <c r="G22" s="16">
        <f t="shared" si="2"/>
        <v>34.315847904524006</v>
      </c>
      <c r="H22" s="19">
        <f t="shared" si="3"/>
        <v>0.47608729708335507</v>
      </c>
    </row>
    <row r="23" spans="1:8">
      <c r="A23" s="68">
        <v>15</v>
      </c>
      <c r="B23" s="66">
        <v>30</v>
      </c>
      <c r="C23" s="16">
        <v>2</v>
      </c>
      <c r="D23" s="19">
        <v>1.1160000000000001</v>
      </c>
      <c r="E23" s="19">
        <v>1.101</v>
      </c>
      <c r="F23" s="19">
        <v>1.1120000000000001</v>
      </c>
      <c r="G23" s="16">
        <f t="shared" si="2"/>
        <v>36.958090480155427</v>
      </c>
      <c r="H23" s="19">
        <f t="shared" si="3"/>
        <v>0.25869953256133549</v>
      </c>
    </row>
    <row r="24" spans="1:8">
      <c r="A24" s="68">
        <v>16</v>
      </c>
      <c r="B24" s="66">
        <v>48</v>
      </c>
      <c r="C24" s="16">
        <v>2</v>
      </c>
      <c r="D24" s="19">
        <v>0.98699999999999999</v>
      </c>
      <c r="E24" s="19">
        <v>1.016</v>
      </c>
      <c r="F24" s="19">
        <v>1.002</v>
      </c>
      <c r="G24" s="16">
        <f t="shared" ref="G24" si="4">(C24*1000*AVERAGE(D24:F24))/$B$2</f>
        <v>33.361087982237031</v>
      </c>
      <c r="H24" s="19">
        <f t="shared" ref="H24" si="5">(C24*1000*STDEV(D24:F24))/$B$2</f>
        <v>0.48302658712866192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4" t="s">
        <v>4</v>
      </c>
      <c r="B1" s="134" t="s">
        <v>117</v>
      </c>
      <c r="C1" s="134" t="s">
        <v>117</v>
      </c>
      <c r="D1" s="134" t="s">
        <v>5</v>
      </c>
      <c r="E1" s="4" t="s">
        <v>7</v>
      </c>
      <c r="F1" s="4" t="s">
        <v>9</v>
      </c>
      <c r="G1" s="133" t="s">
        <v>11</v>
      </c>
      <c r="H1" s="133" t="s">
        <v>12</v>
      </c>
      <c r="I1" s="4" t="s">
        <v>13</v>
      </c>
      <c r="J1" s="4" t="s">
        <v>16</v>
      </c>
      <c r="K1" s="4" t="s">
        <v>16</v>
      </c>
    </row>
    <row r="2" spans="1:11">
      <c r="A2" s="135"/>
      <c r="B2" s="135"/>
      <c r="C2" s="135"/>
      <c r="D2" s="135"/>
      <c r="E2" s="5" t="s">
        <v>8</v>
      </c>
      <c r="F2" s="5" t="s">
        <v>10</v>
      </c>
      <c r="G2" s="133"/>
      <c r="H2" s="133"/>
      <c r="I2" s="5" t="s">
        <v>14</v>
      </c>
      <c r="J2" s="5" t="s">
        <v>17</v>
      </c>
      <c r="K2" s="5" t="s">
        <v>141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57</v>
      </c>
      <c r="F3" s="1">
        <f>E3</f>
        <v>57</v>
      </c>
      <c r="G3" s="1">
        <v>0</v>
      </c>
      <c r="H3" s="1">
        <v>0</v>
      </c>
      <c r="I3" s="1">
        <f>$F$22+G3+H3</f>
        <v>1500</v>
      </c>
      <c r="J3" s="13">
        <f>F3*1500/I3</f>
        <v>57</v>
      </c>
      <c r="K3" s="13">
        <f>$F$23-J3</f>
        <v>1668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>
        <v>48</v>
      </c>
      <c r="F4" s="1">
        <f>E4+F3</f>
        <v>105</v>
      </c>
      <c r="G4" s="40">
        <v>3</v>
      </c>
      <c r="H4" s="40">
        <v>0</v>
      </c>
      <c r="I4" s="1">
        <f t="shared" ref="I4:I20" si="1">$F$23-F3+G4+H4</f>
        <v>1671</v>
      </c>
      <c r="J4" s="13">
        <f>E4*K3/I4</f>
        <v>47.913824057450626</v>
      </c>
      <c r="K4" s="13">
        <f>K3-J4</f>
        <v>1620.0861759425493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42</v>
      </c>
      <c r="F5" s="1">
        <f t="shared" ref="F5:F18" si="2">E5+F4</f>
        <v>147</v>
      </c>
      <c r="G5" s="40">
        <v>5</v>
      </c>
      <c r="H5" s="40">
        <v>0</v>
      </c>
      <c r="I5" s="40">
        <f>$F$23-F4+G5+H5</f>
        <v>1625</v>
      </c>
      <c r="J5" s="13">
        <f>E5*K4/I5</f>
        <v>41.872996547438198</v>
      </c>
      <c r="K5" s="13">
        <f>K4-J5</f>
        <v>1578.2131793951112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45</v>
      </c>
      <c r="F6" s="1">
        <f t="shared" si="2"/>
        <v>192</v>
      </c>
      <c r="G6" s="40">
        <v>8</v>
      </c>
      <c r="H6" s="40">
        <v>0</v>
      </c>
      <c r="I6" s="40">
        <f t="shared" si="1"/>
        <v>1586</v>
      </c>
      <c r="J6" s="13">
        <f>E6*K5/I6</f>
        <v>44.779062467074404</v>
      </c>
      <c r="K6" s="13">
        <f t="shared" ref="K6:K13" si="3">K5-J6</f>
        <v>1533.4341169280367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45</v>
      </c>
      <c r="F7" s="1">
        <f t="shared" si="2"/>
        <v>237</v>
      </c>
      <c r="G7" s="40">
        <v>13</v>
      </c>
      <c r="H7" s="40">
        <v>0</v>
      </c>
      <c r="I7" s="40">
        <f t="shared" si="1"/>
        <v>1546</v>
      </c>
      <c r="J7" s="13">
        <f>E7*K6/I7</f>
        <v>44.634240143442199</v>
      </c>
      <c r="K7" s="13">
        <f>K6-J7</f>
        <v>1488.7998767845945</v>
      </c>
    </row>
    <row r="8" spans="1:11">
      <c r="A8" s="1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">
        <v>47</v>
      </c>
      <c r="F8" s="1">
        <f t="shared" si="2"/>
        <v>284</v>
      </c>
      <c r="G8" s="40">
        <v>19</v>
      </c>
      <c r="H8" s="40">
        <v>0</v>
      </c>
      <c r="I8" s="40">
        <f t="shared" si="1"/>
        <v>1507</v>
      </c>
      <c r="J8" s="13">
        <f t="shared" ref="J8:J13" si="5">E8*K7/I8</f>
        <v>46.432378373507596</v>
      </c>
      <c r="K8" s="13">
        <f t="shared" si="3"/>
        <v>1442.3674984110869</v>
      </c>
    </row>
    <row r="9" spans="1:11">
      <c r="A9" s="1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">
        <v>50</v>
      </c>
      <c r="F9" s="1">
        <f t="shared" si="2"/>
        <v>334</v>
      </c>
      <c r="G9" s="40">
        <v>27</v>
      </c>
      <c r="H9" s="40">
        <v>0</v>
      </c>
      <c r="I9" s="40">
        <f t="shared" si="1"/>
        <v>1468</v>
      </c>
      <c r="J9" s="13">
        <f t="shared" si="5"/>
        <v>49.126958392748193</v>
      </c>
      <c r="K9" s="13">
        <f t="shared" si="3"/>
        <v>1393.2405400183386</v>
      </c>
    </row>
    <row r="10" spans="1:11">
      <c r="A10" s="1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">
        <v>45</v>
      </c>
      <c r="F10" s="1">
        <f t="shared" si="2"/>
        <v>379</v>
      </c>
      <c r="G10" s="40">
        <v>38</v>
      </c>
      <c r="H10" s="40">
        <v>0</v>
      </c>
      <c r="I10" s="40">
        <f t="shared" si="1"/>
        <v>1429</v>
      </c>
      <c r="J10" s="13">
        <f t="shared" si="5"/>
        <v>43.873914836126829</v>
      </c>
      <c r="K10" s="13">
        <f t="shared" si="3"/>
        <v>1349.3666251822117</v>
      </c>
    </row>
    <row r="11" spans="1:11">
      <c r="A11" s="1">
        <v>7</v>
      </c>
      <c r="B11" s="32">
        <v>80</v>
      </c>
      <c r="C11" s="32">
        <f t="shared" si="4"/>
        <v>600</v>
      </c>
      <c r="D11" s="13">
        <f t="shared" si="0"/>
        <v>10</v>
      </c>
      <c r="E11" s="1">
        <v>48</v>
      </c>
      <c r="F11" s="1">
        <f t="shared" si="2"/>
        <v>427</v>
      </c>
      <c r="G11" s="40">
        <v>54</v>
      </c>
      <c r="H11" s="40">
        <v>0</v>
      </c>
      <c r="I11" s="40">
        <f t="shared" si="1"/>
        <v>1400</v>
      </c>
      <c r="J11" s="13">
        <f t="shared" si="5"/>
        <v>46.263998577675835</v>
      </c>
      <c r="K11" s="13">
        <f t="shared" si="3"/>
        <v>1303.1026266045358</v>
      </c>
    </row>
    <row r="12" spans="1:11">
      <c r="A12" s="1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">
        <v>44</v>
      </c>
      <c r="F12" s="1">
        <f t="shared" si="2"/>
        <v>471</v>
      </c>
      <c r="G12" s="40">
        <v>74</v>
      </c>
      <c r="H12" s="40">
        <v>0</v>
      </c>
      <c r="I12" s="40">
        <f t="shared" si="1"/>
        <v>1372</v>
      </c>
      <c r="J12" s="13">
        <f t="shared" si="5"/>
        <v>41.790463243877241</v>
      </c>
      <c r="K12" s="13">
        <f t="shared" si="3"/>
        <v>1261.3121633606586</v>
      </c>
    </row>
    <row r="13" spans="1:11">
      <c r="A13" s="1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">
        <v>50</v>
      </c>
      <c r="F13" s="1">
        <f t="shared" si="2"/>
        <v>521</v>
      </c>
      <c r="G13" s="40">
        <v>81</v>
      </c>
      <c r="H13" s="40">
        <v>0</v>
      </c>
      <c r="I13" s="40">
        <f t="shared" si="1"/>
        <v>1335</v>
      </c>
      <c r="J13" s="13">
        <f t="shared" si="5"/>
        <v>47.240155931110806</v>
      </c>
      <c r="K13" s="13">
        <f t="shared" si="3"/>
        <v>1214.0720074295477</v>
      </c>
    </row>
    <row r="14" spans="1:11">
      <c r="A14" s="37">
        <v>10</v>
      </c>
      <c r="B14" s="32">
        <v>80</v>
      </c>
      <c r="C14" s="32">
        <f t="shared" si="4"/>
        <v>840</v>
      </c>
      <c r="D14" s="13">
        <f t="shared" si="0"/>
        <v>14</v>
      </c>
      <c r="E14" s="3">
        <v>47</v>
      </c>
      <c r="F14" s="37">
        <f t="shared" si="2"/>
        <v>568</v>
      </c>
      <c r="G14" s="40">
        <v>81</v>
      </c>
      <c r="H14" s="40">
        <v>2</v>
      </c>
      <c r="I14" s="40">
        <f t="shared" si="1"/>
        <v>1287</v>
      </c>
      <c r="J14" s="13">
        <f t="shared" ref="J14:J19" si="6">E14*K13/I14</f>
        <v>44.336739976059633</v>
      </c>
      <c r="K14" s="13">
        <f t="shared" ref="K14:K19" si="7">K13-J14</f>
        <v>1169.7352674534882</v>
      </c>
    </row>
    <row r="15" spans="1:11">
      <c r="A15" s="37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82">
        <v>46</v>
      </c>
      <c r="F15" s="37">
        <f t="shared" si="2"/>
        <v>614</v>
      </c>
      <c r="G15" s="40">
        <v>81</v>
      </c>
      <c r="H15" s="40">
        <v>4</v>
      </c>
      <c r="I15" s="40">
        <f t="shared" si="1"/>
        <v>1242</v>
      </c>
      <c r="J15" s="13">
        <f t="shared" si="6"/>
        <v>43.323528424203268</v>
      </c>
      <c r="K15" s="13">
        <f t="shared" si="7"/>
        <v>1126.4117390292849</v>
      </c>
    </row>
    <row r="16" spans="1:11">
      <c r="A16" s="37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37">
        <v>44</v>
      </c>
      <c r="F16" s="37">
        <f t="shared" si="2"/>
        <v>658</v>
      </c>
      <c r="G16" s="40">
        <v>81</v>
      </c>
      <c r="H16" s="40">
        <v>6</v>
      </c>
      <c r="I16" s="40">
        <f t="shared" si="1"/>
        <v>1198</v>
      </c>
      <c r="J16" s="13">
        <f t="shared" si="6"/>
        <v>41.370714956000448</v>
      </c>
      <c r="K16" s="13">
        <f t="shared" si="7"/>
        <v>1085.0410240732845</v>
      </c>
    </row>
    <row r="17" spans="1:11">
      <c r="A17" s="37">
        <v>13</v>
      </c>
      <c r="B17" s="32">
        <v>80</v>
      </c>
      <c r="C17" s="32">
        <f t="shared" si="4"/>
        <v>1080</v>
      </c>
      <c r="D17" s="13">
        <f t="shared" si="0"/>
        <v>18</v>
      </c>
      <c r="E17" s="37">
        <v>45</v>
      </c>
      <c r="F17" s="37">
        <f t="shared" si="2"/>
        <v>703</v>
      </c>
      <c r="G17" s="40">
        <v>81</v>
      </c>
      <c r="H17" s="40">
        <v>7</v>
      </c>
      <c r="I17" s="40">
        <f t="shared" si="1"/>
        <v>1155</v>
      </c>
      <c r="J17" s="13">
        <f t="shared" si="6"/>
        <v>42.274325613244848</v>
      </c>
      <c r="K17" s="13">
        <f t="shared" si="7"/>
        <v>1042.7666984600396</v>
      </c>
    </row>
    <row r="18" spans="1:11">
      <c r="A18" s="37">
        <v>14</v>
      </c>
      <c r="B18" s="32">
        <v>360</v>
      </c>
      <c r="C18" s="32">
        <f t="shared" si="4"/>
        <v>1440</v>
      </c>
      <c r="D18" s="13">
        <f t="shared" si="0"/>
        <v>24</v>
      </c>
      <c r="E18" s="37">
        <v>51</v>
      </c>
      <c r="F18" s="37">
        <f t="shared" si="2"/>
        <v>754</v>
      </c>
      <c r="G18" s="40">
        <v>81</v>
      </c>
      <c r="H18" s="40">
        <v>9</v>
      </c>
      <c r="I18" s="40">
        <f t="shared" si="1"/>
        <v>1112</v>
      </c>
      <c r="J18" s="13">
        <f t="shared" si="6"/>
        <v>47.824731673976636</v>
      </c>
      <c r="K18" s="13">
        <f t="shared" si="7"/>
        <v>994.94196678606295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 t="shared" si="0"/>
        <v>30</v>
      </c>
      <c r="E19" s="37">
        <v>47</v>
      </c>
      <c r="F19" s="37">
        <f>E19+F18</f>
        <v>801</v>
      </c>
      <c r="G19" s="40">
        <v>81</v>
      </c>
      <c r="H19" s="40">
        <v>9</v>
      </c>
      <c r="I19" s="40">
        <f t="shared" si="1"/>
        <v>1061</v>
      </c>
      <c r="J19" s="13">
        <f t="shared" si="6"/>
        <v>44.073772326998075</v>
      </c>
      <c r="K19" s="13">
        <f t="shared" si="7"/>
        <v>950.86819445906485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52</v>
      </c>
      <c r="F20" s="40">
        <f t="shared" ref="F20" si="8">E20+F19</f>
        <v>853</v>
      </c>
      <c r="G20" s="40">
        <v>81</v>
      </c>
      <c r="H20" s="40">
        <v>10</v>
      </c>
      <c r="I20" s="40">
        <f t="shared" si="1"/>
        <v>1015</v>
      </c>
      <c r="J20" s="13">
        <f t="shared" ref="J20" si="9">E20*K19/I20</f>
        <v>48.714429666868348</v>
      </c>
      <c r="K20" s="13">
        <f t="shared" ref="K20" si="10">K19-J20</f>
        <v>902.15376479219651</v>
      </c>
    </row>
    <row r="22" spans="1:11">
      <c r="A22" s="130" t="s">
        <v>15</v>
      </c>
      <c r="B22" s="131"/>
      <c r="C22" s="131"/>
      <c r="D22" s="131"/>
      <c r="E22" s="132"/>
      <c r="F22" s="1">
        <v>1500</v>
      </c>
    </row>
    <row r="23" spans="1:11">
      <c r="A23" s="130" t="s">
        <v>15</v>
      </c>
      <c r="B23" s="131"/>
      <c r="C23" s="131"/>
      <c r="D23" s="131"/>
      <c r="E23" s="132"/>
      <c r="F23" s="40">
        <v>1725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62" t="s">
        <v>67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60</v>
      </c>
      <c r="C6" s="28" t="s">
        <v>19</v>
      </c>
      <c r="D6" s="167"/>
      <c r="E6" s="167"/>
      <c r="F6" s="167"/>
      <c r="G6" s="169"/>
      <c r="H6" s="169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62" t="s">
        <v>66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8" t="s">
        <v>4</v>
      </c>
      <c r="B6" s="28" t="s">
        <v>60</v>
      </c>
      <c r="C6" s="28" t="s">
        <v>19</v>
      </c>
      <c r="D6" s="167"/>
      <c r="E6" s="167"/>
      <c r="F6" s="167"/>
      <c r="G6" s="169"/>
      <c r="H6" s="169"/>
    </row>
    <row r="7" spans="1:8">
      <c r="A7" s="67">
        <v>0</v>
      </c>
      <c r="B7" s="64">
        <v>-0.16666666666666666</v>
      </c>
      <c r="C7" s="16">
        <v>2</v>
      </c>
      <c r="D7" s="80">
        <v>0</v>
      </c>
      <c r="E7" s="81">
        <v>0</v>
      </c>
      <c r="F7" s="81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6">
        <v>8.2000000000000003E-2</v>
      </c>
      <c r="E8" s="57">
        <v>7.3999999999999996E-2</v>
      </c>
      <c r="F8" s="57">
        <v>7.9000000000000001E-2</v>
      </c>
      <c r="G8" s="16">
        <f>(C8*1000*AVERAGE(D8:F8))/$B$2</f>
        <v>1.778080429765823</v>
      </c>
      <c r="H8" s="19">
        <f t="shared" ref="H8:H17" si="0">(C8*1000*STDEV(D8:F8))/$B$2</f>
        <v>9.1736508553566756E-2</v>
      </c>
    </row>
    <row r="9" spans="1:8">
      <c r="A9" s="68">
        <v>1</v>
      </c>
      <c r="B9" s="66">
        <v>2</v>
      </c>
      <c r="C9" s="16">
        <v>2</v>
      </c>
      <c r="D9" s="56">
        <v>0.106</v>
      </c>
      <c r="E9" s="57">
        <v>0.108</v>
      </c>
      <c r="F9" s="57">
        <v>0.112</v>
      </c>
      <c r="G9" s="16">
        <f t="shared" ref="G9:G17" si="1">(C9*1000*AVERAGE(D9:F9))/$B$2</f>
        <v>2.4666137025687589</v>
      </c>
      <c r="H9" s="19">
        <f t="shared" si="0"/>
        <v>6.9346282222310651E-2</v>
      </c>
    </row>
    <row r="10" spans="1:8">
      <c r="A10" s="68">
        <v>2</v>
      </c>
      <c r="B10" s="66">
        <v>3.3333333333333335</v>
      </c>
      <c r="C10" s="16">
        <v>2</v>
      </c>
      <c r="D10" s="55">
        <v>0.157</v>
      </c>
      <c r="E10" s="55">
        <v>0.16200000000000001</v>
      </c>
      <c r="F10" s="55">
        <v>0.154</v>
      </c>
      <c r="G10" s="16">
        <f t="shared" si="1"/>
        <v>3.5788597586350392</v>
      </c>
      <c r="H10" s="19">
        <f t="shared" si="0"/>
        <v>9.1736508553566756E-2</v>
      </c>
    </row>
    <row r="11" spans="1:8">
      <c r="A11" s="68">
        <v>3</v>
      </c>
      <c r="B11" s="66">
        <v>4.666666666666667</v>
      </c>
      <c r="C11" s="16">
        <v>2</v>
      </c>
      <c r="D11" s="55">
        <v>0.26</v>
      </c>
      <c r="E11" s="55">
        <v>0.26</v>
      </c>
      <c r="F11" s="55">
        <v>0.23899999999999999</v>
      </c>
      <c r="G11" s="16">
        <f t="shared" si="1"/>
        <v>5.7428214731585516</v>
      </c>
      <c r="H11" s="19">
        <f t="shared" si="0"/>
        <v>0.27520952566070034</v>
      </c>
    </row>
    <row r="12" spans="1:8">
      <c r="A12" s="68">
        <v>4</v>
      </c>
      <c r="B12" s="66">
        <v>6</v>
      </c>
      <c r="C12" s="16">
        <v>2</v>
      </c>
      <c r="D12" s="55">
        <v>0.38800000000000001</v>
      </c>
      <c r="E12" s="55">
        <v>0.39</v>
      </c>
      <c r="F12" s="55">
        <v>0.38200000000000001</v>
      </c>
      <c r="G12" s="16">
        <f t="shared" si="1"/>
        <v>8.7769076533121488</v>
      </c>
      <c r="H12" s="19">
        <f t="shared" si="0"/>
        <v>9.4503052977693111E-2</v>
      </c>
    </row>
    <row r="13" spans="1:8">
      <c r="A13" s="68">
        <v>5</v>
      </c>
      <c r="B13" s="66">
        <v>7.333333333333333</v>
      </c>
      <c r="C13" s="16">
        <v>2</v>
      </c>
      <c r="D13" s="58">
        <v>0.56299999999999994</v>
      </c>
      <c r="E13" s="58">
        <v>0.56699999999999995</v>
      </c>
      <c r="F13" s="58">
        <v>0.56499999999999995</v>
      </c>
      <c r="G13" s="16">
        <f t="shared" si="1"/>
        <v>12.824877993417319</v>
      </c>
      <c r="H13" s="19">
        <f t="shared" si="0"/>
        <v>4.5397798206787014E-2</v>
      </c>
    </row>
    <row r="14" spans="1:8">
      <c r="A14" s="68">
        <v>6</v>
      </c>
      <c r="B14" s="66">
        <v>8.6666666666666661</v>
      </c>
      <c r="C14" s="16">
        <v>2</v>
      </c>
      <c r="D14" s="58">
        <v>0.745</v>
      </c>
      <c r="E14" s="58">
        <v>0.755</v>
      </c>
      <c r="F14" s="58">
        <v>0.73899999999999999</v>
      </c>
      <c r="G14" s="16">
        <f t="shared" si="1"/>
        <v>16.940945030832669</v>
      </c>
      <c r="H14" s="19">
        <f t="shared" si="0"/>
        <v>0.18347301710713351</v>
      </c>
    </row>
    <row r="15" spans="1:8">
      <c r="A15" s="68">
        <v>7</v>
      </c>
      <c r="B15" s="66">
        <v>10</v>
      </c>
      <c r="C15" s="16">
        <v>2</v>
      </c>
      <c r="D15" s="58">
        <v>1.0529999999999999</v>
      </c>
      <c r="E15" s="58">
        <v>0.99099999999999999</v>
      </c>
      <c r="F15" s="58">
        <v>0.998</v>
      </c>
      <c r="G15" s="16">
        <f t="shared" si="1"/>
        <v>23.016683690840996</v>
      </c>
      <c r="H15" s="19">
        <f t="shared" si="0"/>
        <v>0.77076049694017157</v>
      </c>
    </row>
    <row r="16" spans="1:8">
      <c r="A16" s="68">
        <v>8</v>
      </c>
      <c r="B16" s="66">
        <v>11.333333333333334</v>
      </c>
      <c r="C16" s="16">
        <v>2</v>
      </c>
      <c r="D16" s="58">
        <v>1.228</v>
      </c>
      <c r="E16" s="58">
        <v>1.216</v>
      </c>
      <c r="F16" s="58">
        <v>1.232</v>
      </c>
      <c r="G16" s="16">
        <f t="shared" si="1"/>
        <v>27.813717701358154</v>
      </c>
      <c r="H16" s="19">
        <f t="shared" si="0"/>
        <v>0.18900610595538622</v>
      </c>
    </row>
    <row r="17" spans="1:8">
      <c r="A17" s="68">
        <v>9</v>
      </c>
      <c r="B17" s="66">
        <v>12.666666666666666</v>
      </c>
      <c r="C17" s="16">
        <v>2</v>
      </c>
      <c r="D17" s="58">
        <v>1.3049999999999999</v>
      </c>
      <c r="E17" s="58">
        <v>1.3029999999999999</v>
      </c>
      <c r="F17" s="58">
        <v>1.3029999999999999</v>
      </c>
      <c r="G17" s="16">
        <f t="shared" si="1"/>
        <v>29.591798131123969</v>
      </c>
      <c r="H17" s="19">
        <f t="shared" si="0"/>
        <v>2.6210431015304791E-2</v>
      </c>
    </row>
    <row r="18" spans="1:8">
      <c r="A18" s="68">
        <v>10</v>
      </c>
      <c r="B18" s="66">
        <v>14</v>
      </c>
      <c r="C18" s="16">
        <v>2</v>
      </c>
      <c r="D18" s="58">
        <v>1.32</v>
      </c>
      <c r="E18" s="58">
        <v>1.339</v>
      </c>
      <c r="F18" s="58">
        <v>1.337</v>
      </c>
      <c r="G18" s="16">
        <f t="shared" ref="G18:G23" si="2">(C18*1000*AVERAGE(D18:F18))/$B$2</f>
        <v>30.234933605720119</v>
      </c>
      <c r="H18" s="19">
        <f t="shared" ref="H18:H23" si="3">(C18*1000*STDEV(D18:F18))/$B$2</f>
        <v>0.23698346405426163</v>
      </c>
    </row>
    <row r="19" spans="1:8">
      <c r="A19" s="68">
        <v>11</v>
      </c>
      <c r="B19" s="66">
        <v>15.333333333333334</v>
      </c>
      <c r="C19" s="16">
        <v>2</v>
      </c>
      <c r="D19" s="58">
        <v>1.3560000000000001</v>
      </c>
      <c r="E19" s="58">
        <v>1.32</v>
      </c>
      <c r="F19" s="58">
        <v>1.36</v>
      </c>
      <c r="G19" s="16">
        <f t="shared" si="2"/>
        <v>30.537585593765371</v>
      </c>
      <c r="H19" s="19">
        <f t="shared" si="3"/>
        <v>0.50006315263067591</v>
      </c>
    </row>
    <row r="20" spans="1:8">
      <c r="A20" s="68">
        <v>12</v>
      </c>
      <c r="B20" s="66">
        <v>16.666666666666668</v>
      </c>
      <c r="C20" s="16">
        <v>2</v>
      </c>
      <c r="D20" s="58">
        <v>1.3440000000000001</v>
      </c>
      <c r="E20" s="58">
        <v>1.357</v>
      </c>
      <c r="F20" s="58">
        <v>1.3029999999999999</v>
      </c>
      <c r="G20" s="16">
        <f t="shared" si="2"/>
        <v>30.295464003329169</v>
      </c>
      <c r="H20" s="19">
        <f t="shared" si="3"/>
        <v>0.63974395108925963</v>
      </c>
    </row>
    <row r="21" spans="1:8">
      <c r="A21" s="68">
        <v>13</v>
      </c>
      <c r="B21" s="66">
        <v>18</v>
      </c>
      <c r="C21" s="16">
        <v>2</v>
      </c>
      <c r="D21" s="58">
        <v>1.31</v>
      </c>
      <c r="E21" s="58">
        <v>1.3069999999999999</v>
      </c>
      <c r="F21" s="58">
        <v>1.3049999999999999</v>
      </c>
      <c r="G21" s="16">
        <f t="shared" si="2"/>
        <v>29.675027427836415</v>
      </c>
      <c r="H21" s="19">
        <f t="shared" si="3"/>
        <v>5.7124310031180216E-2</v>
      </c>
    </row>
    <row r="22" spans="1:8">
      <c r="A22" s="68">
        <v>14</v>
      </c>
      <c r="B22" s="66">
        <v>24</v>
      </c>
      <c r="C22" s="16">
        <v>2</v>
      </c>
      <c r="D22" s="58">
        <v>1.4059999999999999</v>
      </c>
      <c r="E22" s="58">
        <v>1.3919999999999999</v>
      </c>
      <c r="F22" s="58">
        <v>1.411</v>
      </c>
      <c r="G22" s="16">
        <f t="shared" si="2"/>
        <v>31.846555442061057</v>
      </c>
      <c r="H22" s="19">
        <f t="shared" si="3"/>
        <v>0.22355822952664076</v>
      </c>
    </row>
    <row r="23" spans="1:8">
      <c r="A23" s="68">
        <v>15</v>
      </c>
      <c r="B23" s="66">
        <v>30</v>
      </c>
      <c r="C23" s="16">
        <v>2</v>
      </c>
      <c r="D23" s="58">
        <v>1.623</v>
      </c>
      <c r="E23" s="58">
        <v>1.6</v>
      </c>
      <c r="F23" s="58">
        <v>1.6060000000000001</v>
      </c>
      <c r="G23" s="16">
        <f t="shared" si="2"/>
        <v>36.537661256762377</v>
      </c>
      <c r="H23" s="19">
        <f t="shared" si="3"/>
        <v>0.27080588912606518</v>
      </c>
    </row>
    <row r="24" spans="1:8">
      <c r="A24" s="68">
        <v>16</v>
      </c>
      <c r="B24" s="66">
        <v>48</v>
      </c>
      <c r="C24" s="16">
        <v>2</v>
      </c>
      <c r="D24" s="58">
        <v>1.5109999999999999</v>
      </c>
      <c r="E24" s="58">
        <v>1.569</v>
      </c>
      <c r="F24" s="58">
        <v>1.53</v>
      </c>
      <c r="G24" s="16">
        <f t="shared" ref="G24" si="4">(C24*1000*AVERAGE(D24:F24))/$B$2</f>
        <v>34.880641622214661</v>
      </c>
      <c r="H24" s="19">
        <f t="shared" ref="H24" si="5">(C24*1000*STDEV(D24:F24))/$B$2</f>
        <v>0.67118665406560296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62" t="s">
        <v>42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2" t="s">
        <v>4</v>
      </c>
      <c r="B6" s="22" t="s">
        <v>60</v>
      </c>
      <c r="C6" s="22" t="s">
        <v>19</v>
      </c>
      <c r="D6" s="167"/>
      <c r="E6" s="167"/>
      <c r="F6" s="167"/>
      <c r="G6" s="169"/>
      <c r="H6" s="169"/>
    </row>
    <row r="7" spans="1:8">
      <c r="A7" s="67">
        <v>0</v>
      </c>
      <c r="B7" s="64">
        <v>-0.16666666666666666</v>
      </c>
      <c r="C7" s="16">
        <v>2</v>
      </c>
      <c r="D7" s="42">
        <v>4.2000000000000003E-2</v>
      </c>
      <c r="E7" s="42">
        <v>3.7999999999999999E-2</v>
      </c>
      <c r="F7" s="42">
        <v>0.04</v>
      </c>
      <c r="G7" s="16">
        <f>(C7*1000*AVERAGE(D7:F7))/$B$2</f>
        <v>0.88809946714031973</v>
      </c>
      <c r="H7" s="19">
        <f>(C7*1000*STDEV(D7:F7))/$B$2</f>
        <v>4.4404973357016028E-2</v>
      </c>
    </row>
    <row r="8" spans="1:8">
      <c r="A8" s="68">
        <v>0</v>
      </c>
      <c r="B8" s="66">
        <v>0.16666666666666666</v>
      </c>
      <c r="C8" s="16">
        <v>2</v>
      </c>
      <c r="D8" s="42">
        <v>7.2999999999999995E-2</v>
      </c>
      <c r="E8" s="42">
        <v>7.3999999999999996E-2</v>
      </c>
      <c r="F8" s="42">
        <v>7.0000000000000007E-2</v>
      </c>
      <c r="G8" s="16">
        <f t="shared" ref="G8:G23" si="0">(C8*1000*AVERAGE(D8:F8))/$B$2</f>
        <v>1.6059798697454115</v>
      </c>
      <c r="H8" s="19">
        <f t="shared" ref="H8:H23" si="1">(C8*1000*STDEV(D8:F8))/$B$2</f>
        <v>4.6218161622249711E-2</v>
      </c>
    </row>
    <row r="9" spans="1:8">
      <c r="A9" s="68">
        <v>1</v>
      </c>
      <c r="B9" s="66">
        <v>2</v>
      </c>
      <c r="C9" s="16">
        <v>2</v>
      </c>
      <c r="D9" s="42">
        <v>8.1000000000000003E-2</v>
      </c>
      <c r="E9" s="42">
        <v>8.1000000000000003E-2</v>
      </c>
      <c r="F9" s="42">
        <v>0.08</v>
      </c>
      <c r="G9" s="16">
        <f t="shared" si="0"/>
        <v>1.7910005920663112</v>
      </c>
      <c r="H9" s="19">
        <f t="shared" si="1"/>
        <v>1.2818611660515681E-2</v>
      </c>
    </row>
    <row r="10" spans="1:8">
      <c r="A10" s="68">
        <v>2</v>
      </c>
      <c r="B10" s="66">
        <v>3.3333333333333335</v>
      </c>
      <c r="C10" s="16">
        <v>2</v>
      </c>
      <c r="D10" s="55">
        <v>9.5000000000000001E-2</v>
      </c>
      <c r="E10" s="55">
        <v>9.7000000000000003E-2</v>
      </c>
      <c r="F10" s="55">
        <v>9.5000000000000001E-2</v>
      </c>
      <c r="G10" s="16">
        <f t="shared" si="0"/>
        <v>2.1240378922439316</v>
      </c>
      <c r="H10" s="19">
        <f t="shared" si="1"/>
        <v>2.5637223321031362E-2</v>
      </c>
    </row>
    <row r="11" spans="1:8">
      <c r="A11" s="68">
        <v>3</v>
      </c>
      <c r="B11" s="66">
        <v>4.666666666666667</v>
      </c>
      <c r="C11" s="16">
        <v>2</v>
      </c>
      <c r="D11" s="55">
        <v>0.11600000000000001</v>
      </c>
      <c r="E11" s="55">
        <v>0.115</v>
      </c>
      <c r="F11" s="55">
        <v>0.112</v>
      </c>
      <c r="G11" s="16">
        <f t="shared" si="0"/>
        <v>2.5384843102427475</v>
      </c>
      <c r="H11" s="19">
        <f t="shared" si="1"/>
        <v>4.6218161622249884E-2</v>
      </c>
    </row>
    <row r="12" spans="1:8">
      <c r="A12" s="68">
        <v>4</v>
      </c>
      <c r="B12" s="66">
        <v>6</v>
      </c>
      <c r="C12" s="16">
        <v>2</v>
      </c>
      <c r="D12" s="55">
        <v>0.128</v>
      </c>
      <c r="E12" s="55">
        <v>0.127</v>
      </c>
      <c r="F12" s="55">
        <v>0.128</v>
      </c>
      <c r="G12" s="16">
        <f t="shared" si="0"/>
        <v>2.8345174659561874</v>
      </c>
      <c r="H12" s="19">
        <f t="shared" si="1"/>
        <v>1.2818611660515681E-2</v>
      </c>
    </row>
    <row r="13" spans="1:8">
      <c r="A13" s="68">
        <v>5</v>
      </c>
      <c r="B13" s="66">
        <v>7.333333333333333</v>
      </c>
      <c r="C13" s="16">
        <v>2</v>
      </c>
      <c r="D13" s="55">
        <v>0.13900000000000001</v>
      </c>
      <c r="E13" s="55">
        <v>0.14000000000000001</v>
      </c>
      <c r="F13" s="55">
        <v>0.14000000000000001</v>
      </c>
      <c r="G13" s="16">
        <f t="shared" si="0"/>
        <v>3.1009473060982833</v>
      </c>
      <c r="H13" s="19">
        <f t="shared" si="1"/>
        <v>1.2818611660515681E-2</v>
      </c>
    </row>
    <row r="14" spans="1:8">
      <c r="A14" s="68">
        <v>6</v>
      </c>
      <c r="B14" s="66">
        <v>8.6666666666666661</v>
      </c>
      <c r="C14" s="16">
        <v>2</v>
      </c>
      <c r="D14" s="55">
        <v>0.16700000000000001</v>
      </c>
      <c r="E14" s="55">
        <v>0.16800000000000001</v>
      </c>
      <c r="F14" s="55">
        <v>0.16500000000000001</v>
      </c>
      <c r="G14" s="16">
        <f t="shared" si="0"/>
        <v>3.7004144464179989</v>
      </c>
      <c r="H14" s="19">
        <f t="shared" si="1"/>
        <v>3.3914858606837212E-2</v>
      </c>
    </row>
    <row r="15" spans="1:8">
      <c r="A15" s="68">
        <v>7</v>
      </c>
      <c r="B15" s="66">
        <v>10</v>
      </c>
      <c r="C15" s="16">
        <v>2</v>
      </c>
      <c r="D15" s="55">
        <v>0.27400000000000002</v>
      </c>
      <c r="E15" s="55">
        <v>0.26200000000000001</v>
      </c>
      <c r="F15" s="55">
        <v>0.26100000000000001</v>
      </c>
      <c r="G15" s="16">
        <f t="shared" si="0"/>
        <v>5.8984606275902909</v>
      </c>
      <c r="H15" s="19">
        <f t="shared" si="1"/>
        <v>0.16061674374045828</v>
      </c>
    </row>
    <row r="16" spans="1:8">
      <c r="A16" s="68">
        <v>8</v>
      </c>
      <c r="B16" s="66">
        <v>11.333333333333334</v>
      </c>
      <c r="C16" s="16">
        <v>2</v>
      </c>
      <c r="D16" s="55">
        <v>0.36599999999999999</v>
      </c>
      <c r="E16" s="55">
        <v>0.36399999999999999</v>
      </c>
      <c r="F16" s="55">
        <v>0.36899999999999999</v>
      </c>
      <c r="G16" s="16">
        <f t="shared" si="0"/>
        <v>8.1335109532267627</v>
      </c>
      <c r="H16" s="19">
        <f t="shared" si="1"/>
        <v>5.5875032824679961E-2</v>
      </c>
    </row>
    <row r="17" spans="1:8">
      <c r="A17" s="68">
        <v>9</v>
      </c>
      <c r="B17" s="66">
        <v>12.666666666666666</v>
      </c>
      <c r="C17" s="16">
        <v>2</v>
      </c>
      <c r="D17" s="55">
        <v>0.378</v>
      </c>
      <c r="E17" s="55">
        <v>0.378</v>
      </c>
      <c r="F17" s="55">
        <v>0.38</v>
      </c>
      <c r="G17" s="16">
        <f t="shared" si="0"/>
        <v>8.4073416222616935</v>
      </c>
      <c r="H17" s="19">
        <f t="shared" si="1"/>
        <v>2.5637223321031362E-2</v>
      </c>
    </row>
    <row r="18" spans="1:8">
      <c r="A18" s="68">
        <v>10</v>
      </c>
      <c r="B18" s="66">
        <v>14</v>
      </c>
      <c r="C18" s="16">
        <v>2</v>
      </c>
      <c r="D18" s="42">
        <v>0.36699999999999999</v>
      </c>
      <c r="E18" s="42">
        <v>0.374</v>
      </c>
      <c r="F18" s="42">
        <v>0.375</v>
      </c>
      <c r="G18" s="16">
        <f t="shared" si="0"/>
        <v>8.2593250444049744</v>
      </c>
      <c r="H18" s="19">
        <f t="shared" si="1"/>
        <v>9.6778395726924454E-2</v>
      </c>
    </row>
    <row r="19" spans="1:8">
      <c r="A19" s="68">
        <v>11</v>
      </c>
      <c r="B19" s="66">
        <v>15.333333333333334</v>
      </c>
      <c r="C19" s="16">
        <v>2</v>
      </c>
      <c r="D19" s="55">
        <v>0.36499999999999999</v>
      </c>
      <c r="E19" s="55">
        <v>0.35899999999999999</v>
      </c>
      <c r="F19" s="55">
        <v>0.36699999999999999</v>
      </c>
      <c r="G19" s="16">
        <f t="shared" si="0"/>
        <v>8.0743043220840729</v>
      </c>
      <c r="H19" s="19">
        <f t="shared" si="1"/>
        <v>9.2436323244499768E-2</v>
      </c>
    </row>
    <row r="20" spans="1:8">
      <c r="A20" s="68">
        <v>12</v>
      </c>
      <c r="B20" s="66">
        <v>16.666666666666668</v>
      </c>
      <c r="C20" s="16">
        <v>2</v>
      </c>
      <c r="D20" s="55">
        <v>0.35799999999999998</v>
      </c>
      <c r="E20" s="55">
        <v>0.35699999999999998</v>
      </c>
      <c r="F20" s="55">
        <v>0.34599999999999997</v>
      </c>
      <c r="G20" s="16">
        <f t="shared" si="0"/>
        <v>7.8522794552989925</v>
      </c>
      <c r="H20" s="19">
        <f t="shared" si="1"/>
        <v>0.14783144135167403</v>
      </c>
    </row>
    <row r="21" spans="1:8">
      <c r="A21" s="68">
        <v>13</v>
      </c>
      <c r="B21" s="66">
        <v>18</v>
      </c>
      <c r="C21" s="16">
        <v>2</v>
      </c>
      <c r="D21" s="55">
        <v>0.34399999999999997</v>
      </c>
      <c r="E21" s="55">
        <v>0.34200000000000003</v>
      </c>
      <c r="F21" s="55">
        <v>0.34399999999999997</v>
      </c>
      <c r="G21" s="16">
        <f t="shared" si="0"/>
        <v>7.6228537596210764</v>
      </c>
      <c r="H21" s="19">
        <f t="shared" si="1"/>
        <v>2.5637223321030654E-2</v>
      </c>
    </row>
    <row r="22" spans="1:8">
      <c r="A22" s="68">
        <v>14</v>
      </c>
      <c r="B22" s="66">
        <v>24</v>
      </c>
      <c r="C22" s="16">
        <v>2</v>
      </c>
      <c r="D22" s="55">
        <v>0.34499999999999997</v>
      </c>
      <c r="E22" s="55">
        <v>0.34799999999999998</v>
      </c>
      <c r="F22" s="55">
        <v>0.35399999999999998</v>
      </c>
      <c r="G22" s="16">
        <f t="shared" si="0"/>
        <v>7.7486678507992899</v>
      </c>
      <c r="H22" s="19">
        <f t="shared" si="1"/>
        <v>0.10174457582051165</v>
      </c>
    </row>
    <row r="23" spans="1:8">
      <c r="A23" s="68">
        <v>15</v>
      </c>
      <c r="B23" s="66">
        <v>30</v>
      </c>
      <c r="C23" s="16">
        <v>2</v>
      </c>
      <c r="D23" s="55">
        <v>0.35899999999999999</v>
      </c>
      <c r="E23" s="55">
        <v>0.35199999999999998</v>
      </c>
      <c r="F23" s="55">
        <v>0.35599999999999998</v>
      </c>
      <c r="G23" s="16">
        <f t="shared" si="0"/>
        <v>7.8966844286560089</v>
      </c>
      <c r="H23" s="19">
        <f t="shared" si="1"/>
        <v>7.7972570699028632E-2</v>
      </c>
    </row>
    <row r="24" spans="1:8">
      <c r="A24" s="68">
        <v>16</v>
      </c>
      <c r="B24" s="66">
        <v>48</v>
      </c>
      <c r="C24" s="16">
        <v>2</v>
      </c>
      <c r="D24" s="55">
        <v>0.315</v>
      </c>
      <c r="E24" s="55">
        <v>0.32600000000000001</v>
      </c>
      <c r="F24" s="55">
        <v>0.32100000000000001</v>
      </c>
      <c r="G24" s="16">
        <f t="shared" ref="G24" si="2">(C24*1000*AVERAGE(D24:F24))/$B$2</f>
        <v>7.1195973949082294</v>
      </c>
      <c r="H24" s="19">
        <f t="shared" ref="H24" si="3">(C24*1000*STDEV(D24:F24))/$B$2</f>
        <v>0.12228176170706276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62" t="s">
        <v>44</v>
      </c>
      <c r="B4" s="163"/>
      <c r="C4" s="163"/>
      <c r="D4" s="163"/>
      <c r="E4" s="163"/>
      <c r="F4" s="163"/>
      <c r="G4" s="163"/>
      <c r="H4" s="164"/>
    </row>
    <row r="5" spans="1:8">
      <c r="A5" s="165" t="s">
        <v>62</v>
      </c>
      <c r="B5" s="163"/>
      <c r="C5" s="164"/>
      <c r="D5" s="166" t="s">
        <v>45</v>
      </c>
      <c r="E5" s="166" t="s">
        <v>46</v>
      </c>
      <c r="F5" s="166" t="s">
        <v>47</v>
      </c>
      <c r="G5" s="168" t="s">
        <v>63</v>
      </c>
      <c r="H5" s="168" t="s">
        <v>64</v>
      </c>
    </row>
    <row r="6" spans="1:8">
      <c r="A6" s="22" t="s">
        <v>4</v>
      </c>
      <c r="B6" s="22" t="s">
        <v>60</v>
      </c>
      <c r="C6" s="22" t="s">
        <v>19</v>
      </c>
      <c r="D6" s="167"/>
      <c r="E6" s="167"/>
      <c r="F6" s="167"/>
      <c r="G6" s="169"/>
      <c r="H6" s="169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12" sqref="B12"/>
    </sheetView>
  </sheetViews>
  <sheetFormatPr baseColWidth="10" defaultColWidth="8.83203125" defaultRowHeight="14" x14ac:dyDescent="0"/>
  <cols>
    <col min="1" max="1" width="30.5" customWidth="1"/>
    <col min="2" max="2" width="10.1640625" bestFit="1" customWidth="1"/>
  </cols>
  <sheetData>
    <row r="1" spans="1:5">
      <c r="B1" s="30" t="s">
        <v>78</v>
      </c>
      <c r="C1" s="30" t="s">
        <v>79</v>
      </c>
    </row>
    <row r="2" spans="1:5">
      <c r="A2" s="30" t="s">
        <v>144</v>
      </c>
      <c r="B2" s="31">
        <f>Metabolites!H4-Metabolites!H20</f>
        <v>47.509807429367328</v>
      </c>
      <c r="C2" s="31">
        <f>Metabolites!I4+Metabolites!I20</f>
        <v>9.5019656511193026E-2</v>
      </c>
    </row>
    <row r="3" spans="1:5">
      <c r="A3" s="30" t="s">
        <v>183</v>
      </c>
      <c r="B3" s="31">
        <f>Metabolites!P20-Metabolites!P4</f>
        <v>31.418215355030824</v>
      </c>
      <c r="C3" s="31">
        <f>Metabolites!Q4+Metabolites!Q20</f>
        <v>0.53486813869813943</v>
      </c>
    </row>
    <row r="4" spans="1:5">
      <c r="A4" s="30" t="s">
        <v>184</v>
      </c>
      <c r="B4" s="31">
        <f>Metabolites!T4-Metabolites!T20</f>
        <v>1.1317298540051295</v>
      </c>
      <c r="C4" s="31">
        <f>Metabolites!U4+Metabolites!U20</f>
        <v>8.7056142615779195E-2</v>
      </c>
    </row>
    <row r="5" spans="1:5">
      <c r="A5" s="30" t="s">
        <v>123</v>
      </c>
      <c r="B5" s="31">
        <f>Metabolites!L20-Metabolites!L4</f>
        <v>5.9909140634346807</v>
      </c>
      <c r="C5" s="31">
        <f>Metabolites!M20+Metabolites!M4</f>
        <v>0.176830407258974</v>
      </c>
    </row>
    <row r="6" spans="1:5">
      <c r="A6" s="30" t="s">
        <v>124</v>
      </c>
      <c r="B6" s="31">
        <f>Metabolites!L41-Metabolites!L25</f>
        <v>35.451906427821292</v>
      </c>
      <c r="C6" s="31">
        <f>Metabolites!M41+Metabolites!M25</f>
        <v>0.80835669327355841</v>
      </c>
    </row>
    <row r="7" spans="1:5">
      <c r="A7" s="30" t="s">
        <v>80</v>
      </c>
      <c r="B7" s="31">
        <f>'H2'!G101</f>
        <v>61.464758104494933</v>
      </c>
    </row>
    <row r="8" spans="1:5">
      <c r="A8" s="30" t="s">
        <v>81</v>
      </c>
      <c r="B8" s="31">
        <f>'CO2'!G101</f>
        <v>65.270699367507703</v>
      </c>
    </row>
    <row r="9" spans="1:5">
      <c r="A9" s="30" t="s">
        <v>125</v>
      </c>
      <c r="B9" s="31">
        <f>Calculation!G20*1.5/1000</f>
        <v>0.1215</v>
      </c>
    </row>
    <row r="10" spans="1:5" ht="16">
      <c r="A10" s="30" t="s">
        <v>126</v>
      </c>
      <c r="B10" s="31">
        <f>Calculation!H20*1.5/1000</f>
        <v>1.4999999999999999E-2</v>
      </c>
    </row>
    <row r="12" spans="1:5">
      <c r="A12" s="30" t="s">
        <v>82</v>
      </c>
      <c r="B12" s="83">
        <f>((4*$B$6)+(3*$B$5)+(2*$B$3)+(B8))/((6*$B$2)+($B$4))</f>
        <v>1.0059293481356888</v>
      </c>
    </row>
    <row r="14" spans="1:5">
      <c r="A14" s="61"/>
      <c r="B14" s="61"/>
      <c r="C14" s="61" t="s">
        <v>127</v>
      </c>
      <c r="D14" s="61" t="s">
        <v>128</v>
      </c>
    </row>
    <row r="15" spans="1:5">
      <c r="A15" s="61" t="s">
        <v>157</v>
      </c>
      <c r="B15" s="61" t="s">
        <v>129</v>
      </c>
      <c r="C15" s="62">
        <f>B2</f>
        <v>47.509807429367328</v>
      </c>
      <c r="D15" s="62">
        <f>B2</f>
        <v>47.509807429367328</v>
      </c>
      <c r="E15" s="61"/>
    </row>
    <row r="16" spans="1:5">
      <c r="A16" s="61" t="s">
        <v>130</v>
      </c>
      <c r="B16" s="61" t="s">
        <v>131</v>
      </c>
      <c r="C16" s="62">
        <f>2*C15</f>
        <v>95.019614858734656</v>
      </c>
      <c r="D16" s="62">
        <f>2*B2</f>
        <v>95.019614858734656</v>
      </c>
      <c r="E16" s="61"/>
    </row>
    <row r="17" spans="1:5">
      <c r="A17" s="61" t="s">
        <v>132</v>
      </c>
      <c r="B17" s="61" t="s">
        <v>133</v>
      </c>
      <c r="C17" s="62">
        <f>B5</f>
        <v>5.9909140634346807</v>
      </c>
      <c r="D17" s="62">
        <f>B5</f>
        <v>5.9909140634346807</v>
      </c>
      <c r="E17" s="61"/>
    </row>
    <row r="18" spans="1:5">
      <c r="A18" s="61" t="s">
        <v>134</v>
      </c>
      <c r="B18" s="61" t="s">
        <v>135</v>
      </c>
      <c r="C18" s="62">
        <f>B4</f>
        <v>1.1317298540051295</v>
      </c>
      <c r="D18" s="62">
        <f>B4</f>
        <v>1.1317298540051295</v>
      </c>
      <c r="E18" s="61"/>
    </row>
    <row r="19" spans="1:5">
      <c r="A19" s="61" t="s">
        <v>158</v>
      </c>
      <c r="B19" s="61" t="s">
        <v>136</v>
      </c>
      <c r="C19" s="78">
        <f>C16-C17-C18</f>
        <v>87.896970941294839</v>
      </c>
      <c r="D19" s="78">
        <f>B8</f>
        <v>65.270699367507703</v>
      </c>
      <c r="E19" s="61"/>
    </row>
    <row r="20" spans="1:5">
      <c r="A20" s="61" t="s">
        <v>156</v>
      </c>
      <c r="B20" s="61" t="s">
        <v>156</v>
      </c>
      <c r="C20" s="69">
        <f>C16-C17</f>
        <v>89.028700795299969</v>
      </c>
      <c r="D20" s="69"/>
      <c r="E20" s="61"/>
    </row>
    <row r="21" spans="1:5">
      <c r="A21" s="61" t="s">
        <v>159</v>
      </c>
      <c r="B21" s="61" t="s">
        <v>137</v>
      </c>
      <c r="C21" s="62">
        <f>B3</f>
        <v>31.418215355030824</v>
      </c>
      <c r="D21" s="62">
        <f>B3</f>
        <v>31.418215355030824</v>
      </c>
      <c r="E21" s="61"/>
    </row>
    <row r="22" spans="1:5">
      <c r="A22" s="61" t="s">
        <v>160</v>
      </c>
      <c r="B22" s="61" t="s">
        <v>139</v>
      </c>
      <c r="C22" s="62">
        <f>C16-C17+C21</f>
        <v>120.44691615033079</v>
      </c>
      <c r="D22" s="62">
        <f>B6</f>
        <v>35.451906427821292</v>
      </c>
      <c r="E22" s="61"/>
    </row>
    <row r="23" spans="1:5">
      <c r="A23" s="61" t="s">
        <v>161</v>
      </c>
      <c r="B23" s="61" t="s">
        <v>140</v>
      </c>
      <c r="C23" s="78">
        <f>C22/2</f>
        <v>60.223458075165397</v>
      </c>
      <c r="D23" s="78">
        <f>B6</f>
        <v>35.451906427821292</v>
      </c>
      <c r="E23" s="61"/>
    </row>
    <row r="24" spans="1:5">
      <c r="A24" t="s">
        <v>152</v>
      </c>
      <c r="B24" t="s">
        <v>153</v>
      </c>
      <c r="C24" s="31">
        <f>C20-C21</f>
        <v>57.610485440269144</v>
      </c>
      <c r="D24" s="31"/>
      <c r="E24" s="61"/>
    </row>
    <row r="25" spans="1:5">
      <c r="A25" t="s">
        <v>154</v>
      </c>
      <c r="B25" t="s">
        <v>155</v>
      </c>
      <c r="C25" s="77">
        <f>C24-C18</f>
        <v>56.478755586264015</v>
      </c>
      <c r="D25" s="77">
        <f>B7</f>
        <v>61.464758104494933</v>
      </c>
      <c r="E25" s="61"/>
    </row>
    <row r="26" spans="1:5">
      <c r="A26" s="61"/>
      <c r="B26" s="61"/>
      <c r="C26" s="61"/>
      <c r="D26" s="61"/>
      <c r="E26" s="61"/>
    </row>
    <row r="27" spans="1:5">
      <c r="A27" s="61"/>
      <c r="B27" s="61"/>
      <c r="C27" s="61"/>
      <c r="D27" s="61"/>
      <c r="E27" s="61"/>
    </row>
    <row r="28" spans="1:5">
      <c r="A28" s="61"/>
      <c r="B28" s="61"/>
      <c r="C28" s="61"/>
      <c r="D28" s="61"/>
      <c r="E28" s="61"/>
    </row>
    <row r="29" spans="1:5">
      <c r="C29" s="61"/>
      <c r="D29" s="61"/>
      <c r="E29" s="61"/>
    </row>
  </sheetData>
  <phoneticPr fontId="2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4" t="s">
        <v>4</v>
      </c>
      <c r="B1" s="134" t="s">
        <v>117</v>
      </c>
      <c r="C1" s="134" t="s">
        <v>117</v>
      </c>
      <c r="D1" s="134" t="s">
        <v>5</v>
      </c>
      <c r="E1" s="139" t="s">
        <v>18</v>
      </c>
      <c r="F1" s="139"/>
      <c r="G1" s="139"/>
      <c r="H1" s="139"/>
      <c r="I1" s="139" t="s">
        <v>20</v>
      </c>
      <c r="J1" s="139"/>
      <c r="K1" s="139"/>
      <c r="L1" s="139"/>
      <c r="M1" s="139" t="s">
        <v>21</v>
      </c>
      <c r="N1" s="139"/>
      <c r="O1" s="139"/>
      <c r="P1" s="139"/>
      <c r="Q1" s="38" t="s">
        <v>22</v>
      </c>
      <c r="R1" s="38" t="s">
        <v>22</v>
      </c>
      <c r="S1" s="38" t="s">
        <v>22</v>
      </c>
    </row>
    <row r="2" spans="1:19">
      <c r="A2" s="135"/>
      <c r="B2" s="135"/>
      <c r="C2" s="135"/>
      <c r="D2" s="135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Q3" s="136"/>
      <c r="R3" s="137"/>
      <c r="S3" s="138"/>
    </row>
    <row r="4" spans="1:19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5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5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5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5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5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5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5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5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5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5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5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5">
        <v>14</v>
      </c>
      <c r="B18" s="32">
        <v>360</v>
      </c>
      <c r="C18" s="32">
        <f t="shared" si="2"/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workbookViewId="0">
      <selection activeCell="A16" sqref="A16:XFD16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4" t="s">
        <v>4</v>
      </c>
      <c r="B1" s="134" t="s">
        <v>117</v>
      </c>
      <c r="C1" s="134" t="s">
        <v>117</v>
      </c>
      <c r="D1" s="134" t="s">
        <v>5</v>
      </c>
      <c r="E1" s="133" t="s">
        <v>119</v>
      </c>
      <c r="F1" s="133"/>
      <c r="G1" s="133"/>
      <c r="H1" s="133"/>
      <c r="I1" s="133" t="s">
        <v>120</v>
      </c>
      <c r="J1" s="133"/>
      <c r="K1" s="133"/>
      <c r="L1" s="133"/>
      <c r="M1" s="133" t="s">
        <v>121</v>
      </c>
      <c r="N1" s="133"/>
      <c r="O1" s="133"/>
      <c r="P1" s="133"/>
      <c r="Q1" s="24" t="s">
        <v>122</v>
      </c>
      <c r="R1" s="24" t="s">
        <v>122</v>
      </c>
      <c r="S1" s="24" t="s">
        <v>122</v>
      </c>
      <c r="T1" s="59" t="s">
        <v>122</v>
      </c>
      <c r="U1" s="73" t="s">
        <v>119</v>
      </c>
      <c r="V1" s="73" t="s">
        <v>120</v>
      </c>
      <c r="W1" s="73" t="s">
        <v>121</v>
      </c>
      <c r="X1" s="73" t="s">
        <v>122</v>
      </c>
    </row>
    <row r="2" spans="1:24">
      <c r="A2" s="135"/>
      <c r="B2" s="135"/>
      <c r="C2" s="135"/>
      <c r="D2" s="135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60" t="s">
        <v>138</v>
      </c>
      <c r="U2" s="74" t="s">
        <v>148</v>
      </c>
      <c r="V2" s="74" t="s">
        <v>148</v>
      </c>
      <c r="W2" s="74" t="s">
        <v>148</v>
      </c>
      <c r="X2" s="74" t="s">
        <v>149</v>
      </c>
    </row>
    <row r="3" spans="1:24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40" t="s">
        <v>101</v>
      </c>
      <c r="R3" s="141"/>
      <c r="S3" s="142"/>
      <c r="T3" s="72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32">
        <v>2</v>
      </c>
      <c r="F4" s="32">
        <v>9452</v>
      </c>
      <c r="G4" s="32">
        <v>7</v>
      </c>
      <c r="H4" s="44">
        <f>('Flow cytometer'!F4/'Flow cytometer'!G4)*POWER(10,'Flow cytometer'!E4+2)*10.2</f>
        <v>137729142.85714284</v>
      </c>
      <c r="I4" s="32">
        <v>2</v>
      </c>
      <c r="J4" s="32">
        <v>10524</v>
      </c>
      <c r="K4" s="32">
        <v>7</v>
      </c>
      <c r="L4" s="44">
        <f>('Flow cytometer'!J4/'Flow cytometer'!K4)*POWER(10,'Flow cytometer'!I4+2)*10.2</f>
        <v>153349714.28571427</v>
      </c>
      <c r="M4" s="32">
        <v>2</v>
      </c>
      <c r="N4" s="32">
        <v>9897</v>
      </c>
      <c r="O4" s="32">
        <v>7</v>
      </c>
      <c r="P4" s="44">
        <f>('Flow cytometer'!N4/'Flow cytometer'!O4)*POWER(10,'Flow cytometer'!M4+2)*10.2</f>
        <v>144213428.57142857</v>
      </c>
      <c r="Q4" s="47">
        <f>AVERAGE(H4,L4,P4)*Calculation!I4/Calculation!K3</f>
        <v>145358395.16957858</v>
      </c>
      <c r="R4" s="48">
        <f>STDEV(H4,L4,P4)*Calculation!I4/Calculation!K3</f>
        <v>7861831.1410669861</v>
      </c>
      <c r="S4" s="49">
        <f>LOG(Q4)</f>
        <v>8.162440119495054</v>
      </c>
      <c r="T4" s="71">
        <f>LN(Q4)</f>
        <v>18.794712941605848</v>
      </c>
      <c r="U4" s="49">
        <f>LOG(H4)</f>
        <v>8.1390258447079926</v>
      </c>
      <c r="V4" s="49">
        <f>LOG(L4)</f>
        <v>8.1856829711613255</v>
      </c>
      <c r="W4" s="49">
        <f>LOG(P4)</f>
        <v>8.1590057020126672</v>
      </c>
      <c r="X4" s="49">
        <f xml:space="preserve"> STDEV(U4:W4)*Calculation!I4/Calculation!K3</f>
        <v>2.3450642997495531E-2</v>
      </c>
    </row>
    <row r="5" spans="1:24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32">
        <v>2</v>
      </c>
      <c r="F5" s="32">
        <v>15559</v>
      </c>
      <c r="G5" s="32">
        <v>7</v>
      </c>
      <c r="H5" s="44">
        <f>('Flow cytometer'!F5/'Flow cytometer'!G5)*POWER(10,'Flow cytometer'!E5+2)*10.2</f>
        <v>226716857.14285713</v>
      </c>
      <c r="I5" s="32">
        <v>2</v>
      </c>
      <c r="J5" s="32">
        <v>16189</v>
      </c>
      <c r="K5" s="32">
        <v>7</v>
      </c>
      <c r="L5" s="44">
        <f>('Flow cytometer'!J5/'Flow cytometer'!K5)*POWER(10,'Flow cytometer'!I5+2)*10.2</f>
        <v>235896857.14285713</v>
      </c>
      <c r="M5" s="32">
        <v>2</v>
      </c>
      <c r="N5" s="32">
        <v>17041</v>
      </c>
      <c r="O5" s="32">
        <v>7</v>
      </c>
      <c r="P5" s="44">
        <f>('Flow cytometer'!N5/'Flow cytometer'!O5)*POWER(10,'Flow cytometer'!M5+2)*10.2</f>
        <v>248311714.2857143</v>
      </c>
      <c r="Q5" s="47">
        <f>AVERAGE(H5,L5,P5)*Calculation!I5/Calculation!K4</f>
        <v>237693903.48560867</v>
      </c>
      <c r="R5" s="48">
        <f>STDEV(H5,L5,P5)*Calculation!I5/Calculation!K4</f>
        <v>10870606.022886448</v>
      </c>
      <c r="S5" s="49">
        <f t="shared" ref="S5:S19" si="1">LOG(Q5)</f>
        <v>8.3760180428282496</v>
      </c>
      <c r="T5" s="49">
        <f t="shared" ref="T5:T19" si="2">LN(Q5)</f>
        <v>19.28649428406549</v>
      </c>
      <c r="U5" s="49">
        <f t="shared" ref="U5:U20" si="3">LOG(H5)</f>
        <v>8.3554838125479911</v>
      </c>
      <c r="V5" s="49">
        <f t="shared" ref="V5:V20" si="4">LOG(L5)</f>
        <v>8.3727221548126529</v>
      </c>
      <c r="W5" s="49">
        <f t="shared" ref="W5:W20" si="5">LOG(P5)</f>
        <v>8.3949972081958908</v>
      </c>
      <c r="X5" s="49">
        <f xml:space="preserve"> STDEV(U5:W5)*Calculation!I5/Calculation!K4</f>
        <v>1.9870212760474747E-2</v>
      </c>
    </row>
    <row r="6" spans="1:24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32">
        <v>2</v>
      </c>
      <c r="F6" s="32">
        <v>32445</v>
      </c>
      <c r="G6" s="32">
        <v>7</v>
      </c>
      <c r="H6" s="44">
        <f>('Flow cytometer'!F6/'Flow cytometer'!G6)*POWER(10,'Flow cytometer'!E6+2)*10.2</f>
        <v>472769999.99999994</v>
      </c>
      <c r="I6" s="32">
        <v>2</v>
      </c>
      <c r="J6" s="32">
        <v>32303</v>
      </c>
      <c r="K6" s="32">
        <v>7</v>
      </c>
      <c r="L6" s="44">
        <f>('Flow cytometer'!J6/'Flow cytometer'!K6)*POWER(10,'Flow cytometer'!I6+2)*10.2</f>
        <v>470700857.14285702</v>
      </c>
      <c r="M6" s="32">
        <v>2</v>
      </c>
      <c r="N6" s="32">
        <v>32079</v>
      </c>
      <c r="O6" s="32">
        <v>7</v>
      </c>
      <c r="P6" s="44">
        <f>('Flow cytometer'!N6/'Flow cytometer'!O6)*POWER(10,'Flow cytometer'!M6+2)*10.2</f>
        <v>467436857.14285707</v>
      </c>
      <c r="Q6" s="47">
        <f>AVERAGE(H6,L6,P6)*Calculation!I6/Calculation!K5</f>
        <v>472623019.5160318</v>
      </c>
      <c r="R6" s="48">
        <f>STDEV(H6,L6,P6)*Calculation!I6/Calculation!K5</f>
        <v>2702053.5733994194</v>
      </c>
      <c r="S6" s="49">
        <f t="shared" si="1"/>
        <v>8.6745148705027031</v>
      </c>
      <c r="T6" s="49">
        <f t="shared" si="2"/>
        <v>19.973808629774698</v>
      </c>
      <c r="U6" s="49">
        <f t="shared" si="3"/>
        <v>8.674649910242433</v>
      </c>
      <c r="V6" s="49">
        <f t="shared" si="4"/>
        <v>8.672744989154431</v>
      </c>
      <c r="W6" s="49">
        <f t="shared" si="5"/>
        <v>8.6697229532908668</v>
      </c>
      <c r="X6" s="49">
        <f xml:space="preserve"> STDEV(U6:W6)*Calculation!I6/Calculation!K5</f>
        <v>2.4967546308058055E-3</v>
      </c>
    </row>
    <row r="7" spans="1:24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32">
        <v>3</v>
      </c>
      <c r="F7" s="32">
        <v>4519</v>
      </c>
      <c r="G7" s="32">
        <v>7</v>
      </c>
      <c r="H7" s="44">
        <f>('Flow cytometer'!F7/'Flow cytometer'!G7)*POWER(10,'Flow cytometer'!E7+2)*10.2</f>
        <v>658482857.14285707</v>
      </c>
      <c r="I7" s="32">
        <v>3</v>
      </c>
      <c r="J7" s="32">
        <v>5025</v>
      </c>
      <c r="K7" s="32">
        <v>7</v>
      </c>
      <c r="L7" s="44">
        <f>('Flow cytometer'!J7/'Flow cytometer'!K7)*POWER(10,'Flow cytometer'!I7+2)*10.2</f>
        <v>732214285.71428561</v>
      </c>
      <c r="M7" s="32">
        <v>3</v>
      </c>
      <c r="N7" s="32">
        <v>5310</v>
      </c>
      <c r="O7" s="32">
        <v>7</v>
      </c>
      <c r="P7" s="44">
        <f>('Flow cytometer'!N7/'Flow cytometer'!O7)*POWER(10,'Flow cytometer'!M7+2)*10.2</f>
        <v>773742857.14285707</v>
      </c>
      <c r="Q7" s="47">
        <f>AVERAGE(H7,L7,P7)*Calculation!I7/Calculation!K6</f>
        <v>727392241.82289767</v>
      </c>
      <c r="R7" s="48">
        <f>STDEV(H7,L7,P7)*Calculation!I7/Calculation!K6</f>
        <v>58853316.246465251</v>
      </c>
      <c r="S7" s="49">
        <f t="shared" si="1"/>
        <v>8.8617686646710254</v>
      </c>
      <c r="T7" s="49">
        <f t="shared" si="2"/>
        <v>20.404976424833254</v>
      </c>
      <c r="U7" s="49">
        <f t="shared" si="3"/>
        <v>8.8185444730788625</v>
      </c>
      <c r="V7" s="49">
        <f t="shared" si="4"/>
        <v>8.864638197840188</v>
      </c>
      <c r="W7" s="49">
        <f t="shared" si="5"/>
        <v>8.8885966528291291</v>
      </c>
      <c r="X7" s="49">
        <f xml:space="preserve"> STDEV(U7:W7)*Calculation!I7/Calculation!K6</f>
        <v>3.5895944733520646E-2</v>
      </c>
    </row>
    <row r="8" spans="1:24">
      <c r="A8" s="65">
        <v>4</v>
      </c>
      <c r="B8" s="32">
        <v>80</v>
      </c>
      <c r="C8" s="32">
        <f t="shared" ref="C8:C18" si="6">C7+B8</f>
        <v>360</v>
      </c>
      <c r="D8" s="13">
        <f t="shared" si="0"/>
        <v>6</v>
      </c>
      <c r="E8" s="32">
        <v>3</v>
      </c>
      <c r="F8" s="32">
        <v>10017</v>
      </c>
      <c r="G8" s="32">
        <v>7</v>
      </c>
      <c r="H8" s="44">
        <f>('Flow cytometer'!F8/'Flow cytometer'!G8)*POWER(10,'Flow cytometer'!E8+2)*10.2</f>
        <v>1459620000</v>
      </c>
      <c r="I8" s="32">
        <v>3</v>
      </c>
      <c r="J8" s="32">
        <v>7350</v>
      </c>
      <c r="K8" s="32">
        <v>7</v>
      </c>
      <c r="L8" s="44">
        <f>('Flow cytometer'!J8/'Flow cytometer'!K8)*POWER(10,'Flow cytometer'!I8+2)*10.2</f>
        <v>1070999999.9999999</v>
      </c>
      <c r="M8" s="32">
        <v>3</v>
      </c>
      <c r="N8" s="32">
        <v>8276</v>
      </c>
      <c r="O8" s="32">
        <v>7</v>
      </c>
      <c r="P8" s="44">
        <f>('Flow cytometer'!N8/'Flow cytometer'!O8)*POWER(10,'Flow cytometer'!M8+2)*10.2</f>
        <v>1205931428.5714283</v>
      </c>
      <c r="Q8" s="47">
        <f>AVERAGE(H8,L8,P8)*Calculation!I8/Calculation!K7</f>
        <v>1260743209.0466819</v>
      </c>
      <c r="R8" s="48">
        <f>STDEV(H8,L8,P8)*Calculation!I8/Calculation!K7</f>
        <v>199723110.1417073</v>
      </c>
      <c r="S8" s="49">
        <f t="shared" si="1"/>
        <v>9.1006266375240159</v>
      </c>
      <c r="T8" s="49">
        <f t="shared" si="2"/>
        <v>20.954967232467325</v>
      </c>
      <c r="U8" s="49">
        <f t="shared" si="3"/>
        <v>9.164239805521694</v>
      </c>
      <c r="V8" s="49">
        <f t="shared" si="4"/>
        <v>9.0297894708318562</v>
      </c>
      <c r="W8" s="49">
        <f t="shared" si="5"/>
        <v>9.0813226137413583</v>
      </c>
      <c r="X8" s="49">
        <f xml:space="preserve"> STDEV(U8:W8)*Calculation!I8/Calculation!K7</f>
        <v>6.8662141525947212E-2</v>
      </c>
    </row>
    <row r="9" spans="1:24">
      <c r="A9" s="65">
        <v>5</v>
      </c>
      <c r="B9" s="32">
        <v>80</v>
      </c>
      <c r="C9" s="32">
        <f t="shared" si="6"/>
        <v>440</v>
      </c>
      <c r="D9" s="13">
        <f t="shared" si="0"/>
        <v>7.333333333333333</v>
      </c>
      <c r="E9" s="32">
        <v>3</v>
      </c>
      <c r="F9" s="32">
        <v>13895</v>
      </c>
      <c r="G9" s="32">
        <v>7</v>
      </c>
      <c r="H9" s="44">
        <f>('Flow cytometer'!F9/'Flow cytometer'!G9)*POWER(10,'Flow cytometer'!E9+2)*10.2</f>
        <v>2024699999.9999998</v>
      </c>
      <c r="I9" s="32">
        <v>3</v>
      </c>
      <c r="J9" s="32">
        <v>14747</v>
      </c>
      <c r="K9" s="32">
        <v>7</v>
      </c>
      <c r="L9" s="44">
        <f>('Flow cytometer'!J9/'Flow cytometer'!K9)*POWER(10,'Flow cytometer'!I9+2)*10.2</f>
        <v>2148848571.4285712</v>
      </c>
      <c r="M9" s="32">
        <v>3</v>
      </c>
      <c r="N9" s="32">
        <v>15616</v>
      </c>
      <c r="O9" s="32">
        <v>7</v>
      </c>
      <c r="P9" s="44">
        <f>('Flow cytometer'!N9/'Flow cytometer'!O9)*POWER(10,'Flow cytometer'!M9+2)*10.2</f>
        <v>2275474285.7142854</v>
      </c>
      <c r="Q9" s="47">
        <f>AVERAGE(H9,L9,P9)*Calculation!I9/Calculation!K8</f>
        <v>2187876428.7914948</v>
      </c>
      <c r="R9" s="48">
        <f>STDEV(H9,L9,P9)*Calculation!I9/Calculation!K8</f>
        <v>127617489.50037023</v>
      </c>
      <c r="S9" s="49">
        <f t="shared" si="1"/>
        <v>9.3400227894120871</v>
      </c>
      <c r="T9" s="49">
        <f t="shared" si="2"/>
        <v>21.506197243124934</v>
      </c>
      <c r="U9" s="49">
        <f t="shared" si="3"/>
        <v>9.306360682861051</v>
      </c>
      <c r="V9" s="49">
        <f t="shared" si="4"/>
        <v>9.3322058119967366</v>
      </c>
      <c r="W9" s="49">
        <f t="shared" si="5"/>
        <v>9.3570719320702764</v>
      </c>
      <c r="X9" s="49">
        <f xml:space="preserve"> STDEV(U9:W9)*Calculation!I9/Calculation!K8</f>
        <v>2.5807825694693212E-2</v>
      </c>
    </row>
    <row r="10" spans="1:24">
      <c r="A10" s="65">
        <v>6</v>
      </c>
      <c r="B10" s="32">
        <v>80</v>
      </c>
      <c r="C10" s="32">
        <f t="shared" si="6"/>
        <v>520</v>
      </c>
      <c r="D10" s="13">
        <f t="shared" si="0"/>
        <v>8.6666666666666661</v>
      </c>
      <c r="E10" s="32">
        <v>3</v>
      </c>
      <c r="F10" s="32">
        <v>19239</v>
      </c>
      <c r="G10" s="32">
        <v>7</v>
      </c>
      <c r="H10" s="44">
        <f>('Flow cytometer'!F10/'Flow cytometer'!G10)*POWER(10,'Flow cytometer'!E10+2)*10.2</f>
        <v>2803397142.8571424</v>
      </c>
      <c r="I10" s="32">
        <v>3</v>
      </c>
      <c r="J10" s="32">
        <v>21180</v>
      </c>
      <c r="K10" s="32">
        <v>7</v>
      </c>
      <c r="L10" s="44">
        <f>('Flow cytometer'!J10/'Flow cytometer'!K10)*POWER(10,'Flow cytometer'!I10+2)*10.2</f>
        <v>3086228571.4285717</v>
      </c>
      <c r="M10" s="32">
        <v>3</v>
      </c>
      <c r="N10" s="32">
        <v>23180</v>
      </c>
      <c r="O10" s="32">
        <v>7</v>
      </c>
      <c r="P10" s="44">
        <f>('Flow cytometer'!N10/'Flow cytometer'!O10)*POWER(10,'Flow cytometer'!M10+2)*10.2</f>
        <v>3377657142.8571424</v>
      </c>
      <c r="Q10" s="47">
        <f>AVERAGE(H10,L10,P10)*Calculation!I10/Calculation!K9</f>
        <v>3168380195.3018179</v>
      </c>
      <c r="R10" s="48">
        <f>STDEV(H10,L10,P10)*Calculation!I10/Calculation!K9</f>
        <v>294510592.17711347</v>
      </c>
      <c r="S10" s="49">
        <f t="shared" si="1"/>
        <v>9.5008372899674853</v>
      </c>
      <c r="T10" s="49">
        <f t="shared" si="2"/>
        <v>21.876486314841081</v>
      </c>
      <c r="U10" s="49">
        <f t="shared" si="3"/>
        <v>9.4476846263845626</v>
      </c>
      <c r="V10" s="49">
        <f t="shared" si="4"/>
        <v>9.4894280875191264</v>
      </c>
      <c r="W10" s="49">
        <f t="shared" si="5"/>
        <v>9.5286155633752383</v>
      </c>
      <c r="X10" s="49">
        <f xml:space="preserve"> STDEV(U10:W10)*Calculation!I10/Calculation!K9</f>
        <v>4.1510970209853247E-2</v>
      </c>
    </row>
    <row r="11" spans="1:24">
      <c r="A11" s="65">
        <v>7</v>
      </c>
      <c r="B11" s="32">
        <v>80</v>
      </c>
      <c r="C11" s="32">
        <f t="shared" si="6"/>
        <v>600</v>
      </c>
      <c r="D11" s="13">
        <f t="shared" si="0"/>
        <v>10</v>
      </c>
      <c r="E11" s="32">
        <v>3</v>
      </c>
      <c r="F11" s="32">
        <v>28114</v>
      </c>
      <c r="G11" s="32">
        <v>7</v>
      </c>
      <c r="H11" s="44">
        <f>('Flow cytometer'!F11/'Flow cytometer'!G11)*POWER(10,'Flow cytometer'!E11+2)*10.2</f>
        <v>4096611428.5714278</v>
      </c>
      <c r="I11" s="32">
        <v>3</v>
      </c>
      <c r="J11" s="32">
        <v>32853</v>
      </c>
      <c r="K11" s="32">
        <v>7</v>
      </c>
      <c r="L11" s="44">
        <f>('Flow cytometer'!J11/'Flow cytometer'!K11)*POWER(10,'Flow cytometer'!I11+2)*10.2</f>
        <v>4787151428.5714283</v>
      </c>
      <c r="M11" s="32">
        <v>3</v>
      </c>
      <c r="N11" s="32">
        <v>33964</v>
      </c>
      <c r="O11" s="32">
        <v>7</v>
      </c>
      <c r="P11" s="44">
        <f>('Flow cytometer'!N11/'Flow cytometer'!O11)*POWER(10,'Flow cytometer'!M11+2)*10.2</f>
        <v>4949040000</v>
      </c>
      <c r="Q11" s="47">
        <f>AVERAGE(H11,L11,P11)*Calculation!I11/Calculation!K10</f>
        <v>4783954100.7828817</v>
      </c>
      <c r="R11" s="48">
        <f>STDEV(H11,L11,P11)*Calculation!I11/Calculation!K10</f>
        <v>469699276.11287749</v>
      </c>
      <c r="S11" s="49">
        <f t="shared" si="1"/>
        <v>9.6797870042010175</v>
      </c>
      <c r="T11" s="49">
        <f t="shared" si="2"/>
        <v>22.288533259230757</v>
      </c>
      <c r="U11" s="49">
        <f t="shared" si="3"/>
        <v>9.6124247722444913</v>
      </c>
      <c r="V11" s="49">
        <f t="shared" si="4"/>
        <v>9.6800771654290596</v>
      </c>
      <c r="W11" s="49">
        <f t="shared" si="5"/>
        <v>9.6945209639564531</v>
      </c>
      <c r="X11" s="49">
        <f xml:space="preserve"> STDEV(U11:W11)*Calculation!I11/Calculation!K10</f>
        <v>4.5472382020251605E-2</v>
      </c>
    </row>
    <row r="12" spans="1:24">
      <c r="A12" s="65">
        <v>8</v>
      </c>
      <c r="B12" s="32">
        <v>80</v>
      </c>
      <c r="C12" s="32">
        <f t="shared" si="6"/>
        <v>680</v>
      </c>
      <c r="D12" s="13">
        <f t="shared" si="0"/>
        <v>11.333333333333334</v>
      </c>
      <c r="E12" s="32">
        <v>3</v>
      </c>
      <c r="F12" s="32">
        <v>50109</v>
      </c>
      <c r="G12" s="32">
        <v>7</v>
      </c>
      <c r="H12" s="44">
        <f>('Flow cytometer'!F12/'Flow cytometer'!G12)*POWER(10,'Flow cytometer'!E12+2)*10.2</f>
        <v>7301597142.8571424</v>
      </c>
      <c r="I12" s="32">
        <v>3</v>
      </c>
      <c r="J12" s="32">
        <v>47811</v>
      </c>
      <c r="K12" s="32">
        <v>7</v>
      </c>
      <c r="L12" s="44">
        <f>('Flow cytometer'!J12/'Flow cytometer'!K12)*POWER(10,'Flow cytometer'!I12+2)*10.2</f>
        <v>6966745714.2857141</v>
      </c>
      <c r="M12" s="32">
        <v>3</v>
      </c>
      <c r="N12" s="32">
        <v>45819</v>
      </c>
      <c r="O12" s="32">
        <v>7</v>
      </c>
      <c r="P12" s="44">
        <f>('Flow cytometer'!N12/'Flow cytometer'!O12)*POWER(10,'Flow cytometer'!M12+2)*10.2</f>
        <v>6676482857.1428566</v>
      </c>
      <c r="Q12" s="47">
        <f>AVERAGE(H12,L12,P12)*Calculation!I12/Calculation!K11</f>
        <v>7350738740.3240604</v>
      </c>
      <c r="R12" s="48">
        <f>STDEV(H12,L12,P12)*Calculation!I12/Calculation!K11</f>
        <v>329361531.40100729</v>
      </c>
      <c r="S12" s="49">
        <f t="shared" si="1"/>
        <v>9.8663309873459912</v>
      </c>
      <c r="T12" s="49">
        <f t="shared" si="2"/>
        <v>22.718066654008105</v>
      </c>
      <c r="U12" s="49">
        <f t="shared" si="3"/>
        <v>9.8634178675810293</v>
      </c>
      <c r="V12" s="49">
        <f t="shared" si="4"/>
        <v>9.843029959106703</v>
      </c>
      <c r="W12" s="49">
        <f t="shared" si="5"/>
        <v>9.8245477382243234</v>
      </c>
      <c r="X12" s="49">
        <f xml:space="preserve"> STDEV(U12:W12)*Calculation!I12/Calculation!K11</f>
        <v>2.0470827274148867E-2</v>
      </c>
    </row>
    <row r="13" spans="1:24">
      <c r="A13" s="65">
        <v>9</v>
      </c>
      <c r="B13" s="32">
        <v>80</v>
      </c>
      <c r="C13" s="32">
        <f t="shared" si="6"/>
        <v>760</v>
      </c>
      <c r="D13" s="13">
        <f t="shared" si="0"/>
        <v>12.666666666666666</v>
      </c>
      <c r="E13" s="32">
        <v>3</v>
      </c>
      <c r="F13" s="32">
        <v>55151</v>
      </c>
      <c r="G13" s="32">
        <v>7</v>
      </c>
      <c r="H13" s="44">
        <f>('Flow cytometer'!F13/'Flow cytometer'!G13)*POWER(10,'Flow cytometer'!E13+2)*10.2</f>
        <v>8036288571.4285707</v>
      </c>
      <c r="I13" s="32">
        <v>3</v>
      </c>
      <c r="J13" s="32">
        <v>57952</v>
      </c>
      <c r="K13" s="32">
        <v>7</v>
      </c>
      <c r="L13" s="44">
        <f>('Flow cytometer'!J13/'Flow cytometer'!K13)*POWER(10,'Flow cytometer'!I13+2)*10.2</f>
        <v>8444434285.7142849</v>
      </c>
      <c r="M13" s="32">
        <v>3</v>
      </c>
      <c r="N13" s="32">
        <v>54489</v>
      </c>
      <c r="O13" s="32">
        <v>7</v>
      </c>
      <c r="P13" s="44">
        <f>('Flow cytometer'!N13/'Flow cytometer'!O13)*POWER(10,'Flow cytometer'!M13+2)*10.2</f>
        <v>7939825714.2857141</v>
      </c>
      <c r="Q13" s="47">
        <f>AVERAGE(H13,L13,P13)*Calculation!I13/Calculation!K12</f>
        <v>8615745118.425827</v>
      </c>
      <c r="R13" s="48">
        <f>STDEV(H13,L13,P13)*Calculation!I13/Calculation!K12</f>
        <v>283516684.51409698</v>
      </c>
      <c r="S13" s="49">
        <f t="shared" si="1"/>
        <v>9.9352928426461791</v>
      </c>
      <c r="T13" s="49">
        <f t="shared" si="2"/>
        <v>22.876857194007528</v>
      </c>
      <c r="U13" s="49">
        <f t="shared" si="3"/>
        <v>9.9050555232390938</v>
      </c>
      <c r="V13" s="49">
        <f t="shared" si="4"/>
        <v>9.9265705603816254</v>
      </c>
      <c r="W13" s="49">
        <f t="shared" si="5"/>
        <v>9.8998109694101277</v>
      </c>
      <c r="X13" s="49">
        <f xml:space="preserve"> STDEV(U13:W13)*Calculation!I13/Calculation!K12</f>
        <v>1.5008688291988145E-2</v>
      </c>
    </row>
    <row r="14" spans="1:24">
      <c r="A14" s="65">
        <v>10</v>
      </c>
      <c r="B14" s="32">
        <v>80</v>
      </c>
      <c r="C14" s="32">
        <f t="shared" si="6"/>
        <v>840</v>
      </c>
      <c r="D14" s="13">
        <f t="shared" si="0"/>
        <v>14</v>
      </c>
      <c r="E14" s="32">
        <v>3</v>
      </c>
      <c r="F14" s="32">
        <v>58337</v>
      </c>
      <c r="G14" s="32">
        <v>7</v>
      </c>
      <c r="H14" s="44">
        <f>('Flow cytometer'!F14/'Flow cytometer'!G14)*POWER(10,'Flow cytometer'!E14+2)*10.2</f>
        <v>8500534285.7142849</v>
      </c>
      <c r="I14" s="32">
        <v>3</v>
      </c>
      <c r="J14" s="32">
        <v>62856</v>
      </c>
      <c r="K14" s="32">
        <v>7</v>
      </c>
      <c r="L14" s="44">
        <f>('Flow cytometer'!J14/'Flow cytometer'!K14)*POWER(10,'Flow cytometer'!I14+2)*10.2</f>
        <v>9159017142.8571415</v>
      </c>
      <c r="M14" s="32">
        <v>3</v>
      </c>
      <c r="N14" s="32">
        <v>59346</v>
      </c>
      <c r="O14" s="32">
        <v>7</v>
      </c>
      <c r="P14" s="44">
        <f>('Flow cytometer'!N14/'Flow cytometer'!O14)*POWER(10,'Flow cytometer'!M14+2)*10.2</f>
        <v>8647560000</v>
      </c>
      <c r="Q14" s="47">
        <f>AVERAGE(H14,L14,P14)*Calculation!I14/Calculation!K13</f>
        <v>9295783721.0591068</v>
      </c>
      <c r="R14" s="48">
        <f>STDEV(H14,L14,P14)*Calculation!I14/Calculation!K13</f>
        <v>366402881.74543881</v>
      </c>
      <c r="S14" s="49">
        <f t="shared" si="1"/>
        <v>9.9682860107171614</v>
      </c>
      <c r="T14" s="49">
        <f t="shared" si="2"/>
        <v>22.952826770978419</v>
      </c>
      <c r="U14" s="49">
        <f t="shared" si="3"/>
        <v>9.929446223366666</v>
      </c>
      <c r="V14" s="49">
        <f t="shared" si="4"/>
        <v>9.9618488718844986</v>
      </c>
      <c r="W14" s="49">
        <f t="shared" si="5"/>
        <v>9.9368935839941201</v>
      </c>
      <c r="X14" s="49">
        <f xml:space="preserve"> STDEV(U14:W14)*Calculation!I14/Calculation!K13</f>
        <v>1.7990805222210405E-2</v>
      </c>
    </row>
    <row r="15" spans="1:24">
      <c r="A15" s="65">
        <v>11</v>
      </c>
      <c r="B15" s="32">
        <v>80</v>
      </c>
      <c r="C15" s="32">
        <f t="shared" si="6"/>
        <v>920</v>
      </c>
      <c r="D15" s="13">
        <f t="shared" si="0"/>
        <v>15.333333333333334</v>
      </c>
      <c r="E15" s="32">
        <v>3</v>
      </c>
      <c r="F15" s="32">
        <v>55705</v>
      </c>
      <c r="G15" s="32">
        <v>7</v>
      </c>
      <c r="H15" s="44">
        <f>('Flow cytometer'!F15/'Flow cytometer'!G15)*POWER(10,'Flow cytometer'!E15+2)*10.2</f>
        <v>8117014285.7142849</v>
      </c>
      <c r="I15" s="32">
        <v>3</v>
      </c>
      <c r="J15" s="32">
        <v>61435</v>
      </c>
      <c r="K15" s="32">
        <v>7</v>
      </c>
      <c r="L15" s="44">
        <f>('Flow cytometer'!J15/'Flow cytometer'!K15)*POWER(10,'Flow cytometer'!I15+2)*10.2</f>
        <v>8951957142.8571415</v>
      </c>
      <c r="M15" s="32">
        <v>3</v>
      </c>
      <c r="N15" s="32">
        <v>57781</v>
      </c>
      <c r="O15" s="32">
        <v>7</v>
      </c>
      <c r="P15" s="44">
        <f>('Flow cytometer'!N15/'Flow cytometer'!O15)*POWER(10,'Flow cytometer'!M15+2)*10.2</f>
        <v>8419517142.8571415</v>
      </c>
      <c r="Q15" s="47">
        <f>AVERAGE(H15,L15,P15)*Calculation!I15/Calculation!K14</f>
        <v>9021044814.305397</v>
      </c>
      <c r="R15" s="48">
        <f>STDEV(H15,L15,P15)*Calculation!I15/Calculation!K14</f>
        <v>448830221.47851402</v>
      </c>
      <c r="S15" s="49">
        <f t="shared" si="1"/>
        <v>9.9552568402924333</v>
      </c>
      <c r="T15" s="49">
        <f t="shared" si="2"/>
        <v>22.922825997384361</v>
      </c>
      <c r="U15" s="49">
        <f t="shared" si="3"/>
        <v>9.9093963103137153</v>
      </c>
      <c r="V15" s="49">
        <f t="shared" si="4"/>
        <v>9.9519179943575136</v>
      </c>
      <c r="W15" s="49">
        <f t="shared" si="5"/>
        <v>9.9252871855369698</v>
      </c>
      <c r="X15" s="49">
        <f xml:space="preserve"> STDEV(U15:W15)*Calculation!I15/Calculation!K14</f>
        <v>2.2813065690209404E-2</v>
      </c>
    </row>
    <row r="16" spans="1:24">
      <c r="A16" s="65">
        <v>12</v>
      </c>
      <c r="B16" s="32">
        <v>80</v>
      </c>
      <c r="C16" s="32">
        <f t="shared" si="6"/>
        <v>1000</v>
      </c>
      <c r="D16" s="13">
        <f t="shared" si="0"/>
        <v>16.666666666666668</v>
      </c>
      <c r="E16" s="32">
        <v>3</v>
      </c>
      <c r="F16" s="32">
        <v>45216</v>
      </c>
      <c r="G16" s="32">
        <v>7</v>
      </c>
      <c r="H16" s="44">
        <f>('Flow cytometer'!F16/'Flow cytometer'!G16)*POWER(10,'Flow cytometer'!E16+2)*10.2</f>
        <v>6588617142.8571424</v>
      </c>
      <c r="I16" s="32">
        <v>3</v>
      </c>
      <c r="J16" s="32">
        <v>48607</v>
      </c>
      <c r="K16" s="32">
        <v>7</v>
      </c>
      <c r="L16" s="44">
        <f>('Flow cytometer'!J16/'Flow cytometer'!K16)*POWER(10,'Flow cytometer'!I16+2)*10.2</f>
        <v>7082734285.7142849</v>
      </c>
      <c r="M16" s="32">
        <v>3</v>
      </c>
      <c r="N16" s="32">
        <v>52194</v>
      </c>
      <c r="O16" s="32">
        <v>7</v>
      </c>
      <c r="P16" s="44">
        <f>('Flow cytometer'!N16/'Flow cytometer'!O16)*POWER(10,'Flow cytometer'!M16+2)*10.2</f>
        <v>7605411428.5714283</v>
      </c>
      <c r="Q16" s="47">
        <f>AVERAGE(H16,L16,P16)*Calculation!I16/Calculation!K15</f>
        <v>7542997236.1685553</v>
      </c>
      <c r="R16" s="48">
        <f>STDEV(H16,L16,P16)*Calculation!I16/Calculation!K15</f>
        <v>540779039.48631811</v>
      </c>
      <c r="S16" s="49">
        <f t="shared" si="1"/>
        <v>9.8775439485860268</v>
      </c>
      <c r="T16" s="49">
        <f t="shared" si="2"/>
        <v>22.743885451407731</v>
      </c>
      <c r="U16" s="49">
        <f t="shared" si="3"/>
        <v>9.8187942719161256</v>
      </c>
      <c r="V16" s="49">
        <f t="shared" si="4"/>
        <v>9.8502009492087179</v>
      </c>
      <c r="W16" s="49">
        <f t="shared" si="5"/>
        <v>9.8811227129748342</v>
      </c>
      <c r="X16" s="49">
        <f xml:space="preserve"> STDEV(U16:W16)*Calculation!I16/Calculation!K15</f>
        <v>3.314517376837562E-2</v>
      </c>
    </row>
    <row r="17" spans="1:24">
      <c r="A17" s="65">
        <v>13</v>
      </c>
      <c r="B17" s="32">
        <v>80</v>
      </c>
      <c r="C17" s="32">
        <f t="shared" si="6"/>
        <v>1080</v>
      </c>
      <c r="D17" s="13">
        <f t="shared" si="0"/>
        <v>18</v>
      </c>
      <c r="E17" s="32">
        <v>3</v>
      </c>
      <c r="F17" s="32">
        <v>48533</v>
      </c>
      <c r="G17" s="32">
        <v>7</v>
      </c>
      <c r="H17" s="44">
        <f>('Flow cytometer'!F17/'Flow cytometer'!G17)*POWER(10,'Flow cytometer'!E17+2)*10.2</f>
        <v>7071951428.5714283</v>
      </c>
      <c r="I17" s="32">
        <v>3</v>
      </c>
      <c r="J17" s="32">
        <v>52072</v>
      </c>
      <c r="K17" s="32">
        <v>7</v>
      </c>
      <c r="L17" s="44">
        <f>('Flow cytometer'!J17/'Flow cytometer'!K17)*POWER(10,'Flow cytometer'!I17+2)*10.2</f>
        <v>7587634285.7142849</v>
      </c>
      <c r="M17" s="32">
        <v>3</v>
      </c>
      <c r="N17" s="32">
        <v>56389</v>
      </c>
      <c r="O17" s="32">
        <v>7</v>
      </c>
      <c r="P17" s="44">
        <f>('Flow cytometer'!N17/'Flow cytometer'!O17)*POWER(10,'Flow cytometer'!M17+2)*10.2</f>
        <v>8216682857.1428556</v>
      </c>
      <c r="Q17" s="47">
        <f>AVERAGE(H17,L17,P17)*Calculation!I17/Calculation!K16</f>
        <v>8117078713.7032194</v>
      </c>
      <c r="R17" s="48">
        <f>STDEV(H17,L17,P17)*Calculation!I17/Calculation!K16</f>
        <v>610264582.36499417</v>
      </c>
      <c r="S17" s="49">
        <f t="shared" si="1"/>
        <v>9.9093997574690409</v>
      </c>
      <c r="T17" s="49">
        <f t="shared" si="2"/>
        <v>22.817236162067026</v>
      </c>
      <c r="U17" s="49">
        <f t="shared" si="3"/>
        <v>9.849539269203003</v>
      </c>
      <c r="V17" s="49">
        <f t="shared" si="4"/>
        <v>9.8801063902814867</v>
      </c>
      <c r="W17" s="49">
        <f t="shared" si="5"/>
        <v>9.9146965246454162</v>
      </c>
      <c r="X17" s="49">
        <f xml:space="preserve"> STDEV(U17:W17)*Calculation!I17/Calculation!K16</f>
        <v>3.4701190519500866E-2</v>
      </c>
    </row>
    <row r="18" spans="1:24">
      <c r="A18" s="65">
        <v>14</v>
      </c>
      <c r="B18" s="32">
        <v>360</v>
      </c>
      <c r="C18" s="32">
        <f t="shared" si="6"/>
        <v>1440</v>
      </c>
      <c r="D18" s="13">
        <f t="shared" si="0"/>
        <v>24</v>
      </c>
      <c r="E18" s="32">
        <v>3</v>
      </c>
      <c r="F18" s="32">
        <v>50413</v>
      </c>
      <c r="G18" s="32">
        <v>7</v>
      </c>
      <c r="H18" s="44">
        <f>('Flow cytometer'!F18/'Flow cytometer'!G18)*POWER(10,'Flow cytometer'!E18+2)*10.2</f>
        <v>7345894285.7142849</v>
      </c>
      <c r="I18" s="32">
        <v>3</v>
      </c>
      <c r="J18" s="32">
        <v>47338</v>
      </c>
      <c r="K18" s="32">
        <v>7</v>
      </c>
      <c r="L18" s="44">
        <f>('Flow cytometer'!J18/'Flow cytometer'!K18)*POWER(10,'Flow cytometer'!I18+2)*10.2</f>
        <v>6897822857.1428566</v>
      </c>
      <c r="M18" s="32">
        <v>3</v>
      </c>
      <c r="N18" s="32">
        <v>46911</v>
      </c>
      <c r="O18" s="32">
        <v>7</v>
      </c>
      <c r="P18" s="44">
        <f>('Flow cytometer'!N18/'Flow cytometer'!O18)*POWER(10,'Flow cytometer'!M18+2)*10.2</f>
        <v>6835602857.1428566</v>
      </c>
      <c r="Q18" s="47">
        <f>AVERAGE(H18,L18,P18)*Calculation!I18/Calculation!K17</f>
        <v>7492952442.3237238</v>
      </c>
      <c r="R18" s="48">
        <f>STDEV(H18,L18,P18)*Calculation!I18/Calculation!K17</f>
        <v>296883192.50449723</v>
      </c>
      <c r="S18" s="49">
        <f t="shared" si="1"/>
        <v>9.8746529761451551</v>
      </c>
      <c r="T18" s="49">
        <f t="shared" si="2"/>
        <v>22.737228741361122</v>
      </c>
      <c r="U18" s="49">
        <f t="shared" si="3"/>
        <v>9.8660446741506718</v>
      </c>
      <c r="V18" s="49">
        <f t="shared" si="4"/>
        <v>9.8387120370662799</v>
      </c>
      <c r="W18" s="49">
        <f t="shared" si="5"/>
        <v>9.8347768226324224</v>
      </c>
      <c r="X18" s="49">
        <f xml:space="preserve"> STDEV(U18:W18)*Calculation!I18/Calculation!K17</f>
        <v>1.8161272318261305E-2</v>
      </c>
    </row>
    <row r="19" spans="1:24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32">
        <v>3</v>
      </c>
      <c r="F19" s="32">
        <v>25795</v>
      </c>
      <c r="G19" s="32">
        <v>7</v>
      </c>
      <c r="H19" s="44">
        <f>('Flow cytometer'!F19/'Flow cytometer'!G19)*POWER(10,'Flow cytometer'!E19+2)*10.2</f>
        <v>3758699999.9999995</v>
      </c>
      <c r="I19" s="32">
        <v>3</v>
      </c>
      <c r="J19" s="32">
        <v>25694</v>
      </c>
      <c r="K19" s="32">
        <v>7</v>
      </c>
      <c r="L19" s="44">
        <f>('Flow cytometer'!J19/'Flow cytometer'!K19)*POWER(10,'Flow cytometer'!I19+2)*10.2</f>
        <v>3743982857.1428571</v>
      </c>
      <c r="M19" s="32">
        <v>3</v>
      </c>
      <c r="N19" s="32">
        <v>34030</v>
      </c>
      <c r="O19" s="32">
        <v>7</v>
      </c>
      <c r="P19" s="44">
        <f>('Flow cytometer'!N19/'Flow cytometer'!O19)*POWER(10,'Flow cytometer'!M19+2)*10.2</f>
        <v>4958657142.8571424</v>
      </c>
      <c r="Q19" s="47">
        <f>AVERAGE(H19,L19,P19)*Calculation!I19/Calculation!K18</f>
        <v>4429565469.26686</v>
      </c>
      <c r="R19" s="48">
        <f>STDEV(H19,L19,P19)*Calculation!I19/Calculation!K18</f>
        <v>743364914.0357244</v>
      </c>
      <c r="S19" s="49">
        <f t="shared" si="1"/>
        <v>9.6463611249689958</v>
      </c>
      <c r="T19" s="49">
        <f t="shared" si="2"/>
        <v>22.211567327990881</v>
      </c>
      <c r="U19" s="49">
        <f t="shared" si="3"/>
        <v>9.5750376639569872</v>
      </c>
      <c r="V19" s="49">
        <f t="shared" si="4"/>
        <v>9.5733338515336683</v>
      </c>
      <c r="W19" s="49">
        <f t="shared" si="5"/>
        <v>9.6953640808434702</v>
      </c>
      <c r="X19" s="49">
        <f xml:space="preserve"> STDEV(U19:W19)*Calculation!I19/Calculation!K18</f>
        <v>7.4612937623536657E-2</v>
      </c>
    </row>
    <row r="20" spans="1:24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32">
        <v>3</v>
      </c>
      <c r="F20" s="32">
        <v>15143</v>
      </c>
      <c r="G20" s="32">
        <v>7</v>
      </c>
      <c r="H20" s="44">
        <f>('Flow cytometer'!F20/'Flow cytometer'!G20)*POWER(10,'Flow cytometer'!E20+2)*10.2</f>
        <v>2206551428.5714283</v>
      </c>
      <c r="I20" s="32">
        <v>3</v>
      </c>
      <c r="J20" s="32">
        <v>13707</v>
      </c>
      <c r="K20" s="32">
        <v>7</v>
      </c>
      <c r="L20" s="44">
        <f>('Flow cytometer'!J20/'Flow cytometer'!K20)*POWER(10,'Flow cytometer'!I20+2)*10.2</f>
        <v>1997305714.2857139</v>
      </c>
      <c r="M20" s="32">
        <v>3</v>
      </c>
      <c r="N20" s="32">
        <v>17143</v>
      </c>
      <c r="O20" s="32">
        <v>7</v>
      </c>
      <c r="P20" s="44">
        <f>('Flow cytometer'!N20/'Flow cytometer'!O20)*POWER(10,'Flow cytometer'!M20+2)*10.2</f>
        <v>2497980000</v>
      </c>
      <c r="Q20" s="47">
        <f>AVERAGE(H20,L20,P20)*Calculation!I20/Calculation!K19</f>
        <v>2384615358.0622416</v>
      </c>
      <c r="R20" s="48">
        <f>STDEV(H20,L20,P20)*Calculation!I20/Calculation!K19</f>
        <v>268418554.40328857</v>
      </c>
      <c r="S20" s="49">
        <f t="shared" ref="S20" si="7">LOG(Q20)</f>
        <v>9.3774183366914841</v>
      </c>
      <c r="T20" s="49">
        <f t="shared" ref="T20" si="8">LN(Q20)</f>
        <v>21.592303672834831</v>
      </c>
      <c r="U20" s="49">
        <f t="shared" si="3"/>
        <v>9.3437140540966013</v>
      </c>
      <c r="V20" s="49">
        <f t="shared" si="4"/>
        <v>9.3004445445230282</v>
      </c>
      <c r="W20" s="49">
        <f t="shared" si="5"/>
        <v>9.3975889568866311</v>
      </c>
      <c r="X20" s="49">
        <f xml:space="preserve"> STDEV(U20:W20)*Calculation!I20/Calculation!K19</f>
        <v>5.1951073308528668E-2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26" workbookViewId="0">
      <selection activeCell="D45" sqref="D45"/>
    </sheetView>
  </sheetViews>
  <sheetFormatPr baseColWidth="10" defaultColWidth="8.83203125" defaultRowHeight="14" x14ac:dyDescent="0"/>
  <cols>
    <col min="1" max="2" width="8.83203125" style="85"/>
    <col min="3" max="3" width="9.83203125" style="85" customWidth="1"/>
    <col min="4" max="17" width="8.83203125" style="85"/>
    <col min="18" max="18" width="13.83203125" style="85" bestFit="1" customWidth="1"/>
    <col min="19" max="16384" width="8.83203125" style="85"/>
  </cols>
  <sheetData>
    <row r="1" spans="2:18">
      <c r="B1" s="146" t="s">
        <v>4</v>
      </c>
      <c r="C1" s="148" t="s">
        <v>185</v>
      </c>
      <c r="D1" s="149" t="s">
        <v>18</v>
      </c>
      <c r="E1" s="149"/>
      <c r="F1" s="149"/>
      <c r="G1" s="149"/>
      <c r="H1" s="149" t="s">
        <v>20</v>
      </c>
      <c r="I1" s="149"/>
      <c r="J1" s="149"/>
      <c r="K1" s="149"/>
      <c r="L1" s="149" t="s">
        <v>21</v>
      </c>
      <c r="M1" s="149"/>
      <c r="N1" s="149"/>
      <c r="O1" s="149"/>
      <c r="P1" s="84" t="s">
        <v>22</v>
      </c>
      <c r="Q1" s="84" t="s">
        <v>22</v>
      </c>
      <c r="R1" s="84" t="s">
        <v>22</v>
      </c>
    </row>
    <row r="2" spans="2:18">
      <c r="B2" s="147"/>
      <c r="C2" s="147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</row>
    <row r="3" spans="2:18"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43"/>
      <c r="Q3" s="144"/>
      <c r="R3" s="145"/>
    </row>
    <row r="4" spans="2:18">
      <c r="B4" s="91" t="s">
        <v>186</v>
      </c>
      <c r="C4" s="92">
        <v>500</v>
      </c>
      <c r="D4" s="92">
        <v>3</v>
      </c>
      <c r="E4" s="92">
        <v>14133</v>
      </c>
      <c r="F4" s="92">
        <v>7</v>
      </c>
      <c r="G4" s="90">
        <f>(E4/F4)*(10.2)*POWER(10,D4+2)</f>
        <v>2059380000</v>
      </c>
      <c r="H4" s="92">
        <v>3</v>
      </c>
      <c r="I4" s="92">
        <v>15082</v>
      </c>
      <c r="J4" s="92">
        <v>7</v>
      </c>
      <c r="K4" s="90">
        <f t="shared" ref="K4:K18" si="0">(I4/J4)*(10.2)*POWER(10,H4+2)</f>
        <v>2197662857.1428571</v>
      </c>
      <c r="L4" s="92">
        <v>3</v>
      </c>
      <c r="M4" s="92">
        <v>15922</v>
      </c>
      <c r="N4" s="92">
        <v>7</v>
      </c>
      <c r="O4" s="90">
        <f t="shared" ref="O4:O19" si="1">(M4/N4)*(10.2)*POWER(10,L4+2)</f>
        <v>2320062857.1428571</v>
      </c>
      <c r="P4" s="93">
        <f t="shared" ref="P4:P19" si="2">AVERAGE(O4,K4,G4)</f>
        <v>2192368571.4285712</v>
      </c>
      <c r="Q4" s="93">
        <f t="shared" ref="Q4:Q19" si="3">STDEV(O4,K4,G4)</f>
        <v>130422046.05801573</v>
      </c>
      <c r="R4" s="94">
        <f>LOG(P4)</f>
        <v>9.3409135676416426</v>
      </c>
    </row>
    <row r="5" spans="2:18">
      <c r="B5" s="91" t="s">
        <v>187</v>
      </c>
      <c r="C5" s="92">
        <v>500</v>
      </c>
      <c r="D5" s="92">
        <v>2</v>
      </c>
      <c r="E5" s="92">
        <v>16544</v>
      </c>
      <c r="F5" s="92">
        <v>7</v>
      </c>
      <c r="G5" s="90">
        <f t="shared" ref="G5:G19" si="4">(E5/F5)*(10.2)*POWER(10,D5+2)</f>
        <v>241069714.2857143</v>
      </c>
      <c r="H5" s="92">
        <v>2</v>
      </c>
      <c r="I5" s="92">
        <v>15924</v>
      </c>
      <c r="J5" s="92">
        <v>7</v>
      </c>
      <c r="K5" s="90">
        <f t="shared" si="0"/>
        <v>232035428.57142854</v>
      </c>
      <c r="L5" s="92">
        <v>2</v>
      </c>
      <c r="M5" s="92">
        <v>15173</v>
      </c>
      <c r="N5" s="92">
        <v>7</v>
      </c>
      <c r="O5" s="90">
        <f t="shared" si="1"/>
        <v>221092285.71428567</v>
      </c>
      <c r="P5" s="93">
        <f t="shared" si="2"/>
        <v>231399142.85714284</v>
      </c>
      <c r="Q5" s="93">
        <f t="shared" si="3"/>
        <v>10003902.124385577</v>
      </c>
      <c r="R5" s="94">
        <f t="shared" ref="R5:R19" si="5">LOG(P5)</f>
        <v>8.3643617459160655</v>
      </c>
    </row>
    <row r="6" spans="2:18">
      <c r="B6" s="91" t="s">
        <v>188</v>
      </c>
      <c r="C6" s="92">
        <v>500</v>
      </c>
      <c r="D6" s="92">
        <v>1</v>
      </c>
      <c r="E6" s="92">
        <v>18107</v>
      </c>
      <c r="F6" s="92">
        <v>7</v>
      </c>
      <c r="G6" s="90">
        <f t="shared" si="4"/>
        <v>26384485.714285713</v>
      </c>
      <c r="H6" s="92">
        <v>1</v>
      </c>
      <c r="I6" s="92">
        <v>18423</v>
      </c>
      <c r="J6" s="92">
        <v>7</v>
      </c>
      <c r="K6" s="90">
        <f t="shared" si="0"/>
        <v>26844942.857142854</v>
      </c>
      <c r="L6" s="92">
        <v>1</v>
      </c>
      <c r="M6" s="92">
        <v>17005</v>
      </c>
      <c r="N6" s="92">
        <v>7</v>
      </c>
      <c r="O6" s="90">
        <f t="shared" si="1"/>
        <v>24778714.285714284</v>
      </c>
      <c r="P6" s="93">
        <f t="shared" si="2"/>
        <v>26002714.285714284</v>
      </c>
      <c r="Q6" s="93">
        <f t="shared" si="3"/>
        <v>1084729.0883451225</v>
      </c>
      <c r="R6" s="94">
        <f t="shared" si="5"/>
        <v>7.4150186840393397</v>
      </c>
    </row>
    <row r="7" spans="2:18">
      <c r="B7" s="91" t="s">
        <v>189</v>
      </c>
      <c r="C7" s="92">
        <v>500</v>
      </c>
      <c r="D7" s="92">
        <v>1</v>
      </c>
      <c r="E7" s="92">
        <v>1825</v>
      </c>
      <c r="F7" s="92">
        <v>7</v>
      </c>
      <c r="G7" s="90">
        <f t="shared" si="4"/>
        <v>2659285.7142857141</v>
      </c>
      <c r="H7" s="92">
        <v>1</v>
      </c>
      <c r="I7" s="92">
        <v>1808</v>
      </c>
      <c r="J7" s="92">
        <v>7</v>
      </c>
      <c r="K7" s="90">
        <f t="shared" si="0"/>
        <v>2634514.2857142854</v>
      </c>
      <c r="L7" s="92">
        <v>1</v>
      </c>
      <c r="M7" s="92">
        <v>1822</v>
      </c>
      <c r="N7" s="92">
        <v>7</v>
      </c>
      <c r="O7" s="90">
        <f t="shared" si="1"/>
        <v>2654914.2857142854</v>
      </c>
      <c r="P7" s="93">
        <f t="shared" si="2"/>
        <v>2649571.4285714286</v>
      </c>
      <c r="Q7" s="93">
        <f t="shared" si="3"/>
        <v>13221.78165770719</v>
      </c>
      <c r="R7" s="94">
        <f t="shared" si="5"/>
        <v>6.4231756319523594</v>
      </c>
    </row>
    <row r="8" spans="2:18">
      <c r="B8" s="91" t="s">
        <v>190</v>
      </c>
      <c r="C8" s="92">
        <v>500</v>
      </c>
      <c r="D8" s="92">
        <v>0</v>
      </c>
      <c r="E8" s="92">
        <v>2306</v>
      </c>
      <c r="F8" s="92">
        <v>7</v>
      </c>
      <c r="G8" s="90">
        <f t="shared" si="4"/>
        <v>336017.14285714284</v>
      </c>
      <c r="H8" s="92">
        <v>0</v>
      </c>
      <c r="I8" s="92">
        <v>2052</v>
      </c>
      <c r="J8" s="92">
        <v>7</v>
      </c>
      <c r="K8" s="90">
        <f t="shared" si="0"/>
        <v>299005.71428571432</v>
      </c>
      <c r="L8" s="92">
        <v>0</v>
      </c>
      <c r="M8" s="92">
        <v>2049</v>
      </c>
      <c r="N8" s="92">
        <v>7</v>
      </c>
      <c r="O8" s="90">
        <f t="shared" si="1"/>
        <v>298568.57142857142</v>
      </c>
      <c r="P8" s="93">
        <f t="shared" si="2"/>
        <v>311197.14285714284</v>
      </c>
      <c r="Q8" s="93">
        <f t="shared" si="3"/>
        <v>21495.861775453133</v>
      </c>
      <c r="R8" s="94">
        <f t="shared" si="5"/>
        <v>5.4930356010198587</v>
      </c>
    </row>
    <row r="9" spans="2:18">
      <c r="B9" s="91" t="s">
        <v>191</v>
      </c>
      <c r="C9" s="92">
        <v>1000</v>
      </c>
      <c r="D9" s="92">
        <v>3</v>
      </c>
      <c r="E9" s="92">
        <v>13995</v>
      </c>
      <c r="F9" s="92">
        <v>7</v>
      </c>
      <c r="G9" s="90">
        <f t="shared" si="4"/>
        <v>2039271428.5714283</v>
      </c>
      <c r="H9" s="92">
        <v>3</v>
      </c>
      <c r="I9" s="92">
        <v>13769</v>
      </c>
      <c r="J9" s="92">
        <v>7</v>
      </c>
      <c r="K9" s="90">
        <f t="shared" si="0"/>
        <v>2006339999.9999998</v>
      </c>
      <c r="L9" s="92">
        <v>3</v>
      </c>
      <c r="M9" s="92">
        <v>15093</v>
      </c>
      <c r="N9" s="92">
        <v>7</v>
      </c>
      <c r="O9" s="90">
        <f t="shared" si="1"/>
        <v>2199265714.2857146</v>
      </c>
      <c r="P9" s="93">
        <f t="shared" si="2"/>
        <v>2081625714.2857141</v>
      </c>
      <c r="Q9" s="93">
        <f t="shared" si="3"/>
        <v>103201244.89045103</v>
      </c>
      <c r="R9" s="94">
        <f t="shared" si="5"/>
        <v>9.3184026440827186</v>
      </c>
    </row>
    <row r="10" spans="2:18">
      <c r="B10" s="91" t="s">
        <v>192</v>
      </c>
      <c r="C10" s="92">
        <v>900</v>
      </c>
      <c r="D10" s="92">
        <v>3</v>
      </c>
      <c r="E10" s="92">
        <v>6387</v>
      </c>
      <c r="F10" s="92">
        <v>7</v>
      </c>
      <c r="G10" s="90">
        <f t="shared" si="4"/>
        <v>930677142.85714281</v>
      </c>
      <c r="H10" s="92">
        <v>3</v>
      </c>
      <c r="I10" s="92">
        <v>7378</v>
      </c>
      <c r="J10" s="92">
        <v>7</v>
      </c>
      <c r="K10" s="90">
        <f t="shared" si="0"/>
        <v>1075080000</v>
      </c>
      <c r="L10" s="92">
        <v>3</v>
      </c>
      <c r="M10" s="92">
        <v>6564</v>
      </c>
      <c r="N10" s="92">
        <v>7</v>
      </c>
      <c r="O10" s="90">
        <f t="shared" si="1"/>
        <v>956468571.42857134</v>
      </c>
      <c r="P10" s="93">
        <f t="shared" si="2"/>
        <v>987408571.42857134</v>
      </c>
      <c r="Q10" s="93">
        <f t="shared" si="3"/>
        <v>77013044.270143658</v>
      </c>
      <c r="R10" s="94">
        <f t="shared" si="5"/>
        <v>8.9944968928936131</v>
      </c>
    </row>
    <row r="11" spans="2:18">
      <c r="B11" s="91" t="s">
        <v>193</v>
      </c>
      <c r="C11" s="92">
        <v>900</v>
      </c>
      <c r="D11" s="92">
        <v>3</v>
      </c>
      <c r="E11" s="92">
        <v>3341</v>
      </c>
      <c r="F11" s="92">
        <v>7</v>
      </c>
      <c r="G11" s="90">
        <f t="shared" si="4"/>
        <v>486831428.5714286</v>
      </c>
      <c r="H11" s="92">
        <v>3</v>
      </c>
      <c r="I11" s="92">
        <v>3712</v>
      </c>
      <c r="J11" s="92">
        <v>7</v>
      </c>
      <c r="K11" s="90">
        <f t="shared" si="0"/>
        <v>540891428.57142866</v>
      </c>
      <c r="L11" s="92">
        <v>3</v>
      </c>
      <c r="M11" s="92">
        <v>3690</v>
      </c>
      <c r="N11" s="92">
        <v>7</v>
      </c>
      <c r="O11" s="90">
        <f t="shared" si="1"/>
        <v>537685714.28571427</v>
      </c>
      <c r="P11" s="93">
        <f t="shared" si="2"/>
        <v>521802857.14285713</v>
      </c>
      <c r="Q11" s="93">
        <f t="shared" si="3"/>
        <v>30328530.516088422</v>
      </c>
      <c r="R11" s="94">
        <f t="shared" si="5"/>
        <v>8.7175064527595634</v>
      </c>
    </row>
    <row r="12" spans="2:18">
      <c r="B12" s="91" t="s">
        <v>194</v>
      </c>
      <c r="C12" s="92">
        <v>900</v>
      </c>
      <c r="D12" s="92">
        <v>2</v>
      </c>
      <c r="E12" s="92">
        <v>19134</v>
      </c>
      <c r="F12" s="92">
        <v>7</v>
      </c>
      <c r="G12" s="90">
        <f>(E12/F12)*(10.2)*POWER(10,D12+2)</f>
        <v>278809714.28571427</v>
      </c>
      <c r="H12" s="92">
        <v>2</v>
      </c>
      <c r="I12" s="92">
        <v>18838</v>
      </c>
      <c r="J12" s="92">
        <v>7</v>
      </c>
      <c r="K12" s="90">
        <f t="shared" si="0"/>
        <v>274496571.42857146</v>
      </c>
      <c r="L12" s="92">
        <v>2</v>
      </c>
      <c r="M12" s="92">
        <v>18096</v>
      </c>
      <c r="N12" s="92">
        <v>7</v>
      </c>
      <c r="O12" s="90">
        <f t="shared" si="1"/>
        <v>263684571.42857143</v>
      </c>
      <c r="P12" s="93">
        <f t="shared" si="2"/>
        <v>272330285.71428573</v>
      </c>
      <c r="Q12" s="93">
        <f t="shared" si="3"/>
        <v>7791795.8109272597</v>
      </c>
      <c r="R12" s="94">
        <f t="shared" si="5"/>
        <v>8.4350959416969342</v>
      </c>
    </row>
    <row r="13" spans="2:18">
      <c r="B13" s="91" t="s">
        <v>195</v>
      </c>
      <c r="C13" s="92">
        <v>900</v>
      </c>
      <c r="D13" s="92">
        <v>2</v>
      </c>
      <c r="E13" s="92">
        <v>9224</v>
      </c>
      <c r="F13" s="92">
        <v>7</v>
      </c>
      <c r="G13" s="90">
        <f t="shared" si="4"/>
        <v>134406857.14285713</v>
      </c>
      <c r="H13" s="92">
        <v>2</v>
      </c>
      <c r="I13" s="92">
        <v>9341</v>
      </c>
      <c r="J13" s="92">
        <v>7</v>
      </c>
      <c r="K13" s="90">
        <f t="shared" si="0"/>
        <v>136111714.28571427</v>
      </c>
      <c r="L13" s="92">
        <v>2</v>
      </c>
      <c r="M13" s="92">
        <v>9173</v>
      </c>
      <c r="N13" s="92">
        <v>7</v>
      </c>
      <c r="O13" s="90">
        <f t="shared" si="1"/>
        <v>133663714.28571427</v>
      </c>
      <c r="P13" s="93">
        <f t="shared" si="2"/>
        <v>134727428.57142857</v>
      </c>
      <c r="Q13" s="93">
        <f t="shared" si="3"/>
        <v>1255089.8496172463</v>
      </c>
      <c r="R13" s="94">
        <f t="shared" si="5"/>
        <v>8.1294560208497231</v>
      </c>
    </row>
    <row r="14" spans="2:18">
      <c r="B14" s="91" t="s">
        <v>196</v>
      </c>
      <c r="C14" s="92">
        <v>900</v>
      </c>
      <c r="D14" s="92">
        <v>2</v>
      </c>
      <c r="E14" s="92">
        <v>4238</v>
      </c>
      <c r="F14" s="92">
        <v>7</v>
      </c>
      <c r="G14" s="90">
        <f t="shared" si="4"/>
        <v>61753714.285714284</v>
      </c>
      <c r="H14" s="92">
        <v>2</v>
      </c>
      <c r="I14" s="92">
        <v>4832</v>
      </c>
      <c r="J14" s="92">
        <v>7</v>
      </c>
      <c r="K14" s="90">
        <f t="shared" si="0"/>
        <v>70409142.857142866</v>
      </c>
      <c r="L14" s="92">
        <v>2</v>
      </c>
      <c r="M14" s="92">
        <v>4770</v>
      </c>
      <c r="N14" s="92">
        <v>7</v>
      </c>
      <c r="O14" s="90">
        <f t="shared" si="1"/>
        <v>69505714.285714284</v>
      </c>
      <c r="P14" s="93">
        <f t="shared" si="2"/>
        <v>67222857.142857134</v>
      </c>
      <c r="Q14" s="93">
        <f t="shared" si="3"/>
        <v>4757907.9950957391</v>
      </c>
      <c r="R14" s="94">
        <f t="shared" si="5"/>
        <v>7.8275169671487372</v>
      </c>
    </row>
    <row r="15" spans="2:18">
      <c r="B15" s="91" t="s">
        <v>197</v>
      </c>
      <c r="C15" s="92">
        <v>900</v>
      </c>
      <c r="D15" s="92">
        <v>1</v>
      </c>
      <c r="E15" s="92">
        <v>22411</v>
      </c>
      <c r="F15" s="92">
        <v>7</v>
      </c>
      <c r="G15" s="90">
        <f t="shared" si="4"/>
        <v>32656028.571428567</v>
      </c>
      <c r="H15" s="92">
        <v>1</v>
      </c>
      <c r="I15" s="92">
        <v>23826</v>
      </c>
      <c r="J15" s="92">
        <v>7</v>
      </c>
      <c r="K15" s="90">
        <f t="shared" si="0"/>
        <v>34717885.714285716</v>
      </c>
      <c r="L15" s="92">
        <v>1</v>
      </c>
      <c r="M15" s="92">
        <v>24471</v>
      </c>
      <c r="N15" s="92">
        <v>7</v>
      </c>
      <c r="O15" s="90">
        <f t="shared" si="1"/>
        <v>35657742.857142851</v>
      </c>
      <c r="P15" s="93">
        <f t="shared" si="2"/>
        <v>34343885.714285709</v>
      </c>
      <c r="Q15" s="93">
        <f t="shared" si="3"/>
        <v>1535408.4678890193</v>
      </c>
      <c r="R15" s="94">
        <f t="shared" si="5"/>
        <v>7.5358494302775298</v>
      </c>
    </row>
    <row r="16" spans="2:18">
      <c r="B16" s="91" t="s">
        <v>198</v>
      </c>
      <c r="C16" s="92">
        <v>900</v>
      </c>
      <c r="D16" s="92">
        <v>1</v>
      </c>
      <c r="E16" s="92">
        <v>12012</v>
      </c>
      <c r="F16" s="92">
        <v>7</v>
      </c>
      <c r="G16" s="90">
        <f t="shared" si="4"/>
        <v>17503199.999999996</v>
      </c>
      <c r="H16" s="92">
        <v>1</v>
      </c>
      <c r="I16" s="92">
        <v>12668</v>
      </c>
      <c r="J16" s="92">
        <v>7</v>
      </c>
      <c r="K16" s="90">
        <f t="shared" si="0"/>
        <v>18459085.714285713</v>
      </c>
      <c r="L16" s="92">
        <v>1</v>
      </c>
      <c r="M16" s="92">
        <v>11470</v>
      </c>
      <c r="N16" s="92">
        <v>7</v>
      </c>
      <c r="O16" s="90">
        <f t="shared" si="1"/>
        <v>16713428.571428573</v>
      </c>
      <c r="P16" s="93">
        <f t="shared" si="2"/>
        <v>17558571.428571429</v>
      </c>
      <c r="Q16" s="93">
        <f t="shared" si="3"/>
        <v>874144.84579420183</v>
      </c>
      <c r="R16" s="94">
        <f t="shared" si="5"/>
        <v>7.2444891786585481</v>
      </c>
    </row>
    <row r="17" spans="2:18">
      <c r="B17" s="91" t="s">
        <v>199</v>
      </c>
      <c r="C17" s="92">
        <v>900</v>
      </c>
      <c r="D17" s="92">
        <v>1</v>
      </c>
      <c r="E17" s="92">
        <v>5750</v>
      </c>
      <c r="F17" s="92">
        <v>7</v>
      </c>
      <c r="G17" s="90">
        <f t="shared" si="4"/>
        <v>8378571.4285714272</v>
      </c>
      <c r="H17" s="92">
        <v>1</v>
      </c>
      <c r="I17" s="92">
        <v>5481</v>
      </c>
      <c r="J17" s="92">
        <v>7</v>
      </c>
      <c r="K17" s="90">
        <f t="shared" si="0"/>
        <v>7986599.9999999991</v>
      </c>
      <c r="L17" s="92">
        <v>1</v>
      </c>
      <c r="M17" s="92">
        <v>5831</v>
      </c>
      <c r="N17" s="92">
        <v>7</v>
      </c>
      <c r="O17" s="90">
        <f t="shared" si="1"/>
        <v>8496599.9999999981</v>
      </c>
      <c r="P17" s="93">
        <f t="shared" si="2"/>
        <v>8287257.1428571418</v>
      </c>
      <c r="Q17" s="93">
        <f t="shared" si="3"/>
        <v>266980.75601367303</v>
      </c>
      <c r="R17" s="94">
        <f t="shared" si="5"/>
        <v>6.9184108146481318</v>
      </c>
    </row>
    <row r="18" spans="2:18">
      <c r="B18" s="91" t="s">
        <v>200</v>
      </c>
      <c r="C18" s="92">
        <v>900</v>
      </c>
      <c r="D18" s="92">
        <v>1</v>
      </c>
      <c r="E18" s="92">
        <v>2868</v>
      </c>
      <c r="F18" s="92">
        <v>7</v>
      </c>
      <c r="G18" s="90">
        <f t="shared" si="4"/>
        <v>4179085.7142857141</v>
      </c>
      <c r="H18" s="92">
        <v>1</v>
      </c>
      <c r="I18" s="92">
        <v>2835</v>
      </c>
      <c r="J18" s="92">
        <v>7</v>
      </c>
      <c r="K18" s="90">
        <f t="shared" si="0"/>
        <v>4131000</v>
      </c>
      <c r="L18" s="92">
        <v>1</v>
      </c>
      <c r="M18" s="92">
        <v>2976</v>
      </c>
      <c r="N18" s="92">
        <v>7</v>
      </c>
      <c r="O18" s="90">
        <f t="shared" si="1"/>
        <v>4336457.1428571427</v>
      </c>
      <c r="P18" s="93">
        <f t="shared" si="2"/>
        <v>4215514.2857142854</v>
      </c>
      <c r="Q18" s="93">
        <f t="shared" si="3"/>
        <v>107463.6682790979</v>
      </c>
      <c r="R18" s="94">
        <f t="shared" si="5"/>
        <v>6.6248505653956435</v>
      </c>
    </row>
    <row r="19" spans="2:18">
      <c r="B19" s="91" t="s">
        <v>201</v>
      </c>
      <c r="C19" s="92">
        <v>900</v>
      </c>
      <c r="D19" s="92">
        <v>0</v>
      </c>
      <c r="E19" s="92">
        <v>10096</v>
      </c>
      <c r="F19" s="92">
        <v>7</v>
      </c>
      <c r="G19" s="90">
        <f t="shared" si="4"/>
        <v>1471131.4285714284</v>
      </c>
      <c r="H19" s="92">
        <v>0</v>
      </c>
      <c r="I19" s="92">
        <v>8923</v>
      </c>
      <c r="J19" s="92">
        <v>7</v>
      </c>
      <c r="K19" s="90">
        <f>(I19/J19)*(10.2)*POWER(10,H19+2)</f>
        <v>1300208.5714285716</v>
      </c>
      <c r="L19" s="92">
        <v>0</v>
      </c>
      <c r="M19" s="92">
        <v>8050</v>
      </c>
      <c r="N19" s="92">
        <v>7</v>
      </c>
      <c r="O19" s="90">
        <f t="shared" si="1"/>
        <v>1173000</v>
      </c>
      <c r="P19" s="93">
        <f t="shared" si="2"/>
        <v>1314780</v>
      </c>
      <c r="Q19" s="93">
        <f t="shared" si="3"/>
        <v>149598.9039848533</v>
      </c>
      <c r="R19" s="94">
        <f t="shared" si="5"/>
        <v>6.118853089115321</v>
      </c>
    </row>
    <row r="20" spans="2:18" ht="15" thickBot="1"/>
    <row r="21" spans="2:18" ht="55" customHeight="1" thickBot="1">
      <c r="B21" s="95" t="s">
        <v>4</v>
      </c>
      <c r="C21" s="95" t="s">
        <v>202</v>
      </c>
      <c r="D21" s="95" t="s">
        <v>203</v>
      </c>
      <c r="E21" s="95" t="s">
        <v>204</v>
      </c>
      <c r="F21" s="95" t="s">
        <v>205</v>
      </c>
      <c r="G21" s="96" t="s">
        <v>206</v>
      </c>
      <c r="H21" s="97" t="s">
        <v>207</v>
      </c>
      <c r="I21" s="97" t="s">
        <v>208</v>
      </c>
      <c r="J21" s="97" t="s">
        <v>209</v>
      </c>
      <c r="K21" s="97" t="s">
        <v>210</v>
      </c>
      <c r="L21" s="97" t="s">
        <v>211</v>
      </c>
      <c r="M21" s="98" t="s">
        <v>212</v>
      </c>
    </row>
    <row r="23" spans="2:18">
      <c r="B23" s="91" t="s">
        <v>186</v>
      </c>
      <c r="C23" s="99">
        <v>16.382114410400391</v>
      </c>
      <c r="D23" s="99">
        <v>16.2430419921875</v>
      </c>
      <c r="E23" s="99">
        <v>16.416009902954102</v>
      </c>
      <c r="F23" s="99">
        <f>AVERAGE(C23:E23)</f>
        <v>16.347055435180664</v>
      </c>
      <c r="G23" s="85">
        <f>15*180/4*1000/900</f>
        <v>750</v>
      </c>
      <c r="H23" s="85">
        <f>LOG(G23)/LOG(2)</f>
        <v>9.5507467853832431</v>
      </c>
      <c r="I23" s="92">
        <f>C23-H23</f>
        <v>6.8313676250171476</v>
      </c>
      <c r="J23" s="92">
        <f>D23-H23</f>
        <v>6.6922952068042569</v>
      </c>
      <c r="K23" s="92">
        <f>E23-H23</f>
        <v>6.8652631175708585</v>
      </c>
      <c r="L23" s="100">
        <f>AVERAGE(I23:K23)</f>
        <v>6.796308649797421</v>
      </c>
    </row>
    <row r="24" spans="2:18">
      <c r="B24" s="91" t="s">
        <v>187</v>
      </c>
      <c r="C24" s="99">
        <v>20.246736526489258</v>
      </c>
      <c r="D24" s="99">
        <v>20.337041854858398</v>
      </c>
      <c r="E24" s="99">
        <v>20.223323822021484</v>
      </c>
      <c r="F24" s="99">
        <f t="shared" ref="F24:F38" si="6">AVERAGE(C24:E24)</f>
        <v>20.269034067789715</v>
      </c>
      <c r="G24" s="85">
        <f t="shared" ref="G24:G26" si="7">15*180/4*1000/900</f>
        <v>750</v>
      </c>
      <c r="H24" s="85">
        <f t="shared" ref="H24:H38" si="8">LOG(G24)/LOG(2)</f>
        <v>9.5507467853832431</v>
      </c>
      <c r="I24" s="92">
        <f t="shared" ref="I24:I38" si="9">C24-H24</f>
        <v>10.695989741106015</v>
      </c>
      <c r="J24" s="92">
        <f t="shared" ref="J24:J38" si="10">D24-H24</f>
        <v>10.786295069475155</v>
      </c>
      <c r="K24" s="92">
        <f t="shared" ref="K24:K38" si="11">E24-H24</f>
        <v>10.672577036638241</v>
      </c>
      <c r="L24" s="100">
        <f t="shared" ref="L24:L38" si="12">AVERAGE(I24:K24)</f>
        <v>10.71828728240647</v>
      </c>
    </row>
    <row r="25" spans="2:18">
      <c r="B25" s="91" t="s">
        <v>188</v>
      </c>
      <c r="C25" s="99">
        <v>23.471084594726562</v>
      </c>
      <c r="D25" s="99">
        <v>23.434993743896484</v>
      </c>
      <c r="E25" s="99">
        <v>23.65556526184082</v>
      </c>
      <c r="F25" s="99">
        <f t="shared" si="6"/>
        <v>23.520547866821289</v>
      </c>
      <c r="G25" s="85">
        <f t="shared" si="7"/>
        <v>750</v>
      </c>
      <c r="H25" s="85">
        <f t="shared" si="8"/>
        <v>9.5507467853832431</v>
      </c>
      <c r="I25" s="92">
        <f t="shared" si="9"/>
        <v>13.920337809343319</v>
      </c>
      <c r="J25" s="92">
        <f t="shared" si="10"/>
        <v>13.884246958513241</v>
      </c>
      <c r="K25" s="92">
        <f t="shared" si="11"/>
        <v>14.104818476457577</v>
      </c>
      <c r="L25" s="100">
        <f t="shared" si="12"/>
        <v>13.969801081438044</v>
      </c>
    </row>
    <row r="26" spans="2:18">
      <c r="B26" s="91" t="s">
        <v>189</v>
      </c>
      <c r="C26" s="99">
        <v>27.687118530273438</v>
      </c>
      <c r="D26" s="99">
        <v>27.683933258056641</v>
      </c>
      <c r="E26" s="99">
        <v>27.721792221069336</v>
      </c>
      <c r="F26" s="99">
        <f t="shared" si="6"/>
        <v>27.697614669799805</v>
      </c>
      <c r="G26" s="85">
        <f t="shared" si="7"/>
        <v>750</v>
      </c>
      <c r="H26" s="85">
        <f t="shared" si="8"/>
        <v>9.5507467853832431</v>
      </c>
      <c r="I26" s="92">
        <f t="shared" si="9"/>
        <v>18.136371744890194</v>
      </c>
      <c r="J26" s="92">
        <f t="shared" si="10"/>
        <v>18.133186472673398</v>
      </c>
      <c r="K26" s="92">
        <f t="shared" si="11"/>
        <v>18.171045435686093</v>
      </c>
      <c r="L26" s="100">
        <f t="shared" si="12"/>
        <v>18.146867884416562</v>
      </c>
    </row>
    <row r="27" spans="2:18">
      <c r="B27" s="91" t="s">
        <v>190</v>
      </c>
      <c r="C27" s="99">
        <v>31.580327987670898</v>
      </c>
      <c r="D27" s="99">
        <v>31.876550674438477</v>
      </c>
      <c r="E27" s="99">
        <v>31.972114562988281</v>
      </c>
      <c r="F27" s="99">
        <f t="shared" si="6"/>
        <v>31.809664408365887</v>
      </c>
      <c r="G27" s="85">
        <f>15*180/4*1000/900</f>
        <v>750</v>
      </c>
      <c r="H27" s="85">
        <f>LOG(G27)/LOG(2)</f>
        <v>9.5507467853832431</v>
      </c>
      <c r="I27" s="92">
        <f t="shared" si="9"/>
        <v>22.029581202287655</v>
      </c>
      <c r="J27" s="92">
        <f t="shared" si="10"/>
        <v>22.325803889055233</v>
      </c>
      <c r="K27" s="92">
        <f t="shared" si="11"/>
        <v>22.421367777605038</v>
      </c>
      <c r="L27" s="100">
        <f t="shared" si="12"/>
        <v>22.25891762298264</v>
      </c>
    </row>
    <row r="28" spans="2:18">
      <c r="B28" s="91" t="s">
        <v>191</v>
      </c>
      <c r="C28" s="99">
        <v>16.648801803588867</v>
      </c>
      <c r="D28" s="99">
        <v>17.485513687133789</v>
      </c>
      <c r="E28" s="99">
        <v>16.725131988525391</v>
      </c>
      <c r="F28" s="99">
        <f t="shared" si="6"/>
        <v>16.953149159749348</v>
      </c>
      <c r="G28" s="85">
        <f>15*180/4*1000/1000</f>
        <v>675</v>
      </c>
      <c r="H28" s="85">
        <f t="shared" si="8"/>
        <v>9.3987436919381935</v>
      </c>
      <c r="I28" s="92">
        <f t="shared" si="9"/>
        <v>7.2500581116506737</v>
      </c>
      <c r="J28" s="92">
        <f t="shared" si="10"/>
        <v>8.0867699951955956</v>
      </c>
      <c r="K28" s="92">
        <f t="shared" si="11"/>
        <v>7.3263882965871971</v>
      </c>
      <c r="L28" s="100">
        <f t="shared" si="12"/>
        <v>7.5544054678111552</v>
      </c>
    </row>
    <row r="29" spans="2:18">
      <c r="B29" s="91" t="s">
        <v>192</v>
      </c>
      <c r="C29" s="99">
        <v>19.15205192565918</v>
      </c>
      <c r="D29" s="99">
        <v>18.957448959350586</v>
      </c>
      <c r="E29" s="99">
        <v>18.855649948120117</v>
      </c>
      <c r="F29" s="99">
        <f t="shared" si="6"/>
        <v>18.988383611043293</v>
      </c>
      <c r="G29" s="85">
        <f>15*180/4*1000/500</f>
        <v>1350</v>
      </c>
      <c r="H29" s="85">
        <f t="shared" si="8"/>
        <v>10.398743691938193</v>
      </c>
      <c r="I29" s="92">
        <f t="shared" si="9"/>
        <v>8.7533082337209862</v>
      </c>
      <c r="J29" s="92">
        <f t="shared" si="10"/>
        <v>8.5587052674123925</v>
      </c>
      <c r="K29" s="92">
        <f t="shared" si="11"/>
        <v>8.4569062561819237</v>
      </c>
      <c r="L29" s="100">
        <f t="shared" si="12"/>
        <v>8.5896399191051014</v>
      </c>
    </row>
    <row r="30" spans="2:18">
      <c r="B30" s="91" t="s">
        <v>193</v>
      </c>
      <c r="C30" s="99">
        <v>19.934587478637695</v>
      </c>
      <c r="D30" s="99">
        <v>19.768661499023438</v>
      </c>
      <c r="E30" s="99">
        <v>19.823604583740234</v>
      </c>
      <c r="F30" s="99">
        <f t="shared" si="6"/>
        <v>19.842284520467121</v>
      </c>
      <c r="G30" s="85">
        <f t="shared" ref="G30:G38" si="13">15*180/4*1000/500</f>
        <v>1350</v>
      </c>
      <c r="H30" s="85">
        <f t="shared" si="8"/>
        <v>10.398743691938193</v>
      </c>
      <c r="I30" s="92">
        <f t="shared" si="9"/>
        <v>9.5358437866995018</v>
      </c>
      <c r="J30" s="92">
        <f t="shared" si="10"/>
        <v>9.369917807085244</v>
      </c>
      <c r="K30" s="92">
        <f t="shared" si="11"/>
        <v>9.4248608918020409</v>
      </c>
      <c r="L30" s="100">
        <f t="shared" si="12"/>
        <v>9.4435408285289295</v>
      </c>
    </row>
    <row r="31" spans="2:18">
      <c r="B31" s="91" t="s">
        <v>194</v>
      </c>
      <c r="C31" s="99">
        <v>20.650510787963867</v>
      </c>
      <c r="D31" s="99">
        <v>20.447122573852539</v>
      </c>
      <c r="E31" s="99">
        <v>20.447004318237305</v>
      </c>
      <c r="F31" s="99">
        <f t="shared" si="6"/>
        <v>20.51487922668457</v>
      </c>
      <c r="G31" s="85">
        <f t="shared" si="13"/>
        <v>1350</v>
      </c>
      <c r="H31" s="85">
        <f t="shared" si="8"/>
        <v>10.398743691938193</v>
      </c>
      <c r="I31" s="92">
        <f t="shared" si="9"/>
        <v>10.251767096025674</v>
      </c>
      <c r="J31" s="92">
        <f t="shared" si="10"/>
        <v>10.048378881914346</v>
      </c>
      <c r="K31" s="92">
        <f t="shared" si="11"/>
        <v>10.048260626299111</v>
      </c>
      <c r="L31" s="100">
        <f t="shared" si="12"/>
        <v>10.116135534746377</v>
      </c>
    </row>
    <row r="32" spans="2:18">
      <c r="B32" s="91" t="s">
        <v>195</v>
      </c>
      <c r="C32" s="99">
        <v>21.825428009033203</v>
      </c>
      <c r="D32" s="99">
        <v>21.617404937744141</v>
      </c>
      <c r="E32" s="99">
        <v>21.863065719604492</v>
      </c>
      <c r="F32" s="99">
        <f t="shared" si="6"/>
        <v>21.768632888793945</v>
      </c>
      <c r="G32" s="85">
        <f t="shared" si="13"/>
        <v>1350</v>
      </c>
      <c r="H32" s="85">
        <f t="shared" si="8"/>
        <v>10.398743691938193</v>
      </c>
      <c r="I32" s="92">
        <f t="shared" si="9"/>
        <v>11.42668431709501</v>
      </c>
      <c r="J32" s="92">
        <f t="shared" si="10"/>
        <v>11.218661245805947</v>
      </c>
      <c r="K32" s="92">
        <f t="shared" si="11"/>
        <v>11.464322027666299</v>
      </c>
      <c r="L32" s="100">
        <f t="shared" si="12"/>
        <v>11.369889196855752</v>
      </c>
    </row>
    <row r="33" spans="2:12">
      <c r="B33" s="91" t="s">
        <v>196</v>
      </c>
      <c r="C33" s="99">
        <v>22.909189224243164</v>
      </c>
      <c r="D33" s="99">
        <v>22.986705780029297</v>
      </c>
      <c r="E33" s="99">
        <v>23.151363372802734</v>
      </c>
      <c r="F33" s="99">
        <f t="shared" si="6"/>
        <v>23.015752792358398</v>
      </c>
      <c r="G33" s="85">
        <f>15*180/4*1000/500</f>
        <v>1350</v>
      </c>
      <c r="H33" s="85">
        <f t="shared" si="8"/>
        <v>10.398743691938193</v>
      </c>
      <c r="I33" s="92">
        <f t="shared" si="9"/>
        <v>12.510445532304971</v>
      </c>
      <c r="J33" s="92">
        <f t="shared" si="10"/>
        <v>12.587962088091103</v>
      </c>
      <c r="K33" s="92">
        <f t="shared" si="11"/>
        <v>12.752619680864541</v>
      </c>
      <c r="L33" s="100">
        <f t="shared" si="12"/>
        <v>12.617009100420205</v>
      </c>
    </row>
    <row r="34" spans="2:12">
      <c r="B34" s="91" t="s">
        <v>197</v>
      </c>
      <c r="C34" s="99">
        <v>24.431295394897461</v>
      </c>
      <c r="D34" s="99">
        <v>24.009675979614258</v>
      </c>
      <c r="E34" s="99">
        <v>23.951196670532227</v>
      </c>
      <c r="F34" s="99">
        <f t="shared" si="6"/>
        <v>24.130722681681316</v>
      </c>
      <c r="G34" s="85">
        <f t="shared" si="13"/>
        <v>1350</v>
      </c>
      <c r="H34" s="85">
        <f t="shared" si="8"/>
        <v>10.398743691938193</v>
      </c>
      <c r="I34" s="92">
        <f t="shared" si="9"/>
        <v>14.032551702959267</v>
      </c>
      <c r="J34" s="92">
        <f t="shared" si="10"/>
        <v>13.610932287676064</v>
      </c>
      <c r="K34" s="92">
        <f t="shared" si="11"/>
        <v>13.552452978594033</v>
      </c>
      <c r="L34" s="100">
        <f t="shared" si="12"/>
        <v>13.731978989743121</v>
      </c>
    </row>
    <row r="35" spans="2:12">
      <c r="B35" s="91" t="s">
        <v>198</v>
      </c>
      <c r="C35" s="99">
        <v>25.132335662841797</v>
      </c>
      <c r="D35" s="99">
        <v>24.967596054077148</v>
      </c>
      <c r="E35" s="99">
        <v>25.03386116027832</v>
      </c>
      <c r="F35" s="99">
        <f t="shared" si="6"/>
        <v>25.044597625732422</v>
      </c>
      <c r="G35" s="85">
        <f t="shared" si="13"/>
        <v>1350</v>
      </c>
      <c r="H35" s="85">
        <f t="shared" si="8"/>
        <v>10.398743691938193</v>
      </c>
      <c r="I35" s="92">
        <f t="shared" si="9"/>
        <v>14.733591970903603</v>
      </c>
      <c r="J35" s="92">
        <f t="shared" si="10"/>
        <v>14.568852362138955</v>
      </c>
      <c r="K35" s="92">
        <f t="shared" si="11"/>
        <v>14.635117468340127</v>
      </c>
      <c r="L35" s="100">
        <f t="shared" si="12"/>
        <v>14.645853933794228</v>
      </c>
    </row>
    <row r="36" spans="2:12">
      <c r="B36" s="91" t="s">
        <v>199</v>
      </c>
      <c r="C36" s="99">
        <v>26.708147048950195</v>
      </c>
      <c r="D36" s="99">
        <v>26.763067245483398</v>
      </c>
      <c r="E36" s="99"/>
      <c r="F36" s="99">
        <f t="shared" si="6"/>
        <v>26.735607147216797</v>
      </c>
      <c r="G36" s="85">
        <f t="shared" si="13"/>
        <v>1350</v>
      </c>
      <c r="H36" s="85">
        <f t="shared" si="8"/>
        <v>10.398743691938193</v>
      </c>
      <c r="I36" s="92">
        <f t="shared" si="9"/>
        <v>16.309403357012002</v>
      </c>
      <c r="J36" s="92">
        <f t="shared" si="10"/>
        <v>16.364323553545205</v>
      </c>
      <c r="K36" s="92"/>
      <c r="L36" s="100">
        <f t="shared" si="12"/>
        <v>16.336863455278603</v>
      </c>
    </row>
    <row r="37" spans="2:12">
      <c r="B37" s="91" t="s">
        <v>200</v>
      </c>
      <c r="C37" s="99">
        <v>27.613700866699219</v>
      </c>
      <c r="D37" s="99">
        <v>27.812423706054688</v>
      </c>
      <c r="E37" s="99">
        <v>27.789873123168945</v>
      </c>
      <c r="F37" s="99">
        <f t="shared" si="6"/>
        <v>27.738665898640949</v>
      </c>
      <c r="G37" s="85">
        <f t="shared" si="13"/>
        <v>1350</v>
      </c>
      <c r="H37" s="85">
        <f t="shared" si="8"/>
        <v>10.398743691938193</v>
      </c>
      <c r="I37" s="92">
        <f t="shared" si="9"/>
        <v>17.214957174761025</v>
      </c>
      <c r="J37" s="92">
        <f t="shared" si="10"/>
        <v>17.413680014116494</v>
      </c>
      <c r="K37" s="92">
        <f t="shared" si="11"/>
        <v>17.391129431230752</v>
      </c>
      <c r="L37" s="100">
        <f t="shared" si="12"/>
        <v>17.339922206702756</v>
      </c>
    </row>
    <row r="38" spans="2:12">
      <c r="B38" s="91" t="s">
        <v>201</v>
      </c>
      <c r="C38" s="99">
        <v>29.07282829284668</v>
      </c>
      <c r="D38" s="99">
        <v>28.964012145996094</v>
      </c>
      <c r="E38" s="99">
        <v>29.311826705932617</v>
      </c>
      <c r="F38" s="99">
        <f t="shared" si="6"/>
        <v>29.116222381591797</v>
      </c>
      <c r="G38" s="85">
        <f t="shared" si="13"/>
        <v>1350</v>
      </c>
      <c r="H38" s="85">
        <f t="shared" si="8"/>
        <v>10.398743691938193</v>
      </c>
      <c r="I38" s="92">
        <f t="shared" si="9"/>
        <v>18.674084600908486</v>
      </c>
      <c r="J38" s="92">
        <f t="shared" si="10"/>
        <v>18.5652684540579</v>
      </c>
      <c r="K38" s="92">
        <f t="shared" si="11"/>
        <v>18.913083013994424</v>
      </c>
      <c r="L38" s="100">
        <f t="shared" si="12"/>
        <v>18.717478689653603</v>
      </c>
    </row>
    <row r="40" spans="2:12">
      <c r="B40" s="91" t="s">
        <v>213</v>
      </c>
      <c r="C40" s="99">
        <v>15.713388442993164</v>
      </c>
      <c r="D40" s="99">
        <v>15.726656913757324</v>
      </c>
      <c r="E40" s="99">
        <v>15.612536430358887</v>
      </c>
      <c r="F40" s="99">
        <f>AVERAGE(C40:E40)</f>
        <v>15.684193929036459</v>
      </c>
    </row>
    <row r="42" spans="2:12">
      <c r="B42" s="101" t="s">
        <v>214</v>
      </c>
      <c r="C42" s="85" t="s">
        <v>215</v>
      </c>
    </row>
    <row r="43" spans="2:12">
      <c r="B43" s="98" t="s">
        <v>216</v>
      </c>
      <c r="C43" s="85" t="s">
        <v>215</v>
      </c>
    </row>
    <row r="44" spans="2:12">
      <c r="C44" s="102" t="s">
        <v>217</v>
      </c>
      <c r="D44" s="100">
        <v>-3.6977000000000002</v>
      </c>
    </row>
    <row r="45" spans="2:12">
      <c r="C45" s="102" t="s">
        <v>218</v>
      </c>
      <c r="D45" s="100">
        <v>41.616</v>
      </c>
    </row>
    <row r="48" spans="2:12">
      <c r="B48" s="98" t="s">
        <v>219</v>
      </c>
      <c r="D48" s="85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2"/>
  <sheetViews>
    <sheetView topLeftCell="A45" workbookViewId="0">
      <selection activeCell="A60" sqref="A60:H70"/>
    </sheetView>
  </sheetViews>
  <sheetFormatPr baseColWidth="10" defaultColWidth="8.83203125" defaultRowHeight="14" x14ac:dyDescent="0"/>
  <cols>
    <col min="1" max="1" width="13.33203125" style="85" bestFit="1" customWidth="1"/>
    <col min="2" max="4" width="8.83203125" style="85"/>
    <col min="5" max="6" width="13.33203125" style="85" bestFit="1" customWidth="1"/>
    <col min="7" max="10" width="13.6640625" style="85" customWidth="1"/>
    <col min="11" max="11" width="16.5" style="85" bestFit="1" customWidth="1"/>
    <col min="12" max="12" width="17" style="85" customWidth="1"/>
    <col min="13" max="13" width="19.1640625" style="85" customWidth="1"/>
    <col min="14" max="14" width="17" style="85" customWidth="1"/>
    <col min="15" max="15" width="18.83203125" style="85" customWidth="1"/>
    <col min="16" max="16" width="18" style="85" customWidth="1"/>
    <col min="17" max="17" width="23.5" style="85" customWidth="1"/>
    <col min="18" max="18" width="18.5" style="85" customWidth="1"/>
    <col min="19" max="19" width="23.5" style="85" customWidth="1"/>
    <col min="20" max="16384" width="8.83203125" style="85"/>
  </cols>
  <sheetData>
    <row r="1" spans="1:19">
      <c r="A1" s="103" t="s">
        <v>220</v>
      </c>
    </row>
    <row r="2" spans="1:19">
      <c r="A2" s="134" t="s">
        <v>4</v>
      </c>
      <c r="B2" s="134" t="s">
        <v>117</v>
      </c>
      <c r="C2" s="134" t="s">
        <v>117</v>
      </c>
      <c r="D2" s="134" t="s">
        <v>5</v>
      </c>
      <c r="E2" s="146" t="s">
        <v>221</v>
      </c>
      <c r="F2" s="146" t="s">
        <v>222</v>
      </c>
      <c r="G2" s="146" t="s">
        <v>223</v>
      </c>
      <c r="H2" s="148" t="s">
        <v>224</v>
      </c>
      <c r="I2" s="148" t="s">
        <v>225</v>
      </c>
      <c r="J2" s="148" t="s">
        <v>226</v>
      </c>
      <c r="K2" s="146" t="s">
        <v>227</v>
      </c>
      <c r="L2" s="146" t="s">
        <v>228</v>
      </c>
      <c r="M2" s="146" t="s">
        <v>229</v>
      </c>
      <c r="N2" s="146" t="s">
        <v>230</v>
      </c>
      <c r="O2" s="146" t="s">
        <v>231</v>
      </c>
      <c r="P2" s="148" t="s">
        <v>232</v>
      </c>
      <c r="Q2" s="148" t="s">
        <v>233</v>
      </c>
      <c r="R2" s="151" t="s">
        <v>234</v>
      </c>
      <c r="S2" s="148" t="s">
        <v>235</v>
      </c>
    </row>
    <row r="3" spans="1:19">
      <c r="A3" s="135"/>
      <c r="B3" s="135"/>
      <c r="C3" s="135"/>
      <c r="D3" s="135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52"/>
      <c r="S3" s="147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9">
        <v>24.975749969482422</v>
      </c>
      <c r="F4" s="99">
        <v>25.3514404296875</v>
      </c>
      <c r="G4" s="99">
        <v>25.648876190185547</v>
      </c>
      <c r="H4" s="99">
        <f t="shared" ref="H4:H20" si="1">E4-$H$65+$H$72</f>
        <v>24.786274556680159</v>
      </c>
      <c r="I4" s="99">
        <f t="shared" ref="I4:I20" si="2">F4-$H$65+$H$72</f>
        <v>25.161965016885237</v>
      </c>
      <c r="J4" s="99">
        <f t="shared" ref="J4:J20" si="3">G4-$H$65+$H$72</f>
        <v>25.459400777383284</v>
      </c>
      <c r="K4" s="105">
        <f>((H4-'Calibration R. intestinalis '!$D$45)/('Calibration R. intestinalis '!$D$44))+$B$24</f>
        <v>8.2046162088614345</v>
      </c>
      <c r="L4" s="105">
        <f>((I4-'Calibration R. intestinalis '!$D$45)/('Calibration R. intestinalis '!$D$44))+$B$24</f>
        <v>8.1030150891910786</v>
      </c>
      <c r="M4" s="105">
        <f>((J4-'Calibration R. intestinalis '!$D$45)/('Calibration R. intestinalis '!$D$44))+$B$24</f>
        <v>8.0225770437850024</v>
      </c>
      <c r="N4" s="106">
        <f>AVERAGE(K4:M4)</f>
        <v>8.1100694472791712</v>
      </c>
      <c r="O4" s="106">
        <f>STDEV(K4:M4)</f>
        <v>9.1224379315276313E-2</v>
      </c>
      <c r="P4" s="100">
        <f>(AVERAGE(POWER(10,K4),POWER(10,L4),POWER(10,M4)))*(Calculation!$I4/Calculation!$K3)</f>
        <v>130998040.20528878</v>
      </c>
      <c r="Q4" s="107">
        <f>(STDEV(POWER(10,K4),POWER(10,L4),POWER(10,M4)))*(Calculation!$I4/Calculation!$K3)</f>
        <v>27690341.660406541</v>
      </c>
      <c r="R4" s="106">
        <f>LOG(P4)</f>
        <v>8.1172647984466391</v>
      </c>
      <c r="S4" s="106">
        <f>O4*(Calculation!$I4/Calculation!$K3)</f>
        <v>9.1388451939944076E-2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8">
        <v>24.154403686523438</v>
      </c>
      <c r="F5" s="99">
        <v>25.066043853759766</v>
      </c>
      <c r="G5" s="99">
        <v>25.206661224365234</v>
      </c>
      <c r="H5" s="99">
        <f t="shared" si="1"/>
        <v>23.964928273721174</v>
      </c>
      <c r="I5" s="99">
        <f t="shared" si="2"/>
        <v>24.876568440957502</v>
      </c>
      <c r="J5" s="99">
        <f t="shared" si="3"/>
        <v>25.017185811562971</v>
      </c>
      <c r="K5" s="105">
        <f>((H5-'Calibration R. intestinalis '!$D$45)/('Calibration R. intestinalis '!$D$44))+$B$24</f>
        <v>8.4267397675489928</v>
      </c>
      <c r="L5" s="105">
        <f>((I5-'Calibration R. intestinalis '!$D$45)/('Calibration R. intestinalis '!$D$44))+$B$24</f>
        <v>8.1801972770180331</v>
      </c>
      <c r="M5" s="105">
        <f>((J5-'Calibration R. intestinalis '!$D$45)/('Calibration R. intestinalis '!$D$44))+$B$24</f>
        <v>8.1421689430251547</v>
      </c>
      <c r="N5" s="106">
        <f t="shared" ref="N5:N20" si="4">AVERAGE(K5:M5)</f>
        <v>8.2497019958640596</v>
      </c>
      <c r="O5" s="106">
        <f t="shared" ref="O5:O20" si="5">STDEV(K5:M5)</f>
        <v>0.15449374744287619</v>
      </c>
      <c r="P5" s="100">
        <f>(AVERAGE(POWER(10,K5),POWER(10,L5),POWER(10,M5)))*(Calculation!$I5/Calculation!$K4)</f>
        <v>186328421.25476801</v>
      </c>
      <c r="Q5" s="107">
        <f>(STDEV(POWER(10,K5),POWER(10,L5),POWER(10,M5)))*(Calculation!$I5/Calculation!$K4)</f>
        <v>70973193.583434269</v>
      </c>
      <c r="R5" s="106">
        <f>LOG(P5)</f>
        <v>8.2702791042397408</v>
      </c>
      <c r="S5" s="106">
        <f>O5*(Calculation!$I5/Calculation!$K4)</f>
        <v>0.15496233677113763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23.295106887817383</v>
      </c>
      <c r="F6" s="99">
        <v>22.946979522705078</v>
      </c>
      <c r="G6" s="99">
        <v>24.107999801635742</v>
      </c>
      <c r="H6" s="99">
        <f t="shared" si="1"/>
        <v>23.105631475015119</v>
      </c>
      <c r="I6" s="99">
        <f t="shared" si="2"/>
        <v>22.757504109902815</v>
      </c>
      <c r="J6" s="99">
        <f t="shared" si="3"/>
        <v>23.918524388833479</v>
      </c>
      <c r="K6" s="105">
        <f>((H6-'Calibration R. intestinalis '!$D$45)/('Calibration R. intestinalis '!$D$44))+$B$24</f>
        <v>8.6591266022586932</v>
      </c>
      <c r="L6" s="105">
        <f>((I6-'Calibration R. intestinalis '!$D$45)/('Calibration R. intestinalis '!$D$44))+$B$24</f>
        <v>8.7532736031274236</v>
      </c>
      <c r="M6" s="105">
        <f>((J6-'Calibration R. intestinalis '!$D$45)/('Calibration R. intestinalis '!$D$44))+$B$24</f>
        <v>8.4392891590322652</v>
      </c>
      <c r="N6" s="106">
        <f t="shared" si="4"/>
        <v>8.6172297881394613</v>
      </c>
      <c r="O6" s="106">
        <f t="shared" si="5"/>
        <v>0.1611305838704824</v>
      </c>
      <c r="P6" s="100">
        <f>(AVERAGE(POWER(10,K6),POWER(10,L6),POWER(10,M6)))*(Calculation!$I6/Calculation!$K5)</f>
        <v>434713804.17958915</v>
      </c>
      <c r="Q6" s="107">
        <f>(STDEV(POWER(10,K6),POWER(10,L6),POWER(10,M6)))*(Calculation!$I6/Calculation!$K5)</f>
        <v>147962574.68753076</v>
      </c>
      <c r="R6" s="106">
        <f t="shared" ref="R6:R18" si="6">LOG(P6)</f>
        <v>8.6382034312739648</v>
      </c>
      <c r="S6" s="106">
        <f>O6*(Calculation!$I6/Calculation!$K5)</f>
        <v>0.16192559367457066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22.267553329467773</v>
      </c>
      <c r="F7" s="99">
        <v>22.044755935668945</v>
      </c>
      <c r="G7" s="99">
        <v>22.668279647827148</v>
      </c>
      <c r="H7" s="99">
        <f t="shared" si="1"/>
        <v>22.07807791666551</v>
      </c>
      <c r="I7" s="99">
        <f t="shared" si="2"/>
        <v>21.855280522866682</v>
      </c>
      <c r="J7" s="99">
        <f t="shared" si="3"/>
        <v>22.478804235024885</v>
      </c>
      <c r="K7" s="105">
        <f>((H7-'Calibration R. intestinalis '!$D$45)/('Calibration R. intestinalis '!$D$44))+$B$24</f>
        <v>8.9370165225739182</v>
      </c>
      <c r="L7" s="105">
        <f>((I7-'Calibration R. intestinalis '!$D$45)/('Calibration R. intestinalis '!$D$44))+$B$24</f>
        <v>8.9972694889581106</v>
      </c>
      <c r="M7" s="105">
        <f>((J7-'Calibration R. intestinalis '!$D$45)/('Calibration R. intestinalis '!$D$44))+$B$24</f>
        <v>8.8286447459670061</v>
      </c>
      <c r="N7" s="106">
        <f t="shared" si="4"/>
        <v>8.9209769191663444</v>
      </c>
      <c r="O7" s="106">
        <f t="shared" si="5"/>
        <v>8.5448976853489539E-2</v>
      </c>
      <c r="P7" s="100">
        <f>(AVERAGE(POWER(10,K7),POWER(10,L7),POWER(10,M7)))*(Calculation!$I7/Calculation!$K6)</f>
        <v>851154784.59858596</v>
      </c>
      <c r="Q7" s="107">
        <f>(STDEV(POWER(10,K7),POWER(10,L7),POWER(10,M7)))*(Calculation!$I7/Calculation!$K6)</f>
        <v>162204506.33866698</v>
      </c>
      <c r="R7" s="106">
        <f t="shared" si="6"/>
        <v>8.9300085447901427</v>
      </c>
      <c r="S7" s="106">
        <f>O7*(Calculation!$I7/Calculation!$K6)</f>
        <v>8.6149197254161786E-2</v>
      </c>
    </row>
    <row r="8" spans="1:19">
      <c r="A8" s="40">
        <v>4</v>
      </c>
      <c r="B8" s="32">
        <v>80</v>
      </c>
      <c r="C8" s="32">
        <f t="shared" ref="C8:C18" si="7">C7+B8</f>
        <v>360</v>
      </c>
      <c r="D8" s="13">
        <f t="shared" si="0"/>
        <v>6</v>
      </c>
      <c r="E8" s="99">
        <v>20.777111053466797</v>
      </c>
      <c r="F8" s="99">
        <v>21.162252426147461</v>
      </c>
      <c r="G8" s="99">
        <v>21.277942657470703</v>
      </c>
      <c r="H8" s="99">
        <f t="shared" si="1"/>
        <v>20.587635640664534</v>
      </c>
      <c r="I8" s="99">
        <f t="shared" si="2"/>
        <v>20.972777013345198</v>
      </c>
      <c r="J8" s="99">
        <f t="shared" si="3"/>
        <v>21.08846724466844</v>
      </c>
      <c r="K8" s="105">
        <f>((H8-'Calibration R. intestinalis '!$D$45)/('Calibration R. intestinalis '!$D$44))+$B$24</f>
        <v>9.340089318095723</v>
      </c>
      <c r="L8" s="105">
        <f>((I8-'Calibration R. intestinalis '!$D$45)/('Calibration R. intestinalis '!$D$44))+$B$24</f>
        <v>9.235932308960134</v>
      </c>
      <c r="M8" s="105">
        <f>((J8-'Calibration R. intestinalis '!$D$45)/('Calibration R. intestinalis '!$D$44))+$B$24</f>
        <v>9.2046452301481043</v>
      </c>
      <c r="N8" s="106">
        <f t="shared" si="4"/>
        <v>9.2602222857346543</v>
      </c>
      <c r="O8" s="106">
        <f t="shared" si="5"/>
        <v>7.0913873598687283E-2</v>
      </c>
      <c r="P8" s="100">
        <f>(AVERAGE(POWER(10,K8),POWER(10,L8),POWER(10,M8)))*(Calculation!$I8/Calculation!$K7)</f>
        <v>1859709172.4749436</v>
      </c>
      <c r="Q8" s="107">
        <f>(STDEV(POWER(10,K8),POWER(10,L8),POWER(10,M8)))*(Calculation!$I8/Calculation!$K7)</f>
        <v>313562216.84951657</v>
      </c>
      <c r="R8" s="106">
        <f t="shared" si="6"/>
        <v>9.2694450331078162</v>
      </c>
      <c r="S8" s="106">
        <f>O8*(Calculation!$I8/Calculation!$K7)</f>
        <v>7.1780774017812285E-2</v>
      </c>
    </row>
    <row r="9" spans="1:19">
      <c r="A9" s="40">
        <v>5</v>
      </c>
      <c r="B9" s="32">
        <v>80</v>
      </c>
      <c r="C9" s="32">
        <f t="shared" si="7"/>
        <v>440</v>
      </c>
      <c r="D9" s="13">
        <f t="shared" si="0"/>
        <v>7.333333333333333</v>
      </c>
      <c r="E9" s="99">
        <v>20.698230743408203</v>
      </c>
      <c r="F9" s="99">
        <v>20.777660369873047</v>
      </c>
      <c r="G9" s="99">
        <v>20.618207931518555</v>
      </c>
      <c r="H9" s="99">
        <f t="shared" si="1"/>
        <v>20.50875533060594</v>
      </c>
      <c r="I9" s="99">
        <f t="shared" si="2"/>
        <v>20.588184957070784</v>
      </c>
      <c r="J9" s="99">
        <f t="shared" si="3"/>
        <v>20.428732518716291</v>
      </c>
      <c r="K9" s="105">
        <f>((H9-'Calibration R. intestinalis '!$D$45)/('Calibration R. intestinalis '!$D$44))+$B$24</f>
        <v>9.3614215814103758</v>
      </c>
      <c r="L9" s="105">
        <f>((I9-'Calibration R. intestinalis '!$D$45)/('Calibration R. intestinalis '!$D$44))+$B$24</f>
        <v>9.3399407618563703</v>
      </c>
      <c r="M9" s="105">
        <f>((J9-'Calibration R. intestinalis '!$D$45)/('Calibration R. intestinalis '!$D$44))+$B$24</f>
        <v>9.3830628210700695</v>
      </c>
      <c r="N9" s="106">
        <f t="shared" si="4"/>
        <v>9.3614750547789374</v>
      </c>
      <c r="O9" s="106">
        <f t="shared" si="5"/>
        <v>2.1561079338899138E-2</v>
      </c>
      <c r="P9" s="100">
        <f>(AVERAGE(POWER(10,K9),POWER(10,L9),POWER(10,M9)))*(Calculation!$I9/Calculation!$K8)</f>
        <v>2341434105.8607936</v>
      </c>
      <c r="Q9" s="107">
        <f>(STDEV(POWER(10,K9),POWER(10,L9),POWER(10,M9)))*(Calculation!$I9/Calculation!$K8)</f>
        <v>116218275.54671533</v>
      </c>
      <c r="R9" s="106">
        <f t="shared" si="6"/>
        <v>9.3694819400964331</v>
      </c>
      <c r="S9" s="106">
        <f>O9*(Calculation!$I9/Calculation!$K8)</f>
        <v>2.1944244101708775E-2</v>
      </c>
    </row>
    <row r="10" spans="1:19">
      <c r="A10" s="40">
        <v>6</v>
      </c>
      <c r="B10" s="32">
        <v>80</v>
      </c>
      <c r="C10" s="32">
        <f t="shared" si="7"/>
        <v>520</v>
      </c>
      <c r="D10" s="13">
        <f t="shared" si="0"/>
        <v>8.6666666666666661</v>
      </c>
      <c r="E10" s="99">
        <v>20.894710540771484</v>
      </c>
      <c r="F10" s="99">
        <v>20.943967819213867</v>
      </c>
      <c r="G10" s="99">
        <v>20.64085578918457</v>
      </c>
      <c r="H10" s="99">
        <f t="shared" si="1"/>
        <v>20.705235127969221</v>
      </c>
      <c r="I10" s="99">
        <f t="shared" si="2"/>
        <v>20.754492406411604</v>
      </c>
      <c r="J10" s="99">
        <f t="shared" si="3"/>
        <v>20.451380376382307</v>
      </c>
      <c r="K10" s="105">
        <f>((H10-'Calibration R. intestinalis '!$D$45)/('Calibration R. intestinalis '!$D$44))+$B$24</f>
        <v>9.3082859031878904</v>
      </c>
      <c r="L10" s="105">
        <f>((I10-'Calibration R. intestinalis '!$D$45)/('Calibration R. intestinalis '!$D$44))+$B$24</f>
        <v>9.2949648445724318</v>
      </c>
      <c r="M10" s="105">
        <f>((J10-'Calibration R. intestinalis '!$D$45)/('Calibration R. intestinalis '!$D$44))+$B$24</f>
        <v>9.3769379711184726</v>
      </c>
      <c r="N10" s="106">
        <f t="shared" si="4"/>
        <v>9.3267295729595983</v>
      </c>
      <c r="O10" s="106">
        <f t="shared" si="5"/>
        <v>4.3988920024469386E-2</v>
      </c>
      <c r="P10" s="100">
        <f>(AVERAGE(POWER(10,K10),POWER(10,L10),POWER(10,M10)))*(Calculation!$I10/Calculation!$K9)</f>
        <v>2183964340.3489561</v>
      </c>
      <c r="Q10" s="107">
        <f>(STDEV(POWER(10,K10),POWER(10,L10),POWER(10,M10)))*(Calculation!$I10/Calculation!$K9)</f>
        <v>226632394.11629316</v>
      </c>
      <c r="R10" s="106">
        <f t="shared" si="6"/>
        <v>9.3392455429538952</v>
      </c>
      <c r="S10" s="106">
        <f>O10*(Calculation!$I10/Calculation!$K9)</f>
        <v>4.5117956956764516E-2</v>
      </c>
    </row>
    <row r="11" spans="1:19">
      <c r="A11" s="40">
        <v>7</v>
      </c>
      <c r="B11" s="32">
        <v>80</v>
      </c>
      <c r="C11" s="32">
        <f t="shared" si="7"/>
        <v>600</v>
      </c>
      <c r="D11" s="13">
        <f t="shared" si="0"/>
        <v>10</v>
      </c>
      <c r="E11" s="99">
        <v>19.499757766723633</v>
      </c>
      <c r="F11" s="99">
        <v>19.320001602172852</v>
      </c>
      <c r="G11" s="99">
        <v>19.685222625732422</v>
      </c>
      <c r="H11" s="99">
        <f t="shared" si="1"/>
        <v>19.310282353921369</v>
      </c>
      <c r="I11" s="99">
        <f t="shared" si="2"/>
        <v>19.130526189370588</v>
      </c>
      <c r="J11" s="99">
        <f t="shared" si="3"/>
        <v>19.495747212930159</v>
      </c>
      <c r="K11" s="105">
        <f>((H11-'Calibration R. intestinalis '!$D$45)/('Calibration R. intestinalis '!$D$44))+$B$24</f>
        <v>9.6855346724357627</v>
      </c>
      <c r="L11" s="105">
        <f>((I11-'Calibration R. intestinalis '!$D$45)/('Calibration R. intestinalis '!$D$44))+$B$24</f>
        <v>9.734147638482435</v>
      </c>
      <c r="M11" s="105">
        <f>((J11-'Calibration R. intestinalis '!$D$45)/('Calibration R. intestinalis '!$D$44))+$B$24</f>
        <v>9.6353778563044408</v>
      </c>
      <c r="N11" s="106">
        <f t="shared" si="4"/>
        <v>9.6850200557408801</v>
      </c>
      <c r="O11" s="106">
        <f t="shared" si="5"/>
        <v>4.9386902014897607E-2</v>
      </c>
      <c r="P11" s="100">
        <f>(AVERAGE(POWER(10,K11),POWER(10,L11),POWER(10,M11)))*(Calculation!$I11/Calculation!$K10)</f>
        <v>5045300760.2918415</v>
      </c>
      <c r="Q11" s="107">
        <f>(STDEV(POWER(10,K11),POWER(10,L11),POWER(10,M11)))*(Calculation!$I11/Calculation!$K10)</f>
        <v>572306779.95348155</v>
      </c>
      <c r="R11" s="106">
        <f t="shared" si="6"/>
        <v>9.7028870604920243</v>
      </c>
      <c r="S11" s="106">
        <f>O11*(Calculation!$I11/Calculation!$K10)</f>
        <v>5.1240086667713527E-2</v>
      </c>
    </row>
    <row r="12" spans="1:19">
      <c r="A12" s="40">
        <v>8</v>
      </c>
      <c r="B12" s="32">
        <v>80</v>
      </c>
      <c r="C12" s="32">
        <f t="shared" si="7"/>
        <v>680</v>
      </c>
      <c r="D12" s="13">
        <f t="shared" si="0"/>
        <v>11.333333333333334</v>
      </c>
      <c r="E12" s="99">
        <v>19.304510116577148</v>
      </c>
      <c r="F12" s="99">
        <v>19.325544357299805</v>
      </c>
      <c r="G12" s="99">
        <v>19.47028923034668</v>
      </c>
      <c r="H12" s="99">
        <f t="shared" si="1"/>
        <v>19.115034703774885</v>
      </c>
      <c r="I12" s="99">
        <f t="shared" si="2"/>
        <v>19.136068944497541</v>
      </c>
      <c r="J12" s="99">
        <f t="shared" si="3"/>
        <v>19.280813817544416</v>
      </c>
      <c r="K12" s="105">
        <f>((H12-'Calibration R. intestinalis '!$D$45)/('Calibration R. intestinalis '!$D$44))+$B$24</f>
        <v>9.7383371307602573</v>
      </c>
      <c r="L12" s="105">
        <f>((I12-'Calibration R. intestinalis '!$D$45)/('Calibration R. intestinalis '!$D$44))+$B$24</f>
        <v>9.7326486647617561</v>
      </c>
      <c r="M12" s="105">
        <f>((J12-'Calibration R. intestinalis '!$D$45)/('Calibration R. intestinalis '!$D$44))+$B$24</f>
        <v>9.6935040956926386</v>
      </c>
      <c r="N12" s="106">
        <f t="shared" si="4"/>
        <v>9.721496630404884</v>
      </c>
      <c r="O12" s="106">
        <f t="shared" si="5"/>
        <v>2.4408526400957174E-2</v>
      </c>
      <c r="P12" s="100">
        <f>(AVERAGE(POWER(10,K12),POWER(10,L12),POWER(10,M12)))*(Calculation!$I12/Calculation!$K11)</f>
        <v>5550404499.2648201</v>
      </c>
      <c r="Q12" s="107">
        <f>(STDEV(POWER(10,K12),POWER(10,L12),POWER(10,M12)))*(Calculation!$I12/Calculation!$K11)</f>
        <v>307041117.45994049</v>
      </c>
      <c r="R12" s="106">
        <f t="shared" si="6"/>
        <v>9.7443246345456007</v>
      </c>
      <c r="S12" s="106">
        <f>O12*(Calculation!$I12/Calculation!$K11)</f>
        <v>2.5699048976191113E-2</v>
      </c>
    </row>
    <row r="13" spans="1:19">
      <c r="A13" s="40">
        <v>9</v>
      </c>
      <c r="B13" s="32">
        <v>80</v>
      </c>
      <c r="C13" s="32">
        <f t="shared" si="7"/>
        <v>760</v>
      </c>
      <c r="D13" s="13">
        <f t="shared" si="0"/>
        <v>12.666666666666666</v>
      </c>
      <c r="E13" s="99">
        <v>19.466596603393555</v>
      </c>
      <c r="F13" s="99">
        <v>19.374416351318359</v>
      </c>
      <c r="G13" s="99">
        <v>19.288677215576172</v>
      </c>
      <c r="H13" s="99">
        <f t="shared" si="1"/>
        <v>19.277121190591291</v>
      </c>
      <c r="I13" s="99">
        <f t="shared" si="2"/>
        <v>19.184940938516096</v>
      </c>
      <c r="J13" s="99">
        <f t="shared" si="3"/>
        <v>19.099201802773909</v>
      </c>
      <c r="K13" s="105">
        <f>((H13-'Calibration R. intestinalis '!$D$45)/('Calibration R. intestinalis '!$D$44))+$B$24</f>
        <v>9.6945027237460568</v>
      </c>
      <c r="L13" s="105">
        <f>((I13-'Calibration R. intestinalis '!$D$45)/('Calibration R. intestinalis '!$D$44))+$B$24</f>
        <v>9.719431801841953</v>
      </c>
      <c r="M13" s="105">
        <f>((J13-'Calibration R. intestinalis '!$D$45)/('Calibration R. intestinalis '!$D$44))+$B$24</f>
        <v>9.7426189548673978</v>
      </c>
      <c r="N13" s="106">
        <f t="shared" si="4"/>
        <v>9.7188511601518019</v>
      </c>
      <c r="O13" s="106">
        <f t="shared" si="5"/>
        <v>2.4063370148626972E-2</v>
      </c>
      <c r="P13" s="100">
        <f>(AVERAGE(POWER(10,K13),POWER(10,L13),POWER(10,M13)))*(Calculation!$I13/Calculation!$K12)</f>
        <v>5545667992.6039038</v>
      </c>
      <c r="Q13" s="107">
        <f>(STDEV(POWER(10,K13),POWER(10,L13),POWER(10,M13)))*(Calculation!$I13/Calculation!$K12)</f>
        <v>306848623.62310886</v>
      </c>
      <c r="R13" s="106">
        <f t="shared" si="6"/>
        <v>9.7439538657293774</v>
      </c>
      <c r="S13" s="106">
        <f>O13*(Calculation!$I13/Calculation!$K12)</f>
        <v>2.5469190008303541E-2</v>
      </c>
    </row>
    <row r="14" spans="1:19">
      <c r="A14" s="40">
        <v>10</v>
      </c>
      <c r="B14" s="32">
        <v>80</v>
      </c>
      <c r="C14" s="32">
        <f t="shared" si="7"/>
        <v>840</v>
      </c>
      <c r="D14" s="13">
        <f t="shared" si="0"/>
        <v>14</v>
      </c>
      <c r="E14" s="99">
        <v>19.242822647094727</v>
      </c>
      <c r="F14" s="99">
        <v>19.045783996582031</v>
      </c>
      <c r="G14" s="99">
        <v>19.199764251708984</v>
      </c>
      <c r="H14" s="99">
        <f t="shared" si="1"/>
        <v>19.053347234292463</v>
      </c>
      <c r="I14" s="99">
        <f t="shared" si="2"/>
        <v>18.856308583779768</v>
      </c>
      <c r="J14" s="99">
        <f t="shared" si="3"/>
        <v>19.010288838906721</v>
      </c>
      <c r="K14" s="105">
        <f>((H14-'Calibration R. intestinalis '!$D$45)/('Calibration R. intestinalis '!$D$44))+$B$24</f>
        <v>9.7550197901113194</v>
      </c>
      <c r="L14" s="105">
        <f>((I14-'Calibration R. intestinalis '!$D$45)/('Calibration R. intestinalis '!$D$44))+$B$24</f>
        <v>9.8083066036745326</v>
      </c>
      <c r="M14" s="105">
        <f>((J14-'Calibration R. intestinalis '!$D$45)/('Calibration R. intestinalis '!$D$44))+$B$24</f>
        <v>9.7666644328313179</v>
      </c>
      <c r="N14" s="106">
        <f t="shared" si="4"/>
        <v>9.7766636088723899</v>
      </c>
      <c r="O14" s="106">
        <f t="shared" si="5"/>
        <v>2.8015330911046223E-2</v>
      </c>
      <c r="P14" s="100">
        <f>(AVERAGE(POWER(10,K14),POWER(10,L14),POWER(10,M14)))*(Calculation!$I14/Calculation!$K13)</f>
        <v>6347547327.0990047</v>
      </c>
      <c r="Q14" s="107">
        <f>(STDEV(POWER(10,K14),POWER(10,L14),POWER(10,M14)))*(Calculation!$I14/Calculation!$K13)</f>
        <v>415365105.40396166</v>
      </c>
      <c r="R14" s="106">
        <f t="shared" si="6"/>
        <v>9.8026059476428564</v>
      </c>
      <c r="S14" s="106">
        <f>O14*(Calculation!$I14/Calculation!$K13)</f>
        <v>2.9698181542669979E-2</v>
      </c>
    </row>
    <row r="15" spans="1:19">
      <c r="A15" s="40">
        <v>11</v>
      </c>
      <c r="B15" s="32">
        <v>80</v>
      </c>
      <c r="C15" s="32">
        <f t="shared" si="7"/>
        <v>920</v>
      </c>
      <c r="D15" s="13">
        <f t="shared" si="0"/>
        <v>15.333333333333334</v>
      </c>
      <c r="E15" s="99">
        <v>19.490364074707031</v>
      </c>
      <c r="F15" s="99">
        <v>19.163539886474609</v>
      </c>
      <c r="G15" s="99">
        <v>19.378198623657227</v>
      </c>
      <c r="H15" s="99">
        <f t="shared" si="1"/>
        <v>19.300888661904768</v>
      </c>
      <c r="I15" s="99">
        <f t="shared" si="2"/>
        <v>18.974064473672346</v>
      </c>
      <c r="J15" s="99">
        <f t="shared" si="3"/>
        <v>19.188723210854963</v>
      </c>
      <c r="K15" s="105">
        <f>((H15-'Calibration R. intestinalis '!$D$45)/('Calibration R. intestinalis '!$D$44))+$B$24</f>
        <v>9.6880750872927273</v>
      </c>
      <c r="L15" s="105">
        <f>((I15-'Calibration R. intestinalis '!$D$45)/('Calibration R. intestinalis '!$D$44))+$B$24</f>
        <v>9.776460891504108</v>
      </c>
      <c r="M15" s="105">
        <f>((J15-'Calibration R. intestinalis '!$D$45)/('Calibration R. intestinalis '!$D$44))+$B$24</f>
        <v>9.7184089302355847</v>
      </c>
      <c r="N15" s="106">
        <f t="shared" si="4"/>
        <v>9.7276483030108079</v>
      </c>
      <c r="O15" s="106">
        <f t="shared" si="5"/>
        <v>4.4911436221554614E-2</v>
      </c>
      <c r="P15" s="100">
        <f>(AVERAGE(POWER(10,L15),POWER(10,M15)))*(Calculation!$I15/Calculation!$K14)</f>
        <v>5948920621.8461733</v>
      </c>
      <c r="Q15" s="107">
        <f>(STDEV(POWER(10,L15),POWER(10,M15)))*(Calculation!$I15/Calculation!$K14)</f>
        <v>561448319.73707247</v>
      </c>
      <c r="R15" s="106">
        <f t="shared" si="6"/>
        <v>9.7744381740478126</v>
      </c>
      <c r="S15" s="106">
        <f>O15*(Calculation!$I15/Calculation!$K14)</f>
        <v>4.7686006688166131E-2</v>
      </c>
    </row>
    <row r="16" spans="1:19">
      <c r="A16" s="40">
        <v>12</v>
      </c>
      <c r="B16" s="32">
        <v>80</v>
      </c>
      <c r="C16" s="32">
        <f t="shared" si="7"/>
        <v>1000</v>
      </c>
      <c r="D16" s="13">
        <f t="shared" si="0"/>
        <v>16.666666666666668</v>
      </c>
      <c r="E16" s="99">
        <v>19.368955612182617</v>
      </c>
      <c r="F16" s="99">
        <v>19.306999206542969</v>
      </c>
      <c r="G16" s="99">
        <v>19.275093078613281</v>
      </c>
      <c r="H16" s="99">
        <f t="shared" si="1"/>
        <v>19.179480199380354</v>
      </c>
      <c r="I16" s="99">
        <f t="shared" si="2"/>
        <v>19.117523793740705</v>
      </c>
      <c r="J16" s="99">
        <f t="shared" si="3"/>
        <v>19.085617665811018</v>
      </c>
      <c r="K16" s="105">
        <f>((H16-'Calibration R. intestinalis '!$D$45)/('Calibration R. intestinalis '!$D$44))+$B$24</f>
        <v>9.7209085952907834</v>
      </c>
      <c r="L16" s="105">
        <f>((I16-'Calibration R. intestinalis '!$D$45)/('Calibration R. intestinalis '!$D$44))+$B$24</f>
        <v>9.7376639853006957</v>
      </c>
      <c r="M16" s="105">
        <f>((J16-'Calibration R. intestinalis '!$D$45)/('Calibration R. intestinalis '!$D$44))+$B$24</f>
        <v>9.7462926268696943</v>
      </c>
      <c r="N16" s="106">
        <f t="shared" si="4"/>
        <v>9.7349550691537257</v>
      </c>
      <c r="O16" s="106">
        <f t="shared" si="5"/>
        <v>1.2907011072214871E-2</v>
      </c>
      <c r="P16" s="100">
        <f>(AVERAGE(POWER(10,K16),POWER(10,L16),POWER(10,M16)))*(Calculation!$I16/Calculation!$K15)</f>
        <v>5778860250.0739498</v>
      </c>
      <c r="Q16" s="107">
        <f>(STDEV(POWER(10,K16),POWER(10,L16),POWER(10,M16)))*(Calculation!$I16/Calculation!$K15)</f>
        <v>170956360.26667514</v>
      </c>
      <c r="R16" s="106">
        <f t="shared" si="6"/>
        <v>9.7618421920688085</v>
      </c>
      <c r="S16" s="106">
        <f>O16*(Calculation!$I16/Calculation!$K15)</f>
        <v>1.3727306568944957E-2</v>
      </c>
    </row>
    <row r="17" spans="1:19">
      <c r="A17" s="40">
        <v>13</v>
      </c>
      <c r="B17" s="32">
        <v>80</v>
      </c>
      <c r="C17" s="32">
        <f t="shared" si="7"/>
        <v>1080</v>
      </c>
      <c r="D17" s="13">
        <f t="shared" si="0"/>
        <v>18</v>
      </c>
      <c r="E17" s="99">
        <v>19.184207916259766</v>
      </c>
      <c r="F17" s="99">
        <v>19.282852172851562</v>
      </c>
      <c r="G17" s="99">
        <v>19.071754455566406</v>
      </c>
      <c r="H17" s="99">
        <f t="shared" si="1"/>
        <v>18.994732503457502</v>
      </c>
      <c r="I17" s="99">
        <f t="shared" si="2"/>
        <v>19.093376760049299</v>
      </c>
      <c r="J17" s="99">
        <f t="shared" si="3"/>
        <v>18.882279042764143</v>
      </c>
      <c r="K17" s="105">
        <f>((H17-'Calibration R. intestinalis '!$D$45)/('Calibration R. intestinalis '!$D$44))+$B$24</f>
        <v>9.7708714629985085</v>
      </c>
      <c r="L17" s="105">
        <f>((I17-'Calibration R. intestinalis '!$D$45)/('Calibration R. intestinalis '!$D$44))+$B$24</f>
        <v>9.7441942699888546</v>
      </c>
      <c r="M17" s="105">
        <f>((J17-'Calibration R. intestinalis '!$D$45)/('Calibration R. intestinalis '!$D$44))+$B$24</f>
        <v>9.8012831948029699</v>
      </c>
      <c r="N17" s="106">
        <f t="shared" si="4"/>
        <v>9.7721163092634438</v>
      </c>
      <c r="O17" s="106">
        <f t="shared" si="5"/>
        <v>2.8564813420980391E-2</v>
      </c>
      <c r="P17" s="100">
        <f>(AVERAGE(POWER(10,K17),POWER(10,L17),POWER(10,M17)))*(Calculation!$I17/Calculation!$K16)</f>
        <v>6307816746.0418882</v>
      </c>
      <c r="Q17" s="107">
        <f>(STDEV(POWER(10,K17),POWER(10,L17),POWER(10,M17)))*(Calculation!$I17/Calculation!$K16)</f>
        <v>415546795.23066324</v>
      </c>
      <c r="R17" s="106">
        <f t="shared" si="6"/>
        <v>9.7998790677673835</v>
      </c>
      <c r="S17" s="106">
        <f>O17*(Calculation!$I17/Calculation!$K16)</f>
        <v>3.0406554931331351E-2</v>
      </c>
    </row>
    <row r="18" spans="1:19">
      <c r="A18" s="40">
        <v>14</v>
      </c>
      <c r="B18" s="32">
        <v>360</v>
      </c>
      <c r="C18" s="32">
        <f t="shared" si="7"/>
        <v>1440</v>
      </c>
      <c r="D18" s="13">
        <f t="shared" si="0"/>
        <v>24</v>
      </c>
      <c r="E18" s="99">
        <v>19.154020309448242</v>
      </c>
      <c r="F18" s="99">
        <v>19.347986221313477</v>
      </c>
      <c r="G18" s="99">
        <v>19.550756454467773</v>
      </c>
      <c r="H18" s="99">
        <f t="shared" si="1"/>
        <v>18.964544896645979</v>
      </c>
      <c r="I18" s="99">
        <f t="shared" si="2"/>
        <v>19.158510808511213</v>
      </c>
      <c r="J18" s="99">
        <f t="shared" si="3"/>
        <v>19.36128104166551</v>
      </c>
      <c r="K18" s="105">
        <f>((H18-'Calibration R. intestinalis '!$D$45)/('Calibration R. intestinalis '!$D$44))+$B$24</f>
        <v>9.7790353504992584</v>
      </c>
      <c r="L18" s="105">
        <f>((I18-'Calibration R. intestinalis '!$D$45)/('Calibration R. intestinalis '!$D$44))+$B$24</f>
        <v>9.7265795233999164</v>
      </c>
      <c r="M18" s="105">
        <f>((J18-'Calibration R. intestinalis '!$D$45)/('Calibration R. intestinalis '!$D$44))+$B$24</f>
        <v>9.6717426699087472</v>
      </c>
      <c r="N18" s="106">
        <f t="shared" si="4"/>
        <v>9.725785847935974</v>
      </c>
      <c r="O18" s="106">
        <f t="shared" si="5"/>
        <v>5.3650743402406963E-2</v>
      </c>
      <c r="P18" s="100">
        <f>(AVERAGE(POWER(10,K18),POWER(10,L18),POWER(10,M18)))*(Calculation!$I18/Calculation!$K17)</f>
        <v>5700434020.7049274</v>
      </c>
      <c r="Q18" s="107">
        <f>(STDEV(POWER(10,K18),POWER(10,L18),POWER(10,M18)))*(Calculation!$I18/Calculation!$K17)</f>
        <v>701906603.45675004</v>
      </c>
      <c r="R18" s="106">
        <f t="shared" si="6"/>
        <v>9.7559079233253421</v>
      </c>
      <c r="S18" s="106">
        <f>O18*(Calculation!$I18/Calculation!$K17)</f>
        <v>5.7212823109504762E-2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9">
        <v>21.647298812866211</v>
      </c>
      <c r="F19" s="99">
        <v>21.5760498046875</v>
      </c>
      <c r="G19" s="99">
        <v>21.969818115234375</v>
      </c>
      <c r="H19" s="99">
        <f t="shared" si="1"/>
        <v>21.457823400063948</v>
      </c>
      <c r="I19" s="99">
        <f t="shared" si="2"/>
        <v>21.386574391885237</v>
      </c>
      <c r="J19" s="99">
        <f t="shared" si="3"/>
        <v>21.780342702432112</v>
      </c>
      <c r="K19" s="105">
        <f>((H19-'Calibration R. intestinalis '!$D$45)/('Calibration R. intestinalis '!$D$44))+$B$24</f>
        <v>9.1047571496127695</v>
      </c>
      <c r="L19" s="105">
        <f>((I19-'Calibration R. intestinalis '!$D$45)/('Calibration R. intestinalis '!$D$44))+$B$24</f>
        <v>9.1240256160050439</v>
      </c>
      <c r="M19" s="105">
        <f>((J19-'Calibration R. intestinalis '!$D$45)/('Calibration R. intestinalis '!$D$44))+$B$24</f>
        <v>9.0175355517632507</v>
      </c>
      <c r="N19" s="106">
        <f t="shared" si="4"/>
        <v>9.0821061057936898</v>
      </c>
      <c r="O19" s="106">
        <f t="shared" si="5"/>
        <v>5.6743596864542979E-2</v>
      </c>
      <c r="P19" s="100">
        <f>(AVERAGE(POWER(10,K19),POWER(10,L19),POWER(10,M19)))*(Calculation!$I19/Calculation!$K18)</f>
        <v>1295500538.5291278</v>
      </c>
      <c r="Q19" s="107">
        <f>(STDEV(POWER(10,K19),POWER(10,L19),POWER(10,M19)))*(Calculation!$I19/Calculation!$K18)</f>
        <v>163288671.84820718</v>
      </c>
      <c r="R19" s="106">
        <f>LOG(P19)</f>
        <v>9.1124375978545959</v>
      </c>
      <c r="S19" s="106">
        <f>O19*(Calculation!$I19/Calculation!$K18)</f>
        <v>6.0511023037613652E-2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9">
        <v>22.845409393310547</v>
      </c>
      <c r="F20" s="99">
        <v>23.115390777587891</v>
      </c>
      <c r="G20" s="99">
        <v>23.006547927856445</v>
      </c>
      <c r="H20" s="99">
        <f t="shared" si="1"/>
        <v>22.655933980508284</v>
      </c>
      <c r="I20" s="99">
        <f t="shared" si="2"/>
        <v>22.925915364785627</v>
      </c>
      <c r="J20" s="99">
        <f t="shared" si="3"/>
        <v>22.817072515054182</v>
      </c>
      <c r="K20" s="105">
        <f>((H20-'Calibration R. intestinalis '!$D$45)/('Calibration R. intestinalis '!$D$44))+$B$24</f>
        <v>8.7807420644397336</v>
      </c>
      <c r="L20" s="105">
        <f>((I20-'Calibration R. intestinalis '!$D$45)/('Calibration R. intestinalis '!$D$44))+$B$24</f>
        <v>8.707728736079579</v>
      </c>
      <c r="M20" s="105">
        <f>((J20-'Calibration R. intestinalis '!$D$45)/('Calibration R. intestinalis '!$D$44))+$B$24</f>
        <v>8.7371640201024707</v>
      </c>
      <c r="N20" s="106">
        <f t="shared" si="4"/>
        <v>8.7418782735405944</v>
      </c>
      <c r="O20" s="106">
        <f t="shared" si="5"/>
        <v>3.6734243815084659E-2</v>
      </c>
      <c r="P20" s="100">
        <f>(AVERAGE(POWER(10,K20),POWER(10,L20),POWER(10,M20)))*(Calculation!$I20/Calculation!$K19)</f>
        <v>590560782.2936703</v>
      </c>
      <c r="Q20" s="107">
        <f>(STDEV(POWER(10,K20),POWER(10,L20),POWER(10,M20)))*(Calculation!$I20/Calculation!$K19)</f>
        <v>50304286.697457336</v>
      </c>
      <c r="R20" s="106">
        <f>LOG(P20)</f>
        <v>8.7712646031455392</v>
      </c>
      <c r="S20" s="106">
        <f>O20*(Calculation!$I20/Calculation!$K19)</f>
        <v>3.9211804211751945E-2</v>
      </c>
    </row>
    <row r="21" spans="1:19">
      <c r="A21" s="10"/>
      <c r="B21" s="10"/>
      <c r="C21" s="10"/>
      <c r="D21" s="109"/>
    </row>
    <row r="24" spans="1:19">
      <c r="A24" s="102" t="s">
        <v>236</v>
      </c>
      <c r="B24" s="110">
        <f>LOG(B25)</f>
        <v>3.6532125137753435</v>
      </c>
    </row>
    <row r="25" spans="1:19">
      <c r="A25" s="85" t="s">
        <v>237</v>
      </c>
      <c r="B25" s="85">
        <f>20*1800/4/2</f>
        <v>4500</v>
      </c>
    </row>
    <row r="26" spans="1:19">
      <c r="E26" s="150" t="s">
        <v>220</v>
      </c>
      <c r="F26" s="150"/>
      <c r="G26" s="150"/>
      <c r="H26" s="150"/>
    </row>
    <row r="27" spans="1:19">
      <c r="A27" s="98" t="s">
        <v>238</v>
      </c>
      <c r="B27" s="98" t="s">
        <v>239</v>
      </c>
      <c r="E27" s="99">
        <v>15.713388442993164</v>
      </c>
      <c r="F27" s="99">
        <v>15.726656913757324</v>
      </c>
      <c r="G27" s="99">
        <v>15.612536430358887</v>
      </c>
      <c r="H27" s="111">
        <f>AVERAGE(E27:G27)</f>
        <v>15.684193929036459</v>
      </c>
    </row>
    <row r="28" spans="1:19">
      <c r="A28" s="98" t="s">
        <v>238</v>
      </c>
      <c r="B28" s="98" t="s">
        <v>240</v>
      </c>
      <c r="E28" s="112">
        <v>15.18875789642334</v>
      </c>
      <c r="F28" s="111">
        <v>15.280285835266113</v>
      </c>
      <c r="G28" s="111">
        <v>15.261421203613281</v>
      </c>
      <c r="H28" s="111">
        <f t="shared" ref="H28:H68" si="8">AVERAGE(E28:G28)</f>
        <v>15.243488311767578</v>
      </c>
    </row>
    <row r="29" spans="1:19">
      <c r="A29" s="98" t="s">
        <v>238</v>
      </c>
      <c r="B29" s="98" t="s">
        <v>241</v>
      </c>
      <c r="E29" s="112">
        <v>15.903929710388184</v>
      </c>
      <c r="F29" s="111">
        <v>15.71695613861084</v>
      </c>
      <c r="G29" s="111">
        <v>15.745060920715332</v>
      </c>
      <c r="H29" s="111">
        <f t="shared" si="8"/>
        <v>15.788648923238119</v>
      </c>
    </row>
    <row r="30" spans="1:19">
      <c r="A30" s="98" t="s">
        <v>238</v>
      </c>
      <c r="B30" s="98" t="s">
        <v>242</v>
      </c>
      <c r="E30" s="112">
        <v>15.95374870300293</v>
      </c>
      <c r="F30" s="111">
        <v>15.781205177307129</v>
      </c>
      <c r="G30" s="111">
        <v>15.694306373596191</v>
      </c>
      <c r="H30" s="111">
        <f t="shared" si="8"/>
        <v>15.80975341796875</v>
      </c>
    </row>
    <row r="31" spans="1:19">
      <c r="A31" s="98" t="s">
        <v>243</v>
      </c>
      <c r="B31" s="98" t="s">
        <v>244</v>
      </c>
      <c r="E31" s="112">
        <v>15.793012619018555</v>
      </c>
      <c r="F31" s="111">
        <v>15.662893295288086</v>
      </c>
      <c r="G31" s="111">
        <v>15.729142189025879</v>
      </c>
      <c r="H31" s="111">
        <f t="shared" si="8"/>
        <v>15.728349367777506</v>
      </c>
    </row>
    <row r="32" spans="1:19">
      <c r="A32" s="98" t="s">
        <v>243</v>
      </c>
      <c r="B32" s="98" t="s">
        <v>245</v>
      </c>
      <c r="E32" s="112">
        <v>15.790358543395996</v>
      </c>
      <c r="F32" s="111">
        <v>15.747311592102051</v>
      </c>
      <c r="G32" s="111">
        <v>15.724276542663574</v>
      </c>
      <c r="H32" s="111">
        <f t="shared" si="8"/>
        <v>15.753982226053873</v>
      </c>
    </row>
    <row r="33" spans="1:8">
      <c r="A33" s="98" t="s">
        <v>243</v>
      </c>
      <c r="B33" s="98" t="s">
        <v>245</v>
      </c>
      <c r="E33" s="112">
        <v>15.449001312255859</v>
      </c>
      <c r="F33" s="111">
        <v>15.556774139404297</v>
      </c>
      <c r="G33" s="111">
        <v>15.49962043762207</v>
      </c>
      <c r="H33" s="111">
        <f t="shared" si="8"/>
        <v>15.501798629760742</v>
      </c>
    </row>
    <row r="34" spans="1:8">
      <c r="A34" s="98" t="s">
        <v>243</v>
      </c>
      <c r="B34" s="98" t="s">
        <v>246</v>
      </c>
      <c r="E34" s="112">
        <v>15.347023010253906</v>
      </c>
      <c r="F34" s="111">
        <v>15.780600547790527</v>
      </c>
      <c r="G34" s="111">
        <v>15.718053817749023</v>
      </c>
      <c r="H34" s="111">
        <f t="shared" si="8"/>
        <v>15.615225791931152</v>
      </c>
    </row>
    <row r="35" spans="1:8">
      <c r="A35" s="98" t="s">
        <v>247</v>
      </c>
      <c r="B35" s="98" t="s">
        <v>246</v>
      </c>
      <c r="E35" s="112">
        <v>15.825298309326172</v>
      </c>
      <c r="F35" s="111">
        <v>15.804603576660156</v>
      </c>
      <c r="G35" s="111">
        <v>15.760408401489258</v>
      </c>
      <c r="H35" s="111">
        <f t="shared" si="8"/>
        <v>15.796770095825195</v>
      </c>
    </row>
    <row r="36" spans="1:8">
      <c r="A36" s="98" t="s">
        <v>247</v>
      </c>
      <c r="B36" s="98" t="s">
        <v>248</v>
      </c>
      <c r="E36" s="112">
        <v>15.800871849060059</v>
      </c>
      <c r="F36" s="111">
        <v>15.699575424194336</v>
      </c>
      <c r="G36" s="111">
        <v>15.968178749084473</v>
      </c>
      <c r="H36" s="111">
        <f t="shared" si="8"/>
        <v>15.822875340779623</v>
      </c>
    </row>
    <row r="37" spans="1:8">
      <c r="A37" s="98" t="s">
        <v>247</v>
      </c>
      <c r="B37" s="98" t="s">
        <v>248</v>
      </c>
      <c r="E37" s="112">
        <v>15.717584609985352</v>
      </c>
      <c r="F37" s="111">
        <v>15.693602561950684</v>
      </c>
      <c r="G37" s="111">
        <v>15.63984489440918</v>
      </c>
      <c r="H37" s="111">
        <f t="shared" si="8"/>
        <v>15.683677355448404</v>
      </c>
    </row>
    <row r="38" spans="1:8">
      <c r="A38" s="98" t="s">
        <v>247</v>
      </c>
      <c r="B38" s="98" t="s">
        <v>248</v>
      </c>
      <c r="E38" s="112">
        <v>15.61665153503418</v>
      </c>
      <c r="F38" s="111">
        <v>15.740999221801758</v>
      </c>
      <c r="G38" s="111">
        <v>15.586724281311035</v>
      </c>
      <c r="H38" s="111">
        <f t="shared" si="8"/>
        <v>15.648125012715658</v>
      </c>
    </row>
    <row r="39" spans="1:8">
      <c r="A39" s="98" t="s">
        <v>249</v>
      </c>
      <c r="B39" s="98" t="s">
        <v>250</v>
      </c>
      <c r="E39" s="112">
        <v>15.755837440490723</v>
      </c>
      <c r="F39" s="111">
        <v>15.457893371582031</v>
      </c>
      <c r="G39" s="111">
        <v>15.691001892089844</v>
      </c>
      <c r="H39" s="111">
        <f t="shared" si="8"/>
        <v>15.634910901387533</v>
      </c>
    </row>
    <row r="40" spans="1:8">
      <c r="A40" s="98" t="s">
        <v>249</v>
      </c>
      <c r="B40" s="98" t="s">
        <v>250</v>
      </c>
      <c r="E40" s="112">
        <v>15.560844421386719</v>
      </c>
      <c r="F40" s="111">
        <v>15.738679885864258</v>
      </c>
      <c r="G40" s="111">
        <v>15.730792999267578</v>
      </c>
      <c r="H40" s="111">
        <f t="shared" si="8"/>
        <v>15.676772435506185</v>
      </c>
    </row>
    <row r="41" spans="1:8">
      <c r="A41" s="98" t="s">
        <v>249</v>
      </c>
      <c r="B41" s="98" t="s">
        <v>251</v>
      </c>
      <c r="E41" s="112">
        <v>15.789995193481445</v>
      </c>
      <c r="F41" s="111">
        <v>15.670146942138672</v>
      </c>
      <c r="G41" s="111">
        <v>15.804409980773926</v>
      </c>
      <c r="H41" s="111">
        <f t="shared" si="8"/>
        <v>15.754850705464682</v>
      </c>
    </row>
    <row r="42" spans="1:8">
      <c r="A42" s="98" t="s">
        <v>249</v>
      </c>
      <c r="B42" s="98" t="s">
        <v>287</v>
      </c>
      <c r="E42" s="112">
        <v>15.759750366210938</v>
      </c>
      <c r="F42" s="111">
        <v>15.668698310852051</v>
      </c>
      <c r="G42" s="111">
        <v>15.640106201171875</v>
      </c>
      <c r="H42" s="111">
        <f t="shared" si="8"/>
        <v>15.689518292744955</v>
      </c>
    </row>
    <row r="43" spans="1:8">
      <c r="A43" s="98" t="s">
        <v>291</v>
      </c>
      <c r="B43" s="98" t="s">
        <v>292</v>
      </c>
      <c r="E43" s="112">
        <v>15.258575439453125</v>
      </c>
      <c r="F43" s="111">
        <v>15.478802680969238</v>
      </c>
      <c r="G43" s="111">
        <v>15.974754333496094</v>
      </c>
      <c r="H43" s="111">
        <f t="shared" si="8"/>
        <v>15.570710817972818</v>
      </c>
    </row>
    <row r="44" spans="1:8">
      <c r="A44" s="98" t="s">
        <v>291</v>
      </c>
      <c r="B44" s="98" t="s">
        <v>293</v>
      </c>
      <c r="E44" s="112">
        <v>15.35291576385498</v>
      </c>
      <c r="F44" s="111">
        <v>15.170954704284668</v>
      </c>
      <c r="G44" s="111">
        <v>15.236812591552734</v>
      </c>
      <c r="H44" s="111">
        <f t="shared" si="8"/>
        <v>15.253561019897461</v>
      </c>
    </row>
    <row r="45" spans="1:8">
      <c r="A45" s="98" t="s">
        <v>291</v>
      </c>
      <c r="B45" s="98" t="s">
        <v>294</v>
      </c>
      <c r="E45" s="112">
        <v>15.810567855834961</v>
      </c>
      <c r="F45" s="111">
        <v>15.790656089782715</v>
      </c>
      <c r="G45" s="111">
        <v>15.956247329711914</v>
      </c>
      <c r="H45" s="111">
        <f t="shared" si="8"/>
        <v>15.852490425109863</v>
      </c>
    </row>
    <row r="46" spans="1:8">
      <c r="A46" s="98" t="s">
        <v>291</v>
      </c>
      <c r="B46" s="98" t="s">
        <v>295</v>
      </c>
      <c r="E46" s="112">
        <v>15.760116577148438</v>
      </c>
      <c r="F46" s="111">
        <v>15.89314079284668</v>
      </c>
      <c r="G46" s="111">
        <v>15.903885841369629</v>
      </c>
      <c r="H46" s="111">
        <f t="shared" si="8"/>
        <v>15.852381070454916</v>
      </c>
    </row>
    <row r="47" spans="1:8">
      <c r="A47" s="98" t="s">
        <v>296</v>
      </c>
      <c r="B47" s="98" t="s">
        <v>297</v>
      </c>
      <c r="E47" s="112">
        <v>15.956473350524902</v>
      </c>
      <c r="F47" s="111">
        <v>15.595272064208984</v>
      </c>
      <c r="G47" s="111">
        <v>15.919502258300781</v>
      </c>
      <c r="H47" s="111">
        <f t="shared" si="8"/>
        <v>15.823749224344889</v>
      </c>
    </row>
    <row r="48" spans="1:8">
      <c r="A48" s="98" t="s">
        <v>296</v>
      </c>
      <c r="B48" s="98" t="s">
        <v>298</v>
      </c>
      <c r="E48" s="112">
        <v>15.711461067199707</v>
      </c>
      <c r="F48" s="111">
        <v>15.73438835144043</v>
      </c>
      <c r="G48" s="111">
        <v>15.689187049865723</v>
      </c>
      <c r="H48" s="111">
        <f t="shared" si="8"/>
        <v>15.711678822835287</v>
      </c>
    </row>
    <row r="49" spans="1:8">
      <c r="A49" s="98" t="s">
        <v>296</v>
      </c>
      <c r="B49" s="98" t="s">
        <v>299</v>
      </c>
      <c r="E49" s="112">
        <v>15.574808120727539</v>
      </c>
      <c r="F49" s="111">
        <v>15.501856803894043</v>
      </c>
      <c r="G49" s="111">
        <v>15.596255302429199</v>
      </c>
      <c r="H49" s="111">
        <f t="shared" si="8"/>
        <v>15.557640075683594</v>
      </c>
    </row>
    <row r="50" spans="1:8">
      <c r="A50" s="98" t="s">
        <v>296</v>
      </c>
      <c r="B50" s="98" t="s">
        <v>300</v>
      </c>
      <c r="E50" s="112">
        <v>15.60640811920166</v>
      </c>
      <c r="F50" s="111">
        <v>15.595258712768555</v>
      </c>
      <c r="G50" s="111">
        <v>15.58064079284668</v>
      </c>
      <c r="H50" s="111">
        <f t="shared" si="8"/>
        <v>15.594102541605631</v>
      </c>
    </row>
    <row r="51" spans="1:8">
      <c r="A51" s="98" t="s">
        <v>301</v>
      </c>
      <c r="B51" s="98" t="s">
        <v>302</v>
      </c>
      <c r="E51" s="112">
        <v>15.40764331817627</v>
      </c>
      <c r="F51" s="111">
        <v>15.702505111694336</v>
      </c>
      <c r="G51" s="111">
        <v>15.805522918701172</v>
      </c>
      <c r="H51" s="111">
        <f t="shared" si="8"/>
        <v>15.638557116190592</v>
      </c>
    </row>
    <row r="52" spans="1:8">
      <c r="A52" s="61" t="s">
        <v>301</v>
      </c>
      <c r="B52" s="61" t="s">
        <v>303</v>
      </c>
      <c r="C52" s="61"/>
      <c r="D52" s="61"/>
      <c r="E52" s="112">
        <v>15.5</v>
      </c>
      <c r="F52" s="111">
        <v>15.5</v>
      </c>
      <c r="G52" s="111">
        <v>15.4</v>
      </c>
      <c r="H52" s="111">
        <f t="shared" si="8"/>
        <v>15.466666666666667</v>
      </c>
    </row>
    <row r="53" spans="1:8">
      <c r="A53" s="61" t="s">
        <v>301</v>
      </c>
      <c r="B53" s="61" t="s">
        <v>303</v>
      </c>
      <c r="C53" s="61"/>
      <c r="D53" s="61"/>
      <c r="E53" s="126">
        <v>15.8</v>
      </c>
      <c r="F53" s="127">
        <v>15.4</v>
      </c>
      <c r="G53" s="127">
        <v>15.4</v>
      </c>
      <c r="H53" s="111">
        <f t="shared" si="8"/>
        <v>15.533333333333333</v>
      </c>
    </row>
    <row r="54" spans="1:8">
      <c r="A54" s="61" t="s">
        <v>301</v>
      </c>
      <c r="B54" s="61" t="s">
        <v>304</v>
      </c>
      <c r="C54" s="61"/>
      <c r="D54" s="61"/>
      <c r="E54" s="126">
        <v>15.6</v>
      </c>
      <c r="F54" s="127">
        <v>15.5</v>
      </c>
      <c r="G54" s="127">
        <v>15.6</v>
      </c>
      <c r="H54" s="111">
        <f t="shared" si="8"/>
        <v>15.566666666666668</v>
      </c>
    </row>
    <row r="55" spans="1:8">
      <c r="A55" s="61" t="s">
        <v>305</v>
      </c>
      <c r="B55" s="61" t="s">
        <v>306</v>
      </c>
      <c r="C55" s="61"/>
      <c r="D55" s="61"/>
      <c r="E55" s="126">
        <v>15.6</v>
      </c>
      <c r="F55" s="127">
        <v>15.6</v>
      </c>
      <c r="G55" s="127">
        <v>15.8</v>
      </c>
      <c r="H55" s="111">
        <f t="shared" si="8"/>
        <v>15.666666666666666</v>
      </c>
    </row>
    <row r="56" spans="1:8">
      <c r="A56" s="61" t="s">
        <v>305</v>
      </c>
      <c r="B56" s="61" t="s">
        <v>306</v>
      </c>
      <c r="C56" s="61"/>
      <c r="D56" s="61"/>
      <c r="E56" s="126">
        <v>15.577789306640625</v>
      </c>
      <c r="F56" s="127">
        <v>15.603015899658203</v>
      </c>
      <c r="G56" s="127">
        <v>15.626909255981445</v>
      </c>
      <c r="H56" s="111">
        <f t="shared" si="8"/>
        <v>15.602571487426758</v>
      </c>
    </row>
    <row r="57" spans="1:8">
      <c r="A57" s="98" t="s">
        <v>305</v>
      </c>
      <c r="B57" s="98" t="s">
        <v>307</v>
      </c>
      <c r="E57" s="126">
        <v>15.925136566162109</v>
      </c>
      <c r="F57" s="127"/>
      <c r="G57" s="127">
        <v>15.940312385559082</v>
      </c>
      <c r="H57" s="111">
        <f t="shared" si="8"/>
        <v>15.932724475860596</v>
      </c>
    </row>
    <row r="58" spans="1:8">
      <c r="A58" s="98" t="s">
        <v>305</v>
      </c>
      <c r="B58" s="98" t="s">
        <v>307</v>
      </c>
      <c r="E58" s="112">
        <v>15.2</v>
      </c>
      <c r="F58" s="111">
        <v>15.3</v>
      </c>
      <c r="G58" s="111">
        <v>15.4</v>
      </c>
      <c r="H58" s="111">
        <f t="shared" si="8"/>
        <v>15.299999999999999</v>
      </c>
    </row>
    <row r="59" spans="1:8">
      <c r="A59" s="98" t="s">
        <v>308</v>
      </c>
      <c r="B59" s="98" t="s">
        <v>309</v>
      </c>
      <c r="E59" s="112">
        <v>15.989936828613281</v>
      </c>
      <c r="F59" s="111">
        <v>15.856328964233398</v>
      </c>
      <c r="G59" s="111">
        <v>15.836997985839844</v>
      </c>
      <c r="H59" s="111">
        <f t="shared" si="8"/>
        <v>15.894421259562174</v>
      </c>
    </row>
    <row r="60" spans="1:8">
      <c r="A60" s="98" t="s">
        <v>308</v>
      </c>
      <c r="B60" s="98" t="s">
        <v>340</v>
      </c>
      <c r="E60" s="112">
        <v>15.699069023132324</v>
      </c>
      <c r="F60" s="111">
        <v>15.817172050476074</v>
      </c>
      <c r="G60" s="111">
        <v>16.075807571411133</v>
      </c>
      <c r="H60" s="111">
        <f t="shared" si="8"/>
        <v>15.86401621500651</v>
      </c>
    </row>
    <row r="61" spans="1:8">
      <c r="A61" s="98" t="s">
        <v>308</v>
      </c>
      <c r="B61" s="98" t="s">
        <v>341</v>
      </c>
      <c r="E61" s="112">
        <v>14.193151473999023</v>
      </c>
      <c r="F61" s="111">
        <v>14.592436790466309</v>
      </c>
      <c r="G61" s="111">
        <v>14.826726913452148</v>
      </c>
      <c r="H61" s="111">
        <f t="shared" si="8"/>
        <v>14.53743839263916</v>
      </c>
    </row>
    <row r="62" spans="1:8">
      <c r="A62" s="98" t="s">
        <v>342</v>
      </c>
      <c r="B62" s="98" t="s">
        <v>341</v>
      </c>
      <c r="E62" s="112">
        <v>15.753643035888672</v>
      </c>
      <c r="F62" s="111">
        <v>15.53950309753418</v>
      </c>
      <c r="G62" s="111">
        <v>16.160148620605469</v>
      </c>
      <c r="H62" s="111">
        <f t="shared" si="8"/>
        <v>15.81776491800944</v>
      </c>
    </row>
    <row r="63" spans="1:8">
      <c r="A63" s="98" t="s">
        <v>342</v>
      </c>
      <c r="B63" s="98" t="s">
        <v>343</v>
      </c>
      <c r="E63" s="112">
        <v>16.152790069580078</v>
      </c>
      <c r="F63" s="111">
        <v>15.918967247009277</v>
      </c>
      <c r="G63" s="111">
        <v>16.004350662231445</v>
      </c>
      <c r="H63" s="111">
        <f t="shared" si="8"/>
        <v>16.025369326273601</v>
      </c>
    </row>
    <row r="64" spans="1:8">
      <c r="A64" s="98" t="s">
        <v>342</v>
      </c>
      <c r="B64" s="98" t="s">
        <v>344</v>
      </c>
      <c r="E64" s="112">
        <v>15.725796699523926</v>
      </c>
      <c r="F64" s="111">
        <v>15.72511100769043</v>
      </c>
      <c r="G64" s="111">
        <v>15.700724601745605</v>
      </c>
      <c r="H64" s="111">
        <f t="shared" si="8"/>
        <v>15.71721076965332</v>
      </c>
    </row>
    <row r="65" spans="1:8">
      <c r="A65" s="98" t="s">
        <v>342</v>
      </c>
      <c r="B65" s="98" t="s">
        <v>345</v>
      </c>
      <c r="E65" s="112">
        <v>15.868610382080078</v>
      </c>
      <c r="F65" s="111">
        <v>15.950244903564453</v>
      </c>
      <c r="G65" s="111">
        <v>15.73750114440918</v>
      </c>
      <c r="H65" s="111">
        <f t="shared" si="8"/>
        <v>15.852118810017904</v>
      </c>
    </row>
    <row r="66" spans="1:8">
      <c r="A66" s="98" t="s">
        <v>342</v>
      </c>
      <c r="B66" s="98" t="s">
        <v>345</v>
      </c>
      <c r="E66" s="112">
        <v>15.411773681640625</v>
      </c>
      <c r="F66" s="111">
        <v>15.347482681274414</v>
      </c>
      <c r="G66" s="111">
        <v>15.357060432434082</v>
      </c>
      <c r="H66" s="111">
        <f t="shared" si="8"/>
        <v>15.372105598449707</v>
      </c>
    </row>
    <row r="67" spans="1:8">
      <c r="A67" s="98" t="s">
        <v>238</v>
      </c>
      <c r="B67" s="98" t="s">
        <v>357</v>
      </c>
      <c r="E67" s="112">
        <v>15.701089859008789</v>
      </c>
      <c r="F67" s="111">
        <v>15.69521427154541</v>
      </c>
      <c r="G67" s="111">
        <v>15.858868598937988</v>
      </c>
      <c r="H67" s="111">
        <f t="shared" si="8"/>
        <v>15.751724243164062</v>
      </c>
    </row>
    <row r="68" spans="1:8">
      <c r="A68" s="98" t="s">
        <v>238</v>
      </c>
      <c r="B68" s="98" t="s">
        <v>358</v>
      </c>
      <c r="E68" s="112">
        <v>15.664003372192383</v>
      </c>
      <c r="F68" s="111">
        <v>15.706714630126953</v>
      </c>
      <c r="G68" s="111">
        <v>15.883712768554688</v>
      </c>
      <c r="H68" s="111">
        <f t="shared" si="8"/>
        <v>15.751476923624674</v>
      </c>
    </row>
    <row r="69" spans="1:8">
      <c r="A69" s="98" t="s">
        <v>238</v>
      </c>
      <c r="B69" s="98" t="s">
        <v>358</v>
      </c>
      <c r="E69" s="112">
        <v>15.815454483032227</v>
      </c>
      <c r="F69" s="111">
        <v>15.873584747314453</v>
      </c>
      <c r="G69" s="111">
        <v>15.955685615539551</v>
      </c>
      <c r="H69" s="111">
        <f>AVERAGE(E69:G69)</f>
        <v>15.881574948628744</v>
      </c>
    </row>
    <row r="70" spans="1:8">
      <c r="A70" s="98" t="s">
        <v>238</v>
      </c>
      <c r="B70" s="98" t="s">
        <v>359</v>
      </c>
      <c r="E70" s="112">
        <v>15.894612312316895</v>
      </c>
      <c r="F70" s="111">
        <v>15.946266174316406</v>
      </c>
      <c r="G70" s="111">
        <v>15.963062286376953</v>
      </c>
      <c r="H70" s="111">
        <f>AVERAGE(E70:G70)</f>
        <v>15.934646924336752</v>
      </c>
    </row>
    <row r="71" spans="1:8">
      <c r="A71" s="98"/>
      <c r="B71" s="98"/>
      <c r="E71"/>
    </row>
    <row r="72" spans="1:8">
      <c r="A72" s="98"/>
      <c r="F72" s="98" t="s">
        <v>252</v>
      </c>
      <c r="H72" s="114">
        <f>AVERAGE(H27:H70)</f>
        <v>15.662643397215641</v>
      </c>
    </row>
  </sheetData>
  <mergeCells count="20">
    <mergeCell ref="A2:A3"/>
    <mergeCell ref="B2:B3"/>
    <mergeCell ref="C2:C3"/>
    <mergeCell ref="D2:D3"/>
    <mergeCell ref="E2:E3"/>
    <mergeCell ref="E26:H26"/>
    <mergeCell ref="S2:S3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F2:F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26" workbookViewId="0">
      <selection activeCell="H44" sqref="H44"/>
    </sheetView>
  </sheetViews>
  <sheetFormatPr baseColWidth="10" defaultRowHeight="14" x14ac:dyDescent="0"/>
  <sheetData>
    <row r="1" spans="1:21">
      <c r="A1" s="85"/>
      <c r="B1" s="146" t="s">
        <v>4</v>
      </c>
      <c r="C1" s="148" t="s">
        <v>185</v>
      </c>
      <c r="D1" s="149" t="s">
        <v>18</v>
      </c>
      <c r="E1" s="149"/>
      <c r="F1" s="149"/>
      <c r="G1" s="149"/>
      <c r="H1" s="149" t="s">
        <v>20</v>
      </c>
      <c r="I1" s="149"/>
      <c r="J1" s="149"/>
      <c r="K1" s="149"/>
      <c r="L1" s="149" t="s">
        <v>21</v>
      </c>
      <c r="M1" s="149"/>
      <c r="N1" s="149"/>
      <c r="O1" s="149"/>
      <c r="P1" s="84" t="s">
        <v>22</v>
      </c>
      <c r="Q1" s="84" t="s">
        <v>22</v>
      </c>
      <c r="R1" s="84" t="s">
        <v>22</v>
      </c>
      <c r="S1" s="153" t="s">
        <v>253</v>
      </c>
      <c r="T1" s="85"/>
      <c r="U1" s="85"/>
    </row>
    <row r="2" spans="1:21">
      <c r="A2" s="85"/>
      <c r="B2" s="147"/>
      <c r="C2" s="147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  <c r="S2" s="154"/>
      <c r="T2" s="85"/>
      <c r="U2" s="85"/>
    </row>
    <row r="3" spans="1:21">
      <c r="A3" s="85"/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43"/>
      <c r="Q3" s="144"/>
      <c r="R3" s="145"/>
      <c r="S3" s="85"/>
      <c r="T3" s="85"/>
      <c r="U3" s="85"/>
    </row>
    <row r="4" spans="1:21">
      <c r="A4" s="85"/>
      <c r="B4" s="91" t="s">
        <v>186</v>
      </c>
      <c r="C4" s="92">
        <v>500</v>
      </c>
      <c r="D4" s="92">
        <v>2</v>
      </c>
      <c r="E4" s="92">
        <v>26960</v>
      </c>
      <c r="F4" s="92">
        <v>7</v>
      </c>
      <c r="G4" s="90">
        <f t="shared" ref="G4:G19" si="0">(E4/F4)*(10.2)*POWER(10,D4+2)</f>
        <v>392845714.28571427</v>
      </c>
      <c r="H4" s="92">
        <v>2</v>
      </c>
      <c r="I4" s="92">
        <v>28998</v>
      </c>
      <c r="J4" s="92">
        <v>7</v>
      </c>
      <c r="K4" s="90">
        <f t="shared" ref="K4:K19" si="1">(I4/J4)*(10.2)*POWER(10,H4+2)</f>
        <v>422542285.71428567</v>
      </c>
      <c r="L4" s="92">
        <v>2</v>
      </c>
      <c r="M4" s="92">
        <v>29053</v>
      </c>
      <c r="N4" s="92">
        <v>7</v>
      </c>
      <c r="O4" s="90">
        <f t="shared" ref="O4:O19" si="2">(M4/N4)*(10.2)*POWER(10,L4+2)</f>
        <v>423343714.28571433</v>
      </c>
      <c r="P4" s="93">
        <f t="shared" ref="P4:P19" si="3">AVERAGE(O4,K4,G4)</f>
        <v>412910571.4285714</v>
      </c>
      <c r="Q4" s="93">
        <f t="shared" ref="Q4:Q19" si="4">STDEV(O4,K4,G4)</f>
        <v>17381295.724462688</v>
      </c>
      <c r="R4" s="94">
        <f>LOG(P4)</f>
        <v>8.6158560019212569</v>
      </c>
      <c r="S4" s="85"/>
      <c r="T4" s="85"/>
      <c r="U4" s="85"/>
    </row>
    <row r="5" spans="1:21">
      <c r="A5" s="85"/>
      <c r="B5" s="91" t="s">
        <v>187</v>
      </c>
      <c r="C5" s="92">
        <v>500</v>
      </c>
      <c r="D5" s="92">
        <v>1</v>
      </c>
      <c r="E5" s="92">
        <v>25770</v>
      </c>
      <c r="F5" s="92">
        <v>7</v>
      </c>
      <c r="G5" s="90">
        <f t="shared" si="0"/>
        <v>37550571.428571425</v>
      </c>
      <c r="H5" s="92">
        <v>1</v>
      </c>
      <c r="I5" s="92">
        <v>24760</v>
      </c>
      <c r="J5" s="92">
        <v>7</v>
      </c>
      <c r="K5" s="90">
        <f t="shared" si="1"/>
        <v>36078857.142857142</v>
      </c>
      <c r="L5" s="92">
        <v>1</v>
      </c>
      <c r="M5" s="92">
        <v>27526</v>
      </c>
      <c r="N5" s="92">
        <v>7</v>
      </c>
      <c r="O5" s="90">
        <f t="shared" si="2"/>
        <v>40109314.285714284</v>
      </c>
      <c r="P5" s="93">
        <f t="shared" si="3"/>
        <v>37912914.285714291</v>
      </c>
      <c r="Q5" s="93">
        <f t="shared" si="4"/>
        <v>2039513.5338344474</v>
      </c>
      <c r="R5" s="94">
        <f t="shared" ref="R5:R19" si="5">LOG(P5)</f>
        <v>7.5787871690098934</v>
      </c>
      <c r="S5" s="85"/>
      <c r="T5" s="85"/>
      <c r="U5" s="85"/>
    </row>
    <row r="6" spans="1:21">
      <c r="A6" s="85"/>
      <c r="B6" s="91" t="s">
        <v>188</v>
      </c>
      <c r="C6" s="92">
        <v>500</v>
      </c>
      <c r="D6" s="92">
        <v>0</v>
      </c>
      <c r="E6" s="92">
        <v>2493</v>
      </c>
      <c r="F6" s="92">
        <v>7</v>
      </c>
      <c r="G6" s="90">
        <f t="shared" si="0"/>
        <v>363265.71428571426</v>
      </c>
      <c r="H6" s="92">
        <v>0</v>
      </c>
      <c r="I6" s="92">
        <v>2459</v>
      </c>
      <c r="J6" s="92">
        <v>7</v>
      </c>
      <c r="K6" s="90">
        <f t="shared" si="1"/>
        <v>358311.42857142852</v>
      </c>
      <c r="L6" s="92">
        <v>0</v>
      </c>
      <c r="M6" s="92">
        <v>2550</v>
      </c>
      <c r="N6" s="92">
        <v>7</v>
      </c>
      <c r="O6" s="90">
        <f t="shared" si="2"/>
        <v>371571.42857142852</v>
      </c>
      <c r="P6" s="93">
        <f t="shared" si="3"/>
        <v>364382.8571428571</v>
      </c>
      <c r="Q6" s="93">
        <f t="shared" si="4"/>
        <v>6700.2168712996863</v>
      </c>
      <c r="R6" s="94">
        <f t="shared" si="5"/>
        <v>5.5615579368427026</v>
      </c>
      <c r="S6" s="98" t="s">
        <v>129</v>
      </c>
      <c r="T6" s="85"/>
      <c r="U6" s="85"/>
    </row>
    <row r="7" spans="1:21">
      <c r="A7" s="85"/>
      <c r="B7" s="91" t="s">
        <v>189</v>
      </c>
      <c r="C7" s="92">
        <v>500</v>
      </c>
      <c r="D7" s="92">
        <f>LOG(705/250)</f>
        <v>0.45024910831936105</v>
      </c>
      <c r="E7" s="92">
        <v>946</v>
      </c>
      <c r="F7" s="92">
        <v>7</v>
      </c>
      <c r="G7" s="90">
        <f>(E7/F7)*(1)*POWER(10,D7+2)</f>
        <v>38110.285714285717</v>
      </c>
      <c r="H7" s="92">
        <f>LOG(705/250)</f>
        <v>0.45024910831936105</v>
      </c>
      <c r="I7" s="92">
        <v>885</v>
      </c>
      <c r="J7" s="92">
        <v>7</v>
      </c>
      <c r="K7" s="90">
        <f t="shared" si="1"/>
        <v>363659.1428571429</v>
      </c>
      <c r="L7" s="92">
        <f>LOG(705/250)</f>
        <v>0.45024910831936105</v>
      </c>
      <c r="M7" s="92">
        <v>947</v>
      </c>
      <c r="N7" s="92">
        <v>7</v>
      </c>
      <c r="O7" s="90">
        <f>(M7/N7)*(1)*POWER(10,L7+2)</f>
        <v>38150.571428571435</v>
      </c>
      <c r="P7" s="93">
        <f t="shared" si="3"/>
        <v>146640.00000000003</v>
      </c>
      <c r="Q7" s="93">
        <f t="shared" si="4"/>
        <v>187944.09190121258</v>
      </c>
      <c r="R7" s="94">
        <f t="shared" si="5"/>
        <v>5.1662524519541604</v>
      </c>
      <c r="S7" s="85"/>
      <c r="T7" s="85"/>
      <c r="U7" s="85"/>
    </row>
    <row r="8" spans="1:21">
      <c r="A8" s="85"/>
      <c r="B8" s="91" t="s">
        <v>190</v>
      </c>
      <c r="C8" s="92">
        <v>500</v>
      </c>
      <c r="D8" s="92">
        <f>LOG(705/250)</f>
        <v>0.45024910831936105</v>
      </c>
      <c r="E8" s="92">
        <v>1248</v>
      </c>
      <c r="F8" s="92">
        <v>70</v>
      </c>
      <c r="G8" s="90">
        <f>(E8/F8)*(1)*POWER(10,D8+2)</f>
        <v>5027.6571428571442</v>
      </c>
      <c r="H8" s="92">
        <f>LOG(705/250)</f>
        <v>0.45024910831936105</v>
      </c>
      <c r="I8" s="92">
        <v>1303</v>
      </c>
      <c r="J8" s="92">
        <v>70</v>
      </c>
      <c r="K8" s="90">
        <f t="shared" si="1"/>
        <v>53542.131428571432</v>
      </c>
      <c r="L8" s="92">
        <f>LOG(705/250)</f>
        <v>0.45024910831936105</v>
      </c>
      <c r="M8" s="92">
        <v>1278</v>
      </c>
      <c r="N8" s="92">
        <v>70</v>
      </c>
      <c r="O8" s="90">
        <f>(M8/N8)*(1)*POWER(10,L8+2)</f>
        <v>5148.5142857142864</v>
      </c>
      <c r="P8" s="93">
        <f t="shared" si="3"/>
        <v>21239.434285714287</v>
      </c>
      <c r="Q8" s="93">
        <f t="shared" si="4"/>
        <v>27975.021602129429</v>
      </c>
      <c r="R8" s="94">
        <f t="shared" si="5"/>
        <v>4.3271429450900092</v>
      </c>
      <c r="S8" s="85"/>
      <c r="T8" s="85"/>
      <c r="U8" s="85"/>
    </row>
    <row r="9" spans="1:21">
      <c r="A9" s="85"/>
      <c r="B9" s="91" t="s">
        <v>191</v>
      </c>
      <c r="C9" s="92">
        <v>900</v>
      </c>
      <c r="D9" s="92">
        <v>2</v>
      </c>
      <c r="E9" s="92">
        <v>26822</v>
      </c>
      <c r="F9" s="92">
        <v>7</v>
      </c>
      <c r="G9" s="90">
        <f t="shared" si="0"/>
        <v>390834857.14285713</v>
      </c>
      <c r="H9" s="92">
        <v>2</v>
      </c>
      <c r="I9" s="92">
        <v>25452</v>
      </c>
      <c r="J9" s="92">
        <v>7</v>
      </c>
      <c r="K9" s="90">
        <f t="shared" si="1"/>
        <v>370872000</v>
      </c>
      <c r="L9" s="92">
        <v>2</v>
      </c>
      <c r="M9" s="92">
        <v>29126</v>
      </c>
      <c r="N9" s="92">
        <v>7</v>
      </c>
      <c r="O9" s="90">
        <f t="shared" si="2"/>
        <v>424407428.57142854</v>
      </c>
      <c r="P9" s="93">
        <f t="shared" si="3"/>
        <v>395371428.57142854</v>
      </c>
      <c r="Q9" s="93">
        <f t="shared" si="4"/>
        <v>27054498.485954784</v>
      </c>
      <c r="R9" s="94">
        <f t="shared" si="5"/>
        <v>8.5970052819172</v>
      </c>
      <c r="S9" s="85"/>
      <c r="T9" s="85"/>
      <c r="U9" s="85"/>
    </row>
    <row r="10" spans="1:21">
      <c r="A10" s="85"/>
      <c r="B10" s="91" t="s">
        <v>192</v>
      </c>
      <c r="C10" s="92">
        <v>900</v>
      </c>
      <c r="D10" s="92">
        <v>1</v>
      </c>
      <c r="E10" s="92">
        <v>11669</v>
      </c>
      <c r="F10" s="92">
        <v>7</v>
      </c>
      <c r="G10" s="90">
        <f t="shared" si="0"/>
        <v>17003399.999999996</v>
      </c>
      <c r="H10" s="92">
        <v>1</v>
      </c>
      <c r="I10" s="92">
        <v>13970</v>
      </c>
      <c r="J10" s="92">
        <v>20</v>
      </c>
      <c r="K10" s="90">
        <f t="shared" si="1"/>
        <v>7124700</v>
      </c>
      <c r="L10" s="92">
        <v>1</v>
      </c>
      <c r="M10" s="92">
        <v>12995</v>
      </c>
      <c r="N10" s="92">
        <v>7</v>
      </c>
      <c r="O10" s="90">
        <f t="shared" si="2"/>
        <v>18935571.428571429</v>
      </c>
      <c r="P10" s="93">
        <f t="shared" si="3"/>
        <v>14354557.142857142</v>
      </c>
      <c r="Q10" s="93">
        <f t="shared" si="4"/>
        <v>6335333.2459262749</v>
      </c>
      <c r="R10" s="94">
        <f t="shared" si="5"/>
        <v>7.1569897984779303</v>
      </c>
      <c r="S10" s="98" t="s">
        <v>129</v>
      </c>
      <c r="T10" s="85"/>
      <c r="U10" s="85"/>
    </row>
    <row r="11" spans="1:21">
      <c r="A11" s="85"/>
      <c r="B11" s="91" t="s">
        <v>193</v>
      </c>
      <c r="C11" s="92">
        <v>900</v>
      </c>
      <c r="D11" s="92">
        <v>1</v>
      </c>
      <c r="E11" s="92">
        <v>6123</v>
      </c>
      <c r="F11" s="92">
        <v>7</v>
      </c>
      <c r="G11" s="90">
        <f t="shared" si="0"/>
        <v>8922085.7142857127</v>
      </c>
      <c r="H11" s="92">
        <v>1</v>
      </c>
      <c r="I11" s="92">
        <v>6639</v>
      </c>
      <c r="J11" s="92">
        <v>7</v>
      </c>
      <c r="K11" s="90">
        <f t="shared" si="1"/>
        <v>9673971.4285714272</v>
      </c>
      <c r="L11" s="92">
        <v>1</v>
      </c>
      <c r="M11" s="92">
        <v>7021</v>
      </c>
      <c r="N11" s="92">
        <v>7</v>
      </c>
      <c r="O11" s="90">
        <f t="shared" si="2"/>
        <v>10230599.999999998</v>
      </c>
      <c r="P11" s="93">
        <f t="shared" si="3"/>
        <v>9608885.7142857127</v>
      </c>
      <c r="Q11" s="93">
        <f t="shared" si="4"/>
        <v>656680.68468065432</v>
      </c>
      <c r="R11" s="94">
        <f t="shared" si="5"/>
        <v>6.9826730280228597</v>
      </c>
      <c r="S11" s="98" t="s">
        <v>129</v>
      </c>
      <c r="T11" s="85"/>
      <c r="U11" s="85"/>
    </row>
    <row r="12" spans="1:21">
      <c r="A12" s="85"/>
      <c r="B12" s="91" t="s">
        <v>194</v>
      </c>
      <c r="C12" s="92">
        <v>900</v>
      </c>
      <c r="D12" s="92">
        <v>1</v>
      </c>
      <c r="E12" s="92">
        <v>29009</v>
      </c>
      <c r="F12" s="92">
        <v>7</v>
      </c>
      <c r="G12" s="90">
        <f t="shared" si="0"/>
        <v>42270257.142857142</v>
      </c>
      <c r="H12" s="92">
        <v>1</v>
      </c>
      <c r="I12" s="92">
        <v>29016</v>
      </c>
      <c r="J12" s="92">
        <v>7</v>
      </c>
      <c r="K12" s="90">
        <f t="shared" si="1"/>
        <v>42280457.142857134</v>
      </c>
      <c r="L12" s="92">
        <v>1</v>
      </c>
      <c r="M12" s="92">
        <v>31568</v>
      </c>
      <c r="N12" s="92">
        <v>7</v>
      </c>
      <c r="O12" s="90">
        <f t="shared" si="2"/>
        <v>45999085.714285709</v>
      </c>
      <c r="P12" s="93">
        <f t="shared" si="3"/>
        <v>43516599.999999993</v>
      </c>
      <c r="Q12" s="93">
        <f t="shared" si="4"/>
        <v>2149901.7422255576</v>
      </c>
      <c r="R12" s="94">
        <f t="shared" si="5"/>
        <v>7.6386549561082937</v>
      </c>
      <c r="S12" s="85"/>
      <c r="T12" s="85"/>
      <c r="U12" s="85"/>
    </row>
    <row r="13" spans="1:21">
      <c r="A13" s="85"/>
      <c r="B13" s="91" t="s">
        <v>195</v>
      </c>
      <c r="C13" s="92">
        <v>900</v>
      </c>
      <c r="D13" s="92">
        <v>1</v>
      </c>
      <c r="E13" s="92">
        <v>13542</v>
      </c>
      <c r="F13" s="92">
        <v>7</v>
      </c>
      <c r="G13" s="90">
        <f t="shared" si="0"/>
        <v>19732628.571428571</v>
      </c>
      <c r="H13" s="92">
        <v>1</v>
      </c>
      <c r="I13" s="92">
        <v>14070</v>
      </c>
      <c r="J13" s="92">
        <v>7</v>
      </c>
      <c r="K13" s="90">
        <f t="shared" si="1"/>
        <v>20502000</v>
      </c>
      <c r="L13" s="92">
        <v>1</v>
      </c>
      <c r="M13" s="92">
        <v>15197</v>
      </c>
      <c r="N13" s="92">
        <v>7</v>
      </c>
      <c r="O13" s="90">
        <f t="shared" si="2"/>
        <v>22144199.999999996</v>
      </c>
      <c r="P13" s="93">
        <f t="shared" si="3"/>
        <v>20792942.857142854</v>
      </c>
      <c r="Q13" s="93">
        <f t="shared" si="4"/>
        <v>1231829.938898768</v>
      </c>
      <c r="R13" s="94">
        <f t="shared" si="5"/>
        <v>7.3179159600467427</v>
      </c>
      <c r="S13" s="85"/>
      <c r="T13" s="85"/>
      <c r="U13" s="85"/>
    </row>
    <row r="14" spans="1:21">
      <c r="A14" s="85"/>
      <c r="B14" s="91" t="s">
        <v>196</v>
      </c>
      <c r="C14" s="92">
        <v>900</v>
      </c>
      <c r="D14" s="92">
        <v>1</v>
      </c>
      <c r="E14" s="92">
        <v>6282</v>
      </c>
      <c r="F14" s="92">
        <v>7</v>
      </c>
      <c r="G14" s="90">
        <f t="shared" si="0"/>
        <v>9153771.4285714291</v>
      </c>
      <c r="H14" s="92">
        <v>1</v>
      </c>
      <c r="I14" s="92">
        <v>6343</v>
      </c>
      <c r="J14" s="92">
        <v>7</v>
      </c>
      <c r="K14" s="90">
        <f t="shared" si="1"/>
        <v>9242657.1428571418</v>
      </c>
      <c r="L14" s="92">
        <v>1</v>
      </c>
      <c r="M14" s="92">
        <v>7014</v>
      </c>
      <c r="N14" s="92">
        <v>7</v>
      </c>
      <c r="O14" s="90">
        <f t="shared" si="2"/>
        <v>10220400</v>
      </c>
      <c r="P14" s="93">
        <f t="shared" si="3"/>
        <v>9538942.8571428563</v>
      </c>
      <c r="Q14" s="93">
        <f t="shared" si="4"/>
        <v>591830.25075969705</v>
      </c>
      <c r="R14" s="94">
        <f t="shared" si="5"/>
        <v>6.9795002471622967</v>
      </c>
      <c r="S14" s="85"/>
      <c r="T14" s="85"/>
      <c r="U14" s="85"/>
    </row>
    <row r="15" spans="1:21">
      <c r="A15" s="85"/>
      <c r="B15" s="91" t="s">
        <v>197</v>
      </c>
      <c r="C15" s="92">
        <v>900</v>
      </c>
      <c r="D15" s="92">
        <v>1</v>
      </c>
      <c r="E15" s="92">
        <v>3249</v>
      </c>
      <c r="F15" s="92">
        <v>7</v>
      </c>
      <c r="G15" s="90">
        <f t="shared" si="0"/>
        <v>4734257.1428571427</v>
      </c>
      <c r="H15" s="92">
        <v>1</v>
      </c>
      <c r="I15" s="92">
        <v>3902</v>
      </c>
      <c r="J15" s="92">
        <v>7</v>
      </c>
      <c r="K15" s="90">
        <f t="shared" si="1"/>
        <v>5685771.4285714282</v>
      </c>
      <c r="L15" s="92">
        <v>1</v>
      </c>
      <c r="M15" s="92">
        <v>3833</v>
      </c>
      <c r="N15" s="92">
        <v>7</v>
      </c>
      <c r="O15" s="90">
        <f t="shared" si="2"/>
        <v>5585228.5714285709</v>
      </c>
      <c r="P15" s="93">
        <f t="shared" si="3"/>
        <v>5335085.7142857136</v>
      </c>
      <c r="Q15" s="93">
        <f t="shared" si="4"/>
        <v>522755.62714741344</v>
      </c>
      <c r="R15" s="94">
        <f t="shared" si="5"/>
        <v>6.7271414012566968</v>
      </c>
      <c r="S15" s="85"/>
      <c r="T15" s="85"/>
      <c r="U15" s="85"/>
    </row>
    <row r="16" spans="1:21">
      <c r="A16" s="85"/>
      <c r="B16" s="91" t="s">
        <v>198</v>
      </c>
      <c r="C16" s="92">
        <v>900</v>
      </c>
      <c r="D16" s="92">
        <v>0</v>
      </c>
      <c r="E16" s="92">
        <v>12331</v>
      </c>
      <c r="F16" s="92">
        <v>7</v>
      </c>
      <c r="G16" s="90">
        <f t="shared" si="0"/>
        <v>1796802.857142857</v>
      </c>
      <c r="H16" s="92">
        <v>0</v>
      </c>
      <c r="I16" s="92">
        <v>13246</v>
      </c>
      <c r="J16" s="92">
        <v>7</v>
      </c>
      <c r="K16" s="90">
        <f t="shared" si="1"/>
        <v>1930131.4285714284</v>
      </c>
      <c r="L16" s="92">
        <v>0</v>
      </c>
      <c r="M16" s="92">
        <v>11745</v>
      </c>
      <c r="N16" s="92">
        <v>7</v>
      </c>
      <c r="O16" s="90">
        <f t="shared" si="2"/>
        <v>1711414.2857142854</v>
      </c>
      <c r="P16" s="93">
        <f t="shared" si="3"/>
        <v>1812782.857142857</v>
      </c>
      <c r="Q16" s="93">
        <f t="shared" si="4"/>
        <v>110230.74636823416</v>
      </c>
      <c r="R16" s="94">
        <f t="shared" si="5"/>
        <v>6.2583457855668376</v>
      </c>
      <c r="S16" s="85"/>
      <c r="T16" s="85"/>
      <c r="U16" s="85"/>
    </row>
    <row r="17" spans="1:21">
      <c r="A17" s="85"/>
      <c r="B17" s="91" t="s">
        <v>199</v>
      </c>
      <c r="C17" s="92">
        <v>900</v>
      </c>
      <c r="D17" s="92">
        <v>0</v>
      </c>
      <c r="E17" s="92">
        <v>6389</v>
      </c>
      <c r="F17" s="92">
        <v>7</v>
      </c>
      <c r="G17" s="90">
        <f t="shared" si="0"/>
        <v>930968.57142857136</v>
      </c>
      <c r="H17" s="92">
        <v>0</v>
      </c>
      <c r="I17" s="92">
        <v>4586</v>
      </c>
      <c r="J17" s="92">
        <v>7</v>
      </c>
      <c r="K17" s="90">
        <f t="shared" si="1"/>
        <v>668245.7142857142</v>
      </c>
      <c r="L17" s="92">
        <v>0</v>
      </c>
      <c r="M17" s="92">
        <v>5332</v>
      </c>
      <c r="N17" s="92">
        <v>7</v>
      </c>
      <c r="O17" s="90">
        <f t="shared" si="2"/>
        <v>776948.57142857136</v>
      </c>
      <c r="P17" s="93">
        <f t="shared" si="3"/>
        <v>792054.28571428556</v>
      </c>
      <c r="Q17" s="93">
        <f t="shared" si="4"/>
        <v>132011.21872548491</v>
      </c>
      <c r="R17" s="94">
        <f t="shared" si="5"/>
        <v>5.8987549482286576</v>
      </c>
      <c r="S17" s="85"/>
      <c r="T17" s="85"/>
      <c r="U17" s="85"/>
    </row>
    <row r="18" spans="1:21">
      <c r="A18" s="85"/>
      <c r="B18" s="91" t="s">
        <v>200</v>
      </c>
      <c r="C18" s="92">
        <v>900</v>
      </c>
      <c r="D18" s="92">
        <v>0</v>
      </c>
      <c r="E18" s="92">
        <v>2453</v>
      </c>
      <c r="F18" s="92">
        <v>7</v>
      </c>
      <c r="G18" s="90">
        <f t="shared" si="0"/>
        <v>357437.14285714284</v>
      </c>
      <c r="H18" s="92">
        <v>0</v>
      </c>
      <c r="I18" s="92">
        <v>2433</v>
      </c>
      <c r="J18" s="92">
        <v>7</v>
      </c>
      <c r="K18" s="90">
        <f t="shared" si="1"/>
        <v>354522.8571428571</v>
      </c>
      <c r="L18" s="92">
        <v>0</v>
      </c>
      <c r="M18" s="92">
        <v>1833</v>
      </c>
      <c r="N18" s="92">
        <v>7</v>
      </c>
      <c r="O18" s="90">
        <f t="shared" si="2"/>
        <v>267094.28571428568</v>
      </c>
      <c r="P18" s="93">
        <f t="shared" si="3"/>
        <v>326351.42857142852</v>
      </c>
      <c r="Q18" s="93">
        <f t="shared" si="4"/>
        <v>51338.874159841398</v>
      </c>
      <c r="R18" s="94">
        <f t="shared" si="5"/>
        <v>5.5136855181177333</v>
      </c>
      <c r="S18" s="85"/>
      <c r="T18" s="85"/>
      <c r="U18" s="85"/>
    </row>
    <row r="19" spans="1:21">
      <c r="A19" s="85"/>
      <c r="B19" s="91" t="s">
        <v>201</v>
      </c>
      <c r="C19" s="92">
        <v>900</v>
      </c>
      <c r="D19" s="92">
        <v>0</v>
      </c>
      <c r="E19" s="92">
        <v>2574</v>
      </c>
      <c r="F19" s="92">
        <v>14</v>
      </c>
      <c r="G19" s="90">
        <f t="shared" si="0"/>
        <v>187534.28571428571</v>
      </c>
      <c r="H19" s="92">
        <v>0</v>
      </c>
      <c r="I19" s="92">
        <v>1997</v>
      </c>
      <c r="J19" s="92">
        <v>14</v>
      </c>
      <c r="K19" s="90">
        <f t="shared" si="1"/>
        <v>145495.71428571429</v>
      </c>
      <c r="L19" s="92">
        <v>0</v>
      </c>
      <c r="M19" s="92">
        <v>1974</v>
      </c>
      <c r="N19" s="92">
        <v>14</v>
      </c>
      <c r="O19" s="90">
        <f t="shared" si="2"/>
        <v>143819.99999999997</v>
      </c>
      <c r="P19" s="93">
        <f t="shared" si="3"/>
        <v>158950</v>
      </c>
      <c r="Q19" s="93">
        <f t="shared" si="4"/>
        <v>24768.892727345858</v>
      </c>
      <c r="R19" s="94">
        <f t="shared" si="5"/>
        <v>5.2012605322507914</v>
      </c>
      <c r="S19" s="85"/>
      <c r="T19" s="85"/>
      <c r="U19" s="85"/>
    </row>
    <row r="20" spans="1:21" ht="15" thickBo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</row>
    <row r="21" spans="1:21" ht="43" thickBot="1">
      <c r="A21" s="85"/>
      <c r="B21" s="95" t="s">
        <v>4</v>
      </c>
      <c r="C21" s="95" t="s">
        <v>202</v>
      </c>
      <c r="D21" s="95" t="s">
        <v>203</v>
      </c>
      <c r="E21" s="95" t="s">
        <v>204</v>
      </c>
      <c r="F21" s="95" t="s">
        <v>205</v>
      </c>
      <c r="G21" s="96" t="s">
        <v>206</v>
      </c>
      <c r="H21" s="97" t="s">
        <v>207</v>
      </c>
      <c r="I21" s="97" t="s">
        <v>254</v>
      </c>
      <c r="J21" s="97" t="s">
        <v>255</v>
      </c>
      <c r="K21" s="97" t="s">
        <v>256</v>
      </c>
      <c r="L21" s="97" t="s">
        <v>257</v>
      </c>
      <c r="M21" s="98" t="s">
        <v>212</v>
      </c>
      <c r="N21" s="85"/>
      <c r="O21" s="85"/>
      <c r="P21" s="85"/>
      <c r="Q21" s="85"/>
      <c r="R21" s="85"/>
      <c r="S21" s="85"/>
      <c r="T21" s="85"/>
      <c r="U21" s="85"/>
    </row>
    <row r="22" spans="1:2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</row>
    <row r="23" spans="1:21">
      <c r="A23" s="85"/>
      <c r="B23" s="91" t="s">
        <v>186</v>
      </c>
      <c r="C23" s="99">
        <v>13.733217239379883</v>
      </c>
      <c r="D23" s="99">
        <v>13.964070320129395</v>
      </c>
      <c r="E23" s="99">
        <v>13.836982727050781</v>
      </c>
      <c r="F23" s="105">
        <f>AVERAGE(C23:E23)</f>
        <v>13.844756762186686</v>
      </c>
      <c r="G23" s="85">
        <f>150/100*180/4*1000/900</f>
        <v>75</v>
      </c>
      <c r="H23" s="114">
        <f>LOG(G23)/LOG(2)</f>
        <v>6.2288186904958813</v>
      </c>
      <c r="I23" s="99">
        <f>C23-H23</f>
        <v>7.5043985488840015</v>
      </c>
      <c r="J23" s="99">
        <f>D23-H23</f>
        <v>7.7352516296335132</v>
      </c>
      <c r="K23" s="99">
        <f>E23-H23</f>
        <v>7.6081640365548999</v>
      </c>
      <c r="L23" s="105">
        <f>AVERAGE(I23:K23)</f>
        <v>7.6159380716908052</v>
      </c>
      <c r="M23" s="85"/>
      <c r="N23" s="85"/>
      <c r="O23" s="85"/>
      <c r="P23" s="85"/>
      <c r="Q23" s="85"/>
      <c r="R23" s="85"/>
      <c r="S23" s="85"/>
      <c r="T23" s="85"/>
      <c r="U23" s="85"/>
    </row>
    <row r="24" spans="1:21">
      <c r="A24" s="85"/>
      <c r="B24" s="91" t="s">
        <v>187</v>
      </c>
      <c r="C24" s="99">
        <v>17.19072151184082</v>
      </c>
      <c r="D24" s="99">
        <v>17.22271728515625</v>
      </c>
      <c r="E24" s="99">
        <v>17.264667510986328</v>
      </c>
      <c r="F24" s="105">
        <f t="shared" ref="F24:F38" si="6">AVERAGE(C24:E24)</f>
        <v>17.226035435994465</v>
      </c>
      <c r="G24" s="85">
        <f t="shared" ref="G24:G27" si="7">150/100*180/4*1000/900</f>
        <v>75</v>
      </c>
      <c r="H24" s="114">
        <f t="shared" ref="H24:H37" si="8">LOG(G24)/LOG(2)</f>
        <v>6.2288186904958813</v>
      </c>
      <c r="I24" s="99">
        <f t="shared" ref="I24:I38" si="9">C24-H24</f>
        <v>10.961902821344939</v>
      </c>
      <c r="J24" s="99">
        <f t="shared" ref="J24:J38" si="10">D24-H24</f>
        <v>10.993898594660369</v>
      </c>
      <c r="K24" s="99">
        <f t="shared" ref="K24:K38" si="11">E24-H24</f>
        <v>11.035848820490447</v>
      </c>
      <c r="L24" s="105">
        <f t="shared" ref="L24:L38" si="12">AVERAGE(I24:K24)</f>
        <v>10.997216745498585</v>
      </c>
      <c r="M24" s="85"/>
      <c r="N24" s="85"/>
      <c r="O24" s="85"/>
      <c r="P24" s="85"/>
      <c r="Q24" s="85"/>
      <c r="R24" s="85"/>
      <c r="S24" s="85"/>
      <c r="T24" s="85"/>
      <c r="U24" s="85"/>
    </row>
    <row r="25" spans="1:21">
      <c r="A25" s="85"/>
      <c r="B25" s="91" t="s">
        <v>188</v>
      </c>
      <c r="C25" s="99">
        <v>20.897546768188477</v>
      </c>
      <c r="D25" s="99">
        <v>20.622665405273438</v>
      </c>
      <c r="E25" s="99">
        <v>20.75037956237793</v>
      </c>
      <c r="F25" s="105">
        <f t="shared" si="6"/>
        <v>20.756863911946613</v>
      </c>
      <c r="G25" s="85">
        <f t="shared" si="7"/>
        <v>75</v>
      </c>
      <c r="H25" s="114">
        <f t="shared" si="8"/>
        <v>6.2288186904958813</v>
      </c>
      <c r="I25" s="99">
        <f t="shared" si="9"/>
        <v>14.668728077692595</v>
      </c>
      <c r="J25" s="99">
        <f t="shared" si="10"/>
        <v>14.393846714777556</v>
      </c>
      <c r="K25" s="99">
        <f t="shared" si="11"/>
        <v>14.521560871882048</v>
      </c>
      <c r="L25" s="105">
        <f t="shared" si="12"/>
        <v>14.528045221450734</v>
      </c>
      <c r="M25" s="98" t="s">
        <v>129</v>
      </c>
      <c r="N25" s="85"/>
      <c r="O25" s="85"/>
      <c r="P25" s="85"/>
      <c r="Q25" s="85"/>
      <c r="R25" s="85"/>
      <c r="S25" s="85"/>
      <c r="T25" s="85"/>
      <c r="U25" s="85"/>
    </row>
    <row r="26" spans="1:21">
      <c r="A26" s="85"/>
      <c r="B26" s="91" t="s">
        <v>189</v>
      </c>
      <c r="C26" s="99">
        <v>25.132444381713867</v>
      </c>
      <c r="D26" s="99">
        <v>25.147838592529297</v>
      </c>
      <c r="E26" s="99">
        <v>25.181661605834961</v>
      </c>
      <c r="F26" s="105">
        <f t="shared" si="6"/>
        <v>25.153981526692707</v>
      </c>
      <c r="G26" s="85">
        <f t="shared" si="7"/>
        <v>75</v>
      </c>
      <c r="H26" s="114">
        <f t="shared" si="8"/>
        <v>6.2288186904958813</v>
      </c>
      <c r="I26" s="99">
        <f t="shared" si="9"/>
        <v>18.903625691217986</v>
      </c>
      <c r="J26" s="99">
        <f t="shared" si="10"/>
        <v>18.919019902033416</v>
      </c>
      <c r="K26" s="99">
        <f t="shared" si="11"/>
        <v>18.95284291533908</v>
      </c>
      <c r="L26" s="105">
        <f t="shared" si="12"/>
        <v>18.925162836196829</v>
      </c>
      <c r="M26" s="85"/>
      <c r="N26" s="85"/>
      <c r="O26" s="85"/>
      <c r="P26" s="85"/>
      <c r="Q26" s="85"/>
      <c r="R26" s="85"/>
      <c r="S26" s="85"/>
      <c r="T26" s="85"/>
      <c r="U26" s="85"/>
    </row>
    <row r="27" spans="1:21">
      <c r="A27" s="85"/>
      <c r="B27" s="91" t="s">
        <v>190</v>
      </c>
      <c r="C27" s="99">
        <v>28.415132522583008</v>
      </c>
      <c r="D27" s="99">
        <v>28.359806060791016</v>
      </c>
      <c r="E27" s="99">
        <v>28.363668441772461</v>
      </c>
      <c r="F27" s="105">
        <f t="shared" si="6"/>
        <v>28.379535675048828</v>
      </c>
      <c r="G27" s="85">
        <f t="shared" si="7"/>
        <v>75</v>
      </c>
      <c r="H27" s="114">
        <f t="shared" si="8"/>
        <v>6.2288186904958813</v>
      </c>
      <c r="I27" s="99">
        <f t="shared" si="9"/>
        <v>22.186313832087126</v>
      </c>
      <c r="J27" s="99">
        <f t="shared" si="10"/>
        <v>22.130987370295134</v>
      </c>
      <c r="K27" s="99">
        <f t="shared" si="11"/>
        <v>22.13484975127658</v>
      </c>
      <c r="L27" s="105">
        <f t="shared" si="12"/>
        <v>22.150716984552947</v>
      </c>
      <c r="M27" s="85"/>
      <c r="N27" s="85"/>
      <c r="O27" s="85"/>
      <c r="P27" s="85"/>
      <c r="Q27" s="85"/>
      <c r="R27" s="85"/>
      <c r="S27" s="85"/>
      <c r="T27" s="85"/>
      <c r="U27" s="85"/>
    </row>
    <row r="28" spans="1:21">
      <c r="A28" s="85"/>
      <c r="B28" s="91" t="s">
        <v>191</v>
      </c>
      <c r="C28" s="99">
        <v>14.936457633972168</v>
      </c>
      <c r="D28" s="99">
        <v>14.999619483947754</v>
      </c>
      <c r="E28" s="99">
        <v>15.074687957763672</v>
      </c>
      <c r="F28" s="105">
        <f t="shared" si="6"/>
        <v>15.003588358561197</v>
      </c>
      <c r="G28" s="85">
        <f>150/100*180/4*1000/500</f>
        <v>135</v>
      </c>
      <c r="H28" s="114">
        <f t="shared" si="8"/>
        <v>7.0768155970508309</v>
      </c>
      <c r="I28" s="99">
        <f t="shared" si="9"/>
        <v>7.8596420369213371</v>
      </c>
      <c r="J28" s="99">
        <f t="shared" si="10"/>
        <v>7.9228038868969231</v>
      </c>
      <c r="K28" s="99">
        <f t="shared" si="11"/>
        <v>7.997872360712841</v>
      </c>
      <c r="L28" s="105">
        <f t="shared" si="12"/>
        <v>7.9267727615103674</v>
      </c>
      <c r="M28" s="85"/>
      <c r="N28" s="85"/>
      <c r="O28" s="85"/>
      <c r="P28" s="85"/>
      <c r="Q28" s="85"/>
      <c r="R28" s="85"/>
      <c r="S28" s="85"/>
      <c r="T28" s="85"/>
      <c r="U28" s="85"/>
    </row>
    <row r="29" spans="1:21">
      <c r="A29" s="85"/>
      <c r="B29" s="91" t="s">
        <v>192</v>
      </c>
      <c r="C29" s="99">
        <v>16.18989372253418</v>
      </c>
      <c r="D29" s="99">
        <v>15.8782958984375</v>
      </c>
      <c r="E29" s="99">
        <v>15.960098266601562</v>
      </c>
      <c r="F29" s="105">
        <f t="shared" si="6"/>
        <v>16.009429295857746</v>
      </c>
      <c r="G29" s="85">
        <f t="shared" ref="G29:G37" si="13">150/100*180/4*1000/500</f>
        <v>135</v>
      </c>
      <c r="H29" s="114">
        <f t="shared" si="8"/>
        <v>7.0768155970508309</v>
      </c>
      <c r="I29" s="99">
        <f t="shared" si="9"/>
        <v>9.1130781254833479</v>
      </c>
      <c r="J29" s="99">
        <f t="shared" si="10"/>
        <v>8.8014803013866683</v>
      </c>
      <c r="K29" s="99">
        <f t="shared" si="11"/>
        <v>8.8832826695507308</v>
      </c>
      <c r="L29" s="105">
        <f t="shared" si="12"/>
        <v>8.9326136988069162</v>
      </c>
      <c r="M29" s="98" t="s">
        <v>129</v>
      </c>
      <c r="N29" s="85"/>
      <c r="O29" s="85"/>
      <c r="P29" s="85"/>
      <c r="Q29" s="85"/>
      <c r="R29" s="85"/>
      <c r="S29" s="85"/>
      <c r="T29" s="85"/>
      <c r="U29" s="85"/>
    </row>
    <row r="30" spans="1:21">
      <c r="A30" s="85"/>
      <c r="B30" s="91" t="s">
        <v>193</v>
      </c>
      <c r="C30" s="99">
        <v>16.854721069335938</v>
      </c>
      <c r="D30" s="99">
        <v>16.93126106262207</v>
      </c>
      <c r="E30" s="99">
        <v>17.05010986328125</v>
      </c>
      <c r="F30" s="105">
        <f t="shared" si="6"/>
        <v>16.945363998413086</v>
      </c>
      <c r="G30" s="85">
        <f t="shared" si="13"/>
        <v>135</v>
      </c>
      <c r="H30" s="114">
        <f t="shared" si="8"/>
        <v>7.0768155970508309</v>
      </c>
      <c r="I30" s="99">
        <f t="shared" si="9"/>
        <v>9.7779054722851058</v>
      </c>
      <c r="J30" s="99">
        <f t="shared" si="10"/>
        <v>9.8544454655712386</v>
      </c>
      <c r="K30" s="99">
        <f t="shared" si="11"/>
        <v>9.9732942662304183</v>
      </c>
      <c r="L30" s="105">
        <f t="shared" si="12"/>
        <v>9.8685484013622542</v>
      </c>
      <c r="M30" s="98" t="s">
        <v>129</v>
      </c>
      <c r="N30" s="85"/>
      <c r="O30" s="85"/>
      <c r="P30" s="85"/>
      <c r="Q30" s="85"/>
      <c r="R30" s="85"/>
      <c r="S30" s="85"/>
      <c r="T30" s="85"/>
      <c r="U30" s="85"/>
    </row>
    <row r="31" spans="1:21">
      <c r="A31" s="85"/>
      <c r="B31" s="91" t="s">
        <v>194</v>
      </c>
      <c r="C31" s="99">
        <v>18.072385787963867</v>
      </c>
      <c r="D31" s="99">
        <v>18.182058334350586</v>
      </c>
      <c r="E31" s="99">
        <v>18.225353240966797</v>
      </c>
      <c r="F31" s="105">
        <f t="shared" si="6"/>
        <v>18.159932454427082</v>
      </c>
      <c r="G31" s="85">
        <f t="shared" si="13"/>
        <v>135</v>
      </c>
      <c r="H31" s="114">
        <f t="shared" si="8"/>
        <v>7.0768155970508309</v>
      </c>
      <c r="I31" s="99">
        <f t="shared" si="9"/>
        <v>10.995570190913035</v>
      </c>
      <c r="J31" s="99">
        <f t="shared" si="10"/>
        <v>11.105242737299754</v>
      </c>
      <c r="K31" s="99">
        <f t="shared" si="11"/>
        <v>11.148537643915965</v>
      </c>
      <c r="L31" s="105">
        <f t="shared" si="12"/>
        <v>11.083116857376252</v>
      </c>
      <c r="M31" s="85"/>
      <c r="N31" s="85"/>
      <c r="O31" s="85"/>
      <c r="P31" s="85"/>
      <c r="Q31" s="85"/>
      <c r="R31" s="85"/>
      <c r="S31" s="85"/>
      <c r="T31" s="85"/>
      <c r="U31" s="85"/>
    </row>
    <row r="32" spans="1:21">
      <c r="A32" s="85"/>
      <c r="B32" s="91" t="s">
        <v>195</v>
      </c>
      <c r="C32" s="99">
        <v>20.280126571655273</v>
      </c>
      <c r="D32" s="99">
        <v>20.968669891357422</v>
      </c>
      <c r="E32" s="99">
        <v>20.306863784790039</v>
      </c>
      <c r="F32" s="105">
        <f t="shared" si="6"/>
        <v>20.518553415934246</v>
      </c>
      <c r="G32" s="85">
        <f t="shared" si="13"/>
        <v>135</v>
      </c>
      <c r="H32" s="114">
        <f t="shared" si="8"/>
        <v>7.0768155970508309</v>
      </c>
      <c r="I32" s="99">
        <f t="shared" si="9"/>
        <v>13.203310974604442</v>
      </c>
      <c r="J32" s="99">
        <f t="shared" si="10"/>
        <v>13.89185429430659</v>
      </c>
      <c r="K32" s="99">
        <f t="shared" si="11"/>
        <v>13.230048187739207</v>
      </c>
      <c r="L32" s="105">
        <f t="shared" si="12"/>
        <v>13.441737818883412</v>
      </c>
      <c r="M32" s="85"/>
      <c r="N32" s="85"/>
      <c r="O32" s="85"/>
      <c r="P32" s="85"/>
      <c r="Q32" s="85"/>
      <c r="R32" s="85"/>
      <c r="S32" s="85"/>
      <c r="T32" s="85"/>
      <c r="U32" s="85"/>
    </row>
    <row r="33" spans="1:21">
      <c r="A33" s="85"/>
      <c r="B33" s="91" t="s">
        <v>196</v>
      </c>
      <c r="C33" s="99">
        <v>21.049312591552734</v>
      </c>
      <c r="D33" s="99">
        <v>21.128349304199219</v>
      </c>
      <c r="E33" s="99">
        <v>21.15723991394043</v>
      </c>
      <c r="F33" s="105">
        <f t="shared" si="6"/>
        <v>21.111633936564129</v>
      </c>
      <c r="G33" s="85">
        <f t="shared" si="13"/>
        <v>135</v>
      </c>
      <c r="H33" s="114">
        <f t="shared" si="8"/>
        <v>7.0768155970508309</v>
      </c>
      <c r="I33" s="99">
        <f t="shared" si="9"/>
        <v>13.972496994501903</v>
      </c>
      <c r="J33" s="99">
        <f t="shared" si="10"/>
        <v>14.051533707148387</v>
      </c>
      <c r="K33" s="99">
        <f t="shared" si="11"/>
        <v>14.080424316889598</v>
      </c>
      <c r="L33" s="105">
        <f t="shared" si="12"/>
        <v>14.034818339513295</v>
      </c>
      <c r="M33" s="85"/>
      <c r="N33" s="85"/>
      <c r="O33" s="85"/>
      <c r="P33" s="85"/>
      <c r="Q33" s="85"/>
      <c r="R33" s="85"/>
      <c r="S33" s="85"/>
      <c r="T33" s="85"/>
      <c r="U33" s="85"/>
    </row>
    <row r="34" spans="1:21">
      <c r="A34" s="85"/>
      <c r="B34" s="91" t="s">
        <v>197</v>
      </c>
      <c r="C34" s="99">
        <v>21.142179489135742</v>
      </c>
      <c r="D34" s="99">
        <v>21.006193161010742</v>
      </c>
      <c r="E34" s="99">
        <v>21.079441070556641</v>
      </c>
      <c r="F34" s="105">
        <f t="shared" si="6"/>
        <v>21.075937906901043</v>
      </c>
      <c r="G34" s="85">
        <f t="shared" si="13"/>
        <v>135</v>
      </c>
      <c r="H34" s="114">
        <f t="shared" si="8"/>
        <v>7.0768155970508309</v>
      </c>
      <c r="I34" s="99">
        <f t="shared" si="9"/>
        <v>14.06536389208491</v>
      </c>
      <c r="J34" s="99">
        <f t="shared" si="10"/>
        <v>13.92937756395991</v>
      </c>
      <c r="K34" s="99">
        <f t="shared" si="11"/>
        <v>14.002625473505809</v>
      </c>
      <c r="L34" s="105">
        <f t="shared" si="12"/>
        <v>13.999122309850209</v>
      </c>
      <c r="M34" s="85"/>
      <c r="N34" s="85"/>
      <c r="O34" s="85"/>
      <c r="P34" s="85"/>
      <c r="Q34" s="85"/>
      <c r="R34" s="85"/>
      <c r="S34" s="85"/>
      <c r="T34" s="85"/>
      <c r="U34" s="85"/>
    </row>
    <row r="35" spans="1:21">
      <c r="A35" s="85"/>
      <c r="B35" s="91" t="s">
        <v>198</v>
      </c>
      <c r="C35" s="99">
        <v>22.919816970825195</v>
      </c>
      <c r="D35" s="99">
        <v>22.845848083496094</v>
      </c>
      <c r="E35" s="99">
        <v>22.840835571289062</v>
      </c>
      <c r="F35" s="105">
        <f t="shared" si="6"/>
        <v>22.868833541870117</v>
      </c>
      <c r="G35" s="85">
        <f t="shared" si="13"/>
        <v>135</v>
      </c>
      <c r="H35" s="114">
        <f t="shared" si="8"/>
        <v>7.0768155970508309</v>
      </c>
      <c r="I35" s="99">
        <f t="shared" si="9"/>
        <v>15.843001373774364</v>
      </c>
      <c r="J35" s="99">
        <f t="shared" si="10"/>
        <v>15.769032486445262</v>
      </c>
      <c r="K35" s="99">
        <f t="shared" si="11"/>
        <v>15.764019974238231</v>
      </c>
      <c r="L35" s="105">
        <f t="shared" si="12"/>
        <v>15.792017944819285</v>
      </c>
      <c r="M35" s="85"/>
      <c r="N35" s="85"/>
      <c r="O35" s="85"/>
      <c r="P35" s="85"/>
      <c r="Q35" s="85"/>
      <c r="R35" s="85"/>
      <c r="S35" s="85"/>
      <c r="T35" s="85"/>
      <c r="U35" s="85"/>
    </row>
    <row r="36" spans="1:21">
      <c r="A36" s="85"/>
      <c r="B36" s="91" t="s">
        <v>199</v>
      </c>
      <c r="C36" s="99">
        <v>23.948450088500977</v>
      </c>
      <c r="D36" s="99">
        <v>24.184415817260742</v>
      </c>
      <c r="E36" s="99">
        <v>24.005857467651367</v>
      </c>
      <c r="F36" s="105">
        <f t="shared" si="6"/>
        <v>24.046241124471027</v>
      </c>
      <c r="G36" s="85">
        <f t="shared" si="13"/>
        <v>135</v>
      </c>
      <c r="H36" s="114">
        <f t="shared" si="8"/>
        <v>7.0768155970508309</v>
      </c>
      <c r="I36" s="99">
        <f t="shared" si="9"/>
        <v>16.871634491450145</v>
      </c>
      <c r="J36" s="99">
        <f t="shared" si="10"/>
        <v>17.10760022020991</v>
      </c>
      <c r="K36" s="99">
        <f t="shared" si="11"/>
        <v>16.929041870600535</v>
      </c>
      <c r="L36" s="105">
        <f t="shared" si="12"/>
        <v>16.969425527420196</v>
      </c>
      <c r="M36" s="85"/>
      <c r="N36" s="85"/>
      <c r="O36" s="85"/>
      <c r="P36" s="85"/>
      <c r="Q36" s="85"/>
      <c r="R36" s="85"/>
      <c r="S36" s="85"/>
      <c r="T36" s="85"/>
      <c r="U36" s="85"/>
    </row>
    <row r="37" spans="1:21">
      <c r="A37" s="85"/>
      <c r="B37" s="91" t="s">
        <v>200</v>
      </c>
      <c r="C37" s="99">
        <v>24.632528305053711</v>
      </c>
      <c r="D37" s="99">
        <v>24.451812744140625</v>
      </c>
      <c r="E37" s="99">
        <v>24.549453735351562</v>
      </c>
      <c r="F37" s="105">
        <f t="shared" si="6"/>
        <v>24.544598261515301</v>
      </c>
      <c r="G37" s="85">
        <f t="shared" si="13"/>
        <v>135</v>
      </c>
      <c r="H37" s="114">
        <f t="shared" si="8"/>
        <v>7.0768155970508309</v>
      </c>
      <c r="I37" s="99">
        <f t="shared" si="9"/>
        <v>17.555712708002879</v>
      </c>
      <c r="J37" s="99">
        <f t="shared" si="10"/>
        <v>17.374997147089793</v>
      </c>
      <c r="K37" s="99">
        <f t="shared" si="11"/>
        <v>17.472638138300731</v>
      </c>
      <c r="L37" s="105">
        <f t="shared" si="12"/>
        <v>17.467782664464469</v>
      </c>
      <c r="M37" s="85"/>
      <c r="N37" s="85"/>
      <c r="O37" s="85"/>
      <c r="P37" s="85"/>
      <c r="Q37" s="85"/>
      <c r="R37" s="85"/>
      <c r="S37" s="85"/>
      <c r="T37" s="85"/>
      <c r="U37" s="85"/>
    </row>
    <row r="38" spans="1:21">
      <c r="A38" s="85"/>
      <c r="B38" s="91" t="s">
        <v>201</v>
      </c>
      <c r="C38" s="92"/>
      <c r="D38" s="92"/>
      <c r="E38" s="92"/>
      <c r="F38" s="105" t="e">
        <f t="shared" si="6"/>
        <v>#DIV/0!</v>
      </c>
      <c r="G38" s="85">
        <v>0</v>
      </c>
      <c r="H38" s="114">
        <v>0</v>
      </c>
      <c r="I38" s="99">
        <f t="shared" si="9"/>
        <v>0</v>
      </c>
      <c r="J38" s="99">
        <f t="shared" si="10"/>
        <v>0</v>
      </c>
      <c r="K38" s="99">
        <f t="shared" si="11"/>
        <v>0</v>
      </c>
      <c r="L38" s="105">
        <f t="shared" si="12"/>
        <v>0</v>
      </c>
      <c r="M38" s="85"/>
      <c r="N38" s="85"/>
      <c r="O38" s="85"/>
      <c r="P38" s="85"/>
      <c r="Q38" s="85"/>
      <c r="R38" s="85"/>
      <c r="S38" s="85"/>
      <c r="T38" s="85"/>
      <c r="U38" s="85"/>
    </row>
    <row r="39" spans="1:21">
      <c r="A39" s="85"/>
      <c r="B39" s="85"/>
      <c r="C39" s="85"/>
      <c r="D39" s="85"/>
      <c r="E39" s="85"/>
      <c r="F39" s="114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</row>
    <row r="40" spans="1:21">
      <c r="A40" s="85"/>
      <c r="B40" s="91" t="s">
        <v>270</v>
      </c>
      <c r="C40" s="99">
        <v>14.390941619873047</v>
      </c>
      <c r="D40" s="99">
        <v>14.411395072937012</v>
      </c>
      <c r="E40" s="99">
        <v>14.301624298095703</v>
      </c>
      <c r="F40" s="105">
        <f>AVERAGE(C40:E40)</f>
        <v>14.367986996968588</v>
      </c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</row>
    <row r="41" spans="1:2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</row>
    <row r="42" spans="1:21">
      <c r="A42" s="85"/>
      <c r="B42" s="98" t="s">
        <v>214</v>
      </c>
      <c r="C42" s="85" t="s">
        <v>215</v>
      </c>
      <c r="D42" s="85"/>
      <c r="E42" s="85"/>
      <c r="F42" t="s">
        <v>259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</row>
    <row r="43" spans="1:21">
      <c r="A43" s="85"/>
      <c r="B43" s="85" t="s">
        <v>260</v>
      </c>
      <c r="C43" s="85" t="s">
        <v>215</v>
      </c>
      <c r="D43" s="85"/>
      <c r="E43" s="85"/>
      <c r="F43">
        <v>0.35990572856564834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</row>
    <row r="44" spans="1:21">
      <c r="A44" s="85"/>
      <c r="B44" s="85"/>
      <c r="C44" s="102" t="s">
        <v>217</v>
      </c>
      <c r="D44" s="125">
        <v>-3.2483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</row>
    <row r="45" spans="1:21">
      <c r="A45" s="85"/>
      <c r="B45" s="85"/>
      <c r="C45" s="102" t="s">
        <v>218</v>
      </c>
      <c r="D45" s="100">
        <v>36.023000000000003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</row>
    <row r="46" spans="1:2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</row>
    <row r="47" spans="1:2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</row>
    <row r="48" spans="1:21">
      <c r="A48" s="85"/>
      <c r="B48" s="98" t="s">
        <v>219</v>
      </c>
      <c r="C48" s="85"/>
      <c r="D48" s="85">
        <f>-1+ POWER(10,-(1/D44))</f>
        <v>1.0316707994539165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</row>
    <row r="49" spans="1:2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</row>
    <row r="50" spans="1:2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</row>
    <row r="51" spans="1:2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</row>
    <row r="52" spans="1:2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</row>
    <row r="53" spans="1:2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50" workbookViewId="0">
      <selection activeCell="A67" sqref="A67:H75"/>
    </sheetView>
  </sheetViews>
  <sheetFormatPr baseColWidth="10" defaultRowHeight="14" x14ac:dyDescent="0"/>
  <cols>
    <col min="16" max="16" width="13.5" customWidth="1"/>
    <col min="17" max="17" width="11.33203125" customWidth="1"/>
    <col min="19" max="19" width="15.33203125" customWidth="1"/>
  </cols>
  <sheetData>
    <row r="1" spans="1:19">
      <c r="A1" s="103" t="s">
        <v>271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19">
      <c r="A2" s="134" t="s">
        <v>4</v>
      </c>
      <c r="B2" s="134" t="s">
        <v>117</v>
      </c>
      <c r="C2" s="134" t="s">
        <v>117</v>
      </c>
      <c r="D2" s="134" t="s">
        <v>5</v>
      </c>
      <c r="E2" s="146" t="s">
        <v>221</v>
      </c>
      <c r="F2" s="146" t="s">
        <v>222</v>
      </c>
      <c r="G2" s="146" t="s">
        <v>223</v>
      </c>
      <c r="H2" s="148" t="s">
        <v>224</v>
      </c>
      <c r="I2" s="148" t="s">
        <v>225</v>
      </c>
      <c r="J2" s="148" t="s">
        <v>226</v>
      </c>
      <c r="K2" s="146" t="s">
        <v>227</v>
      </c>
      <c r="L2" s="146" t="s">
        <v>228</v>
      </c>
      <c r="M2" s="146" t="s">
        <v>229</v>
      </c>
      <c r="N2" s="146" t="s">
        <v>230</v>
      </c>
      <c r="O2" s="146" t="s">
        <v>231</v>
      </c>
      <c r="P2" s="148" t="s">
        <v>232</v>
      </c>
      <c r="Q2" s="148" t="s">
        <v>263</v>
      </c>
      <c r="R2" s="148" t="s">
        <v>234</v>
      </c>
      <c r="S2" s="148" t="s">
        <v>235</v>
      </c>
    </row>
    <row r="3" spans="1:19">
      <c r="A3" s="135"/>
      <c r="B3" s="135"/>
      <c r="C3" s="135"/>
      <c r="D3" s="135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9">
        <v>25.330696105957031</v>
      </c>
      <c r="F4" s="99">
        <v>25.219751358032227</v>
      </c>
      <c r="G4" s="105">
        <v>25.286417007446289</v>
      </c>
      <c r="H4" s="111">
        <f>E4-$H$75+$H$77</f>
        <v>25.064464932593744</v>
      </c>
      <c r="I4" s="111">
        <f t="shared" ref="I4:J4" si="1">F4-$H$75+$H$77</f>
        <v>24.953520184668939</v>
      </c>
      <c r="J4" s="111">
        <f t="shared" si="1"/>
        <v>25.020185834083001</v>
      </c>
      <c r="K4" s="105">
        <f>((H4-'Calibration F. prausnitzii'!$D$45)/'Calibration F. prausnitzii'!$D$44)+$B$27</f>
        <v>7.0268341212026932</v>
      </c>
      <c r="L4" s="105">
        <f>((I4-'Calibration F. prausnitzii'!$D$45)/'Calibration F. prausnitzii'!$D$44)+$B$27</f>
        <v>7.0609888322591861</v>
      </c>
      <c r="M4" s="105">
        <f>((J4-'Calibration F. prausnitzii'!$D$45)/'Calibration F. prausnitzii'!$D$44)+$B$27</f>
        <v>7.0404655895124986</v>
      </c>
      <c r="N4" s="106">
        <f>AVERAGE(K4:M4)</f>
        <v>7.0427628476581257</v>
      </c>
      <c r="O4" s="106">
        <f>STDEV(K4:M4)</f>
        <v>1.7192850783941175E-2</v>
      </c>
      <c r="P4" s="107">
        <f>(AVERAGE(POWER(10,K4),POWER(10,L4),POWER(10,M4)))*(Calculation!$I4/Calculation!$K3)</f>
        <v>11060396.283325432</v>
      </c>
      <c r="Q4" s="107">
        <f>(STDEV(POWER(10,K4),POWER(10,L4),POWER(10,M4))*(Calculation!$I4/Calculation!$K3))</f>
        <v>439474.77144224441</v>
      </c>
      <c r="R4" s="106">
        <f>LOG(P4)</f>
        <v>7.04377068759963</v>
      </c>
      <c r="S4" s="106">
        <f>O4*(Calculation!$I4/Calculation!$K3)</f>
        <v>1.7223773177437472E-2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9">
        <v>25.977439880371094</v>
      </c>
      <c r="F5" s="99">
        <v>25.984025955200195</v>
      </c>
      <c r="G5" s="105">
        <v>26.19758415222168</v>
      </c>
      <c r="H5" s="111">
        <f t="shared" ref="H5:H10" si="2">E5-$H$75+$H$77</f>
        <v>25.711208707007806</v>
      </c>
      <c r="I5" s="111">
        <f t="shared" ref="I5:I10" si="3">F5-$H$75+$H$77</f>
        <v>25.717794781836908</v>
      </c>
      <c r="J5" s="111">
        <f t="shared" ref="J5:J10" si="4">G5-$H$75+$H$77</f>
        <v>25.931352978858392</v>
      </c>
      <c r="K5" s="105">
        <f>((H5-'Calibration F. prausnitzii'!$D$45)/'Calibration F. prausnitzii'!$D$44)+$B$27</f>
        <v>6.8277318909856373</v>
      </c>
      <c r="L5" s="105">
        <f>((I5-'Calibration F. prausnitzii'!$D$45)/'Calibration F. prausnitzii'!$D$44)+$B$27</f>
        <v>6.8257043458607711</v>
      </c>
      <c r="M5" s="105">
        <f>((J5-'Calibration F. prausnitzii'!$D$45)/'Calibration F. prausnitzii'!$D$44)+$B$27</f>
        <v>6.7599597419074779</v>
      </c>
      <c r="N5" s="106">
        <f t="shared" ref="N5:N17" si="5">AVERAGE(K5:M5)</f>
        <v>6.8044653262512957</v>
      </c>
      <c r="O5" s="106">
        <f t="shared" ref="O5:O17" si="6">STDEV(K5:M5)</f>
        <v>3.8556296673135398E-2</v>
      </c>
      <c r="P5" s="107">
        <f>(AVERAGE(POWER(10,K5),POWER(10,L5),POWER(10,M5)))*(Calculation!$I5/Calculation!$K4)</f>
        <v>6410640.5911754612</v>
      </c>
      <c r="Q5" s="107">
        <f>(STDEV(POWER(10,K5),POWER(10,L5),POWER(10,M5))*(Calculation!$I5/Calculation!$K4))</f>
        <v>553892.61164170119</v>
      </c>
      <c r="R5" s="106">
        <f t="shared" ref="R5:R17" si="7">LOG(P5)</f>
        <v>6.8069014290995034</v>
      </c>
      <c r="S5" s="106">
        <f>O5*(Calculation!$I5/Calculation!$K4)</f>
        <v>3.8673240364756271E-2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24.782810211181641</v>
      </c>
      <c r="F6" s="99">
        <v>24.798011779785156</v>
      </c>
      <c r="G6" s="105">
        <v>25.475336074829102</v>
      </c>
      <c r="H6" s="111">
        <f t="shared" si="2"/>
        <v>24.516579037818353</v>
      </c>
      <c r="I6" s="111">
        <f t="shared" si="3"/>
        <v>24.531780606421869</v>
      </c>
      <c r="J6" s="111">
        <f t="shared" si="4"/>
        <v>25.209104901465814</v>
      </c>
      <c r="K6" s="105">
        <f>((H6-'Calibration F. prausnitzii'!$D$45)/'Calibration F. prausnitzii'!$D$44)+$B$27</f>
        <v>7.1955026231192001</v>
      </c>
      <c r="L6" s="105">
        <f>((I6-'Calibration F. prausnitzii'!$D$45)/'Calibration F. prausnitzii'!$D$44)+$B$27</f>
        <v>7.1908227694715947</v>
      </c>
      <c r="M6" s="105">
        <f>((J6-'Calibration F. prausnitzii'!$D$45)/'Calibration F. prausnitzii'!$D$44)+$B$27</f>
        <v>6.9823062238803804</v>
      </c>
      <c r="N6" s="106">
        <f t="shared" si="5"/>
        <v>7.1228772054903926</v>
      </c>
      <c r="O6" s="106">
        <f t="shared" si="6"/>
        <v>0.12176052689867256</v>
      </c>
      <c r="P6" s="107">
        <f>(AVERAGE(POWER(10,K6),POWER(10,L6),POWER(10,M6)))*(Calculation!$I6/Calculation!$K5)</f>
        <v>13668429.366608694</v>
      </c>
      <c r="Q6" s="107">
        <f>(STDEV(POWER(10,K6),POWER(10,L6),POWER(10,M6))*(Calculation!$I6/Calculation!$K5))</f>
        <v>3482694.5554302623</v>
      </c>
      <c r="R6" s="106">
        <f t="shared" si="7"/>
        <v>7.1357186128410959</v>
      </c>
      <c r="S6" s="106">
        <f>O6*(Calculation!$I6/Calculation!$K5)</f>
        <v>0.1223612869177215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24.849061965942383</v>
      </c>
      <c r="F7" s="99">
        <v>25.3433837890625</v>
      </c>
      <c r="G7" s="105">
        <v>26.141996383666992</v>
      </c>
      <c r="H7" s="111">
        <f t="shared" si="2"/>
        <v>24.582830792579095</v>
      </c>
      <c r="I7" s="111">
        <f t="shared" si="3"/>
        <v>25.077152615699212</v>
      </c>
      <c r="J7" s="111">
        <f t="shared" si="4"/>
        <v>25.875765210303705</v>
      </c>
      <c r="K7" s="105">
        <f>((H7-'Calibration F. prausnitzii'!$D$45)/'Calibration F. prausnitzii'!$D$44)+$B$27</f>
        <v>7.1751067992233963</v>
      </c>
      <c r="L7" s="105">
        <f>((I7-'Calibration F. prausnitzii'!$D$45)/'Calibration F. prausnitzii'!$D$44)+$B$27</f>
        <v>7.022928175598695</v>
      </c>
      <c r="M7" s="105">
        <f>((J7-'Calibration F. prausnitzii'!$D$45)/'Calibration F. prausnitzii'!$D$44)+$B$27</f>
        <v>6.777072622046223</v>
      </c>
      <c r="N7" s="106">
        <f t="shared" si="5"/>
        <v>6.9917025322894375</v>
      </c>
      <c r="O7" s="106">
        <f t="shared" si="6"/>
        <v>0.20084591643928204</v>
      </c>
      <c r="P7" s="107">
        <f>(AVERAGE(POWER(10,K7),POWER(10,L7),POWER(10,M7)))*(Calculation!$I7/Calculation!$K6)</f>
        <v>10583784.467669589</v>
      </c>
      <c r="Q7" s="107">
        <f>(STDEV(POWER(10,K7),POWER(10,L7),POWER(10,M7))*(Calculation!$I7/Calculation!$K6))</f>
        <v>4527423.1447057026</v>
      </c>
      <c r="R7" s="106">
        <f t="shared" si="7"/>
        <v>7.0246409871266424</v>
      </c>
      <c r="S7" s="106">
        <f>O7*(Calculation!$I7/Calculation!$K6)</f>
        <v>0.20249176889136739</v>
      </c>
    </row>
    <row r="8" spans="1:19">
      <c r="A8" s="40">
        <v>4</v>
      </c>
      <c r="B8" s="32">
        <v>80</v>
      </c>
      <c r="C8" s="32">
        <f t="shared" ref="C8:C18" si="8">C7+B8</f>
        <v>360</v>
      </c>
      <c r="D8" s="13">
        <f t="shared" si="0"/>
        <v>6</v>
      </c>
      <c r="E8" s="99">
        <v>23.681369781494141</v>
      </c>
      <c r="F8" s="99">
        <v>23.67628288269043</v>
      </c>
      <c r="G8" s="105">
        <v>24.747810363769531</v>
      </c>
      <c r="H8" s="111">
        <f t="shared" si="2"/>
        <v>23.415138608130853</v>
      </c>
      <c r="I8" s="111">
        <f t="shared" si="3"/>
        <v>23.410051709327142</v>
      </c>
      <c r="J8" s="111">
        <f t="shared" si="4"/>
        <v>24.481579190406244</v>
      </c>
      <c r="K8" s="105">
        <f>((H8-'Calibration F. prausnitzii'!$D$45)/'Calibration F. prausnitzii'!$D$44)+$B$27</f>
        <v>7.5345847367440193</v>
      </c>
      <c r="L8" s="105">
        <f>((I8-'Calibration F. prausnitzii'!$D$45)/'Calibration F. prausnitzii'!$D$44)+$B$27</f>
        <v>7.5361507555242158</v>
      </c>
      <c r="M8" s="105">
        <f>((J8-'Calibration F. prausnitzii'!$D$45)/'Calibration F. prausnitzii'!$D$44)+$B$27</f>
        <v>7.2062774429979397</v>
      </c>
      <c r="N8" s="106">
        <f t="shared" si="5"/>
        <v>7.4256709784220583</v>
      </c>
      <c r="O8" s="106">
        <f t="shared" si="6"/>
        <v>0.1900019885241348</v>
      </c>
      <c r="P8" s="107">
        <f>(AVERAGE(POWER(10,K8),POWER(10,L8),POWER(10,M8)))*(Calculation!$I8/Calculation!$K7)</f>
        <v>28575583.523454778</v>
      </c>
      <c r="Q8" s="107">
        <f>(STDEV(POWER(10,K8),POWER(10,L8),POWER(10,M8))*(Calculation!$I8/Calculation!$K7))</f>
        <v>10651718.653387574</v>
      </c>
      <c r="R8" s="106">
        <f t="shared" si="7"/>
        <v>7.4559951076037665</v>
      </c>
      <c r="S8" s="106">
        <f>O8*(Calculation!$I8/Calculation!$K7)</f>
        <v>0.1923247047308152</v>
      </c>
    </row>
    <row r="9" spans="1:19">
      <c r="A9" s="40">
        <v>5</v>
      </c>
      <c r="B9" s="32">
        <v>80</v>
      </c>
      <c r="C9" s="32">
        <f t="shared" si="8"/>
        <v>440</v>
      </c>
      <c r="D9" s="13">
        <f t="shared" si="0"/>
        <v>7.333333333333333</v>
      </c>
      <c r="E9" s="99">
        <v>23.768320083618164</v>
      </c>
      <c r="F9" s="99">
        <v>24.368362426757812</v>
      </c>
      <c r="G9" s="105">
        <v>23.735807418823242</v>
      </c>
      <c r="H9" s="111">
        <f t="shared" si="2"/>
        <v>23.502088910254876</v>
      </c>
      <c r="I9" s="111">
        <f t="shared" si="3"/>
        <v>24.102131253394525</v>
      </c>
      <c r="J9" s="111">
        <f t="shared" si="4"/>
        <v>23.469576245459955</v>
      </c>
      <c r="K9" s="105">
        <f>((H9-'Calibration F. prausnitzii'!$D$45)/'Calibration F. prausnitzii'!$D$44)+$B$27</f>
        <v>7.5078167959368205</v>
      </c>
      <c r="L9" s="105">
        <f>((I9-'Calibration F. prausnitzii'!$D$45)/'Calibration F. prausnitzii'!$D$44)+$B$27</f>
        <v>7.3230917572582355</v>
      </c>
      <c r="M9" s="105">
        <f>((J9-'Calibration F. prausnitzii'!$D$45)/'Calibration F. prausnitzii'!$D$44)+$B$27</f>
        <v>7.5178259283429787</v>
      </c>
      <c r="N9" s="106">
        <f t="shared" si="5"/>
        <v>7.4495781605126785</v>
      </c>
      <c r="O9" s="106">
        <f t="shared" si="6"/>
        <v>0.10965470048778178</v>
      </c>
      <c r="P9" s="107">
        <f>(AVERAGE(POWER(10,K9),POWER(10,L9),POWER(10,M9)))*(Calculation!$I9/Calculation!$K8)</f>
        <v>29239579.134559102</v>
      </c>
      <c r="Q9" s="107">
        <f>(STDEV(POWER(10,K9),POWER(10,L9),POWER(10,M9))*(Calculation!$I9/Calculation!$K8))</f>
        <v>6786027.9775873339</v>
      </c>
      <c r="R9" s="106">
        <f t="shared" si="7"/>
        <v>7.4659711172306231</v>
      </c>
      <c r="S9" s="106">
        <f>O9*(Calculation!$I9/Calculation!$K8)</f>
        <v>0.11160338852157424</v>
      </c>
    </row>
    <row r="10" spans="1:19">
      <c r="A10" s="40">
        <v>6</v>
      </c>
      <c r="B10" s="32">
        <v>80</v>
      </c>
      <c r="C10" s="32">
        <f t="shared" si="8"/>
        <v>520</v>
      </c>
      <c r="D10" s="13">
        <f t="shared" si="0"/>
        <v>8.6666666666666661</v>
      </c>
      <c r="E10" s="99">
        <v>23.150882720947266</v>
      </c>
      <c r="F10" s="99">
        <v>23.530864715576172</v>
      </c>
      <c r="G10" s="105">
        <v>23.203359603881836</v>
      </c>
      <c r="H10" s="111">
        <f t="shared" si="2"/>
        <v>22.884651547583978</v>
      </c>
      <c r="I10" s="111">
        <f t="shared" si="3"/>
        <v>23.264633542212884</v>
      </c>
      <c r="J10" s="111">
        <f t="shared" si="4"/>
        <v>22.937128430518548</v>
      </c>
      <c r="K10" s="105">
        <f>((H10-'Calibration F. prausnitzii'!$D$45)/'Calibration F. prausnitzii'!$D$44)+$B$27</f>
        <v>7.6978969494543215</v>
      </c>
      <c r="L10" s="105">
        <f>((I10-'Calibration F. prausnitzii'!$D$45)/'Calibration F. prausnitzii'!$D$44)+$B$27</f>
        <v>7.5809182237735335</v>
      </c>
      <c r="M10" s="105">
        <f>((J10-'Calibration F. prausnitzii'!$D$45)/'Calibration F. prausnitzii'!$D$44)+$B$27</f>
        <v>7.6817417658399485</v>
      </c>
      <c r="N10" s="106">
        <f t="shared" si="5"/>
        <v>7.6535189796892675</v>
      </c>
      <c r="O10" s="106">
        <f t="shared" si="6"/>
        <v>6.3390849568810387E-2</v>
      </c>
      <c r="P10" s="107">
        <f>(AVERAGE(POWER(10,K10),POWER(10,L10),POWER(10,M10)))*(Calculation!$I10/Calculation!$K9)</f>
        <v>46507602.412510417</v>
      </c>
      <c r="Q10" s="107">
        <f>(STDEV(POWER(10,K10),POWER(10,L10),POWER(10,M10))*(Calculation!$I10/Calculation!$K9))</f>
        <v>6502277.014188054</v>
      </c>
      <c r="R10" s="106">
        <f t="shared" si="7"/>
        <v>7.6675239510820186</v>
      </c>
      <c r="S10" s="106">
        <f>O10*(Calculation!$I10/Calculation!$K9)</f>
        <v>6.5017864060026354E-2</v>
      </c>
    </row>
    <row r="11" spans="1:19">
      <c r="A11" s="40">
        <v>7</v>
      </c>
      <c r="B11" s="32">
        <v>80</v>
      </c>
      <c r="C11" s="32">
        <f t="shared" si="8"/>
        <v>600</v>
      </c>
      <c r="D11" s="13">
        <f t="shared" si="0"/>
        <v>10</v>
      </c>
      <c r="E11" s="99">
        <v>21.912723541259766</v>
      </c>
      <c r="F11" s="99">
        <v>21.690973281860352</v>
      </c>
      <c r="G11" s="105">
        <v>22.351467132568359</v>
      </c>
      <c r="H11" s="111">
        <f t="shared" ref="H11:H20" si="9">E11-$H$72+$H$77</f>
        <v>21.318993296139478</v>
      </c>
      <c r="I11" s="111">
        <f t="shared" ref="I11:I20" si="10">F11-$H$72+$H$77</f>
        <v>21.097243036740064</v>
      </c>
      <c r="J11" s="111">
        <f t="shared" ref="J11:J20" si="11">G11-$H$72+$H$77</f>
        <v>21.757736887448072</v>
      </c>
      <c r="K11" s="105">
        <f>((H11-'Calibration F. prausnitzii'!$D$45)/'Calibration F. prausnitzii'!$D$44)+$B$27</f>
        <v>8.1798900693768974</v>
      </c>
      <c r="L11" s="105">
        <f>((I11-'Calibration F. prausnitzii'!$D$45)/'Calibration F. prausnitzii'!$D$44)+$B$27</f>
        <v>8.2481566270838247</v>
      </c>
      <c r="M11" s="105">
        <f>((J11-'Calibration F. prausnitzii'!$D$45)/'Calibration F. prausnitzii'!$D$44)+$B$27</f>
        <v>8.0448213899727179</v>
      </c>
      <c r="N11" s="106">
        <f t="shared" si="5"/>
        <v>8.1576226954778139</v>
      </c>
      <c r="O11" s="106">
        <f t="shared" si="6"/>
        <v>0.10348034411437138</v>
      </c>
      <c r="P11" s="107">
        <f>(AVERAGE(POWER(10,K11),POWER(10,L11),POWER(10,M11)))*(Calculation!$I11/Calculation!$K10)</f>
        <v>151915770.88480648</v>
      </c>
      <c r="Q11" s="107">
        <f>(STDEV(POWER(10,K11),POWER(10,L11),POWER(10,M11))*(Calculation!$I11/Calculation!$K10))</f>
        <v>34624170.82088308</v>
      </c>
      <c r="R11" s="106">
        <f t="shared" si="7"/>
        <v>8.1816028617674235</v>
      </c>
      <c r="S11" s="106">
        <f>O11*(Calculation!$I11/Calculation!$K10)</f>
        <v>0.10736332072875825</v>
      </c>
    </row>
    <row r="12" spans="1:19">
      <c r="A12" s="40">
        <v>8</v>
      </c>
      <c r="B12" s="32">
        <v>80</v>
      </c>
      <c r="C12" s="32">
        <f t="shared" si="8"/>
        <v>680</v>
      </c>
      <c r="D12" s="13">
        <f t="shared" si="0"/>
        <v>11.333333333333334</v>
      </c>
      <c r="E12" s="99">
        <v>22.270833969116211</v>
      </c>
      <c r="F12" s="99">
        <v>21.616535186767578</v>
      </c>
      <c r="G12" s="105">
        <v>22.125190734863281</v>
      </c>
      <c r="H12" s="111">
        <f t="shared" si="9"/>
        <v>21.677103723995923</v>
      </c>
      <c r="I12" s="111">
        <f t="shared" si="10"/>
        <v>21.022804941647291</v>
      </c>
      <c r="J12" s="111">
        <f t="shared" si="11"/>
        <v>21.531460489742994</v>
      </c>
      <c r="K12" s="105">
        <f>((H12-'Calibration F. prausnitzii'!$D$45)/'Calibration F. prausnitzii'!$D$44)+$B$27</f>
        <v>8.0696445785489423</v>
      </c>
      <c r="L12" s="105">
        <f>((I12-'Calibration F. prausnitzii'!$D$45)/'Calibration F. prausnitzii'!$D$44)+$B$27</f>
        <v>8.2710726431823289</v>
      </c>
      <c r="M12" s="105">
        <f>((J12-'Calibration F. prausnitzii'!$D$45)/'Calibration F. prausnitzii'!$D$44)+$B$27</f>
        <v>8.1144813344683246</v>
      </c>
      <c r="N12" s="106">
        <f t="shared" si="5"/>
        <v>8.151732852066532</v>
      </c>
      <c r="O12" s="106">
        <f t="shared" si="6"/>
        <v>0.10575477756591002</v>
      </c>
      <c r="P12" s="107">
        <f>(AVERAGE(POWER(10,K12),POWER(10,L12),POWER(10,M12)))*(Calculation!$I12/Calculation!$K11)</f>
        <v>152394056.7161665</v>
      </c>
      <c r="Q12" s="107">
        <f>(STDEV(POWER(10,K12),POWER(10,L12),POWER(10,M12))*(Calculation!$I12/Calculation!$K11))</f>
        <v>38816739.189639106</v>
      </c>
      <c r="R12" s="106">
        <f t="shared" si="7"/>
        <v>8.1829680300895138</v>
      </c>
      <c r="S12" s="106">
        <f>O12*(Calculation!$I12/Calculation!$K11)</f>
        <v>0.11134622236047569</v>
      </c>
    </row>
    <row r="13" spans="1:19">
      <c r="A13" s="40">
        <v>9</v>
      </c>
      <c r="B13" s="32">
        <v>80</v>
      </c>
      <c r="C13" s="32">
        <f t="shared" si="8"/>
        <v>760</v>
      </c>
      <c r="D13" s="13">
        <f t="shared" si="0"/>
        <v>12.666666666666666</v>
      </c>
      <c r="E13" s="99">
        <v>21.809982299804688</v>
      </c>
      <c r="F13" s="99">
        <v>21.939569473266602</v>
      </c>
      <c r="G13" s="105">
        <v>21.954580307006836</v>
      </c>
      <c r="H13" s="111">
        <f t="shared" si="9"/>
        <v>21.2162520546844</v>
      </c>
      <c r="I13" s="111">
        <f t="shared" si="10"/>
        <v>21.345839228146314</v>
      </c>
      <c r="J13" s="111">
        <f t="shared" si="11"/>
        <v>21.360850061886548</v>
      </c>
      <c r="K13" s="105">
        <f>((H13-'Calibration F. prausnitzii'!$D$45)/'Calibration F. prausnitzii'!$D$44)+$B$27</f>
        <v>8.2115193035778873</v>
      </c>
      <c r="L13" s="105">
        <f>((I13-'Calibration F. prausnitzii'!$D$45)/'Calibration F. prausnitzii'!$D$44)+$B$27</f>
        <v>8.1716254595788982</v>
      </c>
      <c r="M13" s="105">
        <f>((J13-'Calibration F. prausnitzii'!$D$45)/'Calibration F. prausnitzii'!$D$44)+$B$27</f>
        <v>8.1670043242957551</v>
      </c>
      <c r="N13" s="106">
        <f t="shared" si="5"/>
        <v>8.1833830291508463</v>
      </c>
      <c r="O13" s="106">
        <f t="shared" si="6"/>
        <v>2.4476032701432126E-2</v>
      </c>
      <c r="P13" s="107">
        <f>(AVERAGE(POWER(10,K13),POWER(10,L13),POWER(10,M13)))*(Calculation!$I13/Calculation!$K12)</f>
        <v>161624123.01851186</v>
      </c>
      <c r="Q13" s="107">
        <f>(STDEV(POWER(10,K13),POWER(10,L13),POWER(10,M13))*(Calculation!$I13/Calculation!$K12))</f>
        <v>9246193.6163089052</v>
      </c>
      <c r="R13" s="106">
        <f t="shared" si="7"/>
        <v>8.2085061813888096</v>
      </c>
      <c r="S13" s="106">
        <f>O13*(Calculation!$I13/Calculation!$K12)</f>
        <v>2.5905960955256942E-2</v>
      </c>
    </row>
    <row r="14" spans="1:19">
      <c r="A14" s="40">
        <v>10</v>
      </c>
      <c r="B14" s="32">
        <v>80</v>
      </c>
      <c r="C14" s="32">
        <f t="shared" si="8"/>
        <v>840</v>
      </c>
      <c r="D14" s="13">
        <f t="shared" si="0"/>
        <v>14</v>
      </c>
      <c r="E14" s="99">
        <v>22.180231094360352</v>
      </c>
      <c r="F14" s="99">
        <v>21.366992950439453</v>
      </c>
      <c r="G14" s="105">
        <v>21.479385375976562</v>
      </c>
      <c r="H14" s="111">
        <f t="shared" si="9"/>
        <v>21.586500849240064</v>
      </c>
      <c r="I14" s="111">
        <f t="shared" si="10"/>
        <v>20.773262705319166</v>
      </c>
      <c r="J14" s="111">
        <f t="shared" si="11"/>
        <v>20.885655130856275</v>
      </c>
      <c r="K14" s="105">
        <f>((H14-'Calibration F. prausnitzii'!$D$45)/'Calibration F. prausnitzii'!$D$44)+$B$27</f>
        <v>8.0975369760355846</v>
      </c>
      <c r="L14" s="105">
        <f>((I14-'Calibration F. prausnitzii'!$D$45)/'Calibration F. prausnitzii'!$D$44)+$B$27</f>
        <v>8.3478950537749856</v>
      </c>
      <c r="M14" s="105">
        <f>((J14-'Calibration F. prausnitzii'!$D$45)/'Calibration F. prausnitzii'!$D$44)+$B$27</f>
        <v>8.3132946703322279</v>
      </c>
      <c r="N14" s="106">
        <f t="shared" si="5"/>
        <v>8.2529089000475988</v>
      </c>
      <c r="O14" s="106">
        <f t="shared" si="6"/>
        <v>0.13566363813488466</v>
      </c>
      <c r="P14" s="107">
        <f>(AVERAGE(POWER(10,K14),POWER(10,L14),POWER(10,M14)))*(Calculation!$I14/Calculation!$K13)</f>
        <v>195652982.65748289</v>
      </c>
      <c r="Q14" s="107">
        <f>(STDEV(POWER(10,K14),POWER(10,L14),POWER(10,M14))*(Calculation!$I14/Calculation!$K13))</f>
        <v>55263723.384481855</v>
      </c>
      <c r="R14" s="106">
        <f t="shared" si="7"/>
        <v>8.2914864729461932</v>
      </c>
      <c r="S14" s="106">
        <f>O14*(Calculation!$I14/Calculation!$K13)</f>
        <v>0.14381280616893596</v>
      </c>
    </row>
    <row r="15" spans="1:19">
      <c r="A15" s="40">
        <v>11</v>
      </c>
      <c r="B15" s="32">
        <v>80</v>
      </c>
      <c r="C15" s="32">
        <f t="shared" si="8"/>
        <v>920</v>
      </c>
      <c r="D15" s="13">
        <f t="shared" si="0"/>
        <v>15.333333333333334</v>
      </c>
      <c r="E15" s="99">
        <v>21.729331970214844</v>
      </c>
      <c r="F15" s="99">
        <v>21.322370529174805</v>
      </c>
      <c r="G15" s="105">
        <v>21.751279830932617</v>
      </c>
      <c r="H15" s="111">
        <f t="shared" si="9"/>
        <v>21.135601725094556</v>
      </c>
      <c r="I15" s="111">
        <f t="shared" si="10"/>
        <v>20.728640284054517</v>
      </c>
      <c r="J15" s="111">
        <f t="shared" si="11"/>
        <v>21.15754958581233</v>
      </c>
      <c r="K15" s="105">
        <f>((H15-'Calibration F. prausnitzii'!$D$45)/'Calibration F. prausnitzii'!$D$44)+$B$27</f>
        <v>8.2363477768069124</v>
      </c>
      <c r="L15" s="105">
        <f>((I15-'Calibration F. prausnitzii'!$D$45)/'Calibration F. prausnitzii'!$D$44)+$B$27</f>
        <v>8.3616322151408227</v>
      </c>
      <c r="M15" s="105">
        <f>((J15-'Calibration F. prausnitzii'!$D$45)/'Calibration F. prausnitzii'!$D$44)+$B$27</f>
        <v>8.229591054608294</v>
      </c>
      <c r="N15" s="106">
        <f t="shared" si="5"/>
        <v>8.2758570155186764</v>
      </c>
      <c r="O15" s="106">
        <f t="shared" si="6"/>
        <v>7.4360284940158825E-2</v>
      </c>
      <c r="P15" s="107">
        <f>(AVERAGE(POWER(10,K15),POWER(10,L15),POWER(10,M15)))*(Calculation!$I15/Calculation!$K14)</f>
        <v>202424108.07488069</v>
      </c>
      <c r="Q15" s="107">
        <f>(STDEV(POWER(10,K15),POWER(10,L15),POWER(10,M15))*(Calculation!$I15/Calculation!$K14))</f>
        <v>36167891.696238928</v>
      </c>
      <c r="R15" s="106">
        <f t="shared" si="7"/>
        <v>8.306262234355474</v>
      </c>
      <c r="S15" s="106">
        <f>O15*(Calculation!$I15/Calculation!$K14)</f>
        <v>7.8954167208051262E-2</v>
      </c>
    </row>
    <row r="16" spans="1:19">
      <c r="A16" s="40">
        <v>12</v>
      </c>
      <c r="B16" s="32">
        <v>80</v>
      </c>
      <c r="C16" s="32">
        <f t="shared" si="8"/>
        <v>1000</v>
      </c>
      <c r="D16" s="13">
        <f t="shared" si="0"/>
        <v>16.666666666666668</v>
      </c>
      <c r="E16" s="99">
        <v>21.161012649536133</v>
      </c>
      <c r="F16" s="99">
        <v>21.346088409423828</v>
      </c>
      <c r="G16" s="105">
        <v>21.377410888671875</v>
      </c>
      <c r="H16" s="111">
        <f t="shared" si="9"/>
        <v>20.567282404415845</v>
      </c>
      <c r="I16" s="111">
        <f t="shared" si="10"/>
        <v>20.752358164303541</v>
      </c>
      <c r="J16" s="111">
        <f t="shared" si="11"/>
        <v>20.783680643551588</v>
      </c>
      <c r="K16" s="105">
        <f>((H16-'Calibration F. prausnitzii'!$D$45)/'Calibration F. prausnitzii'!$D$44)+$B$27</f>
        <v>8.4113067771082122</v>
      </c>
      <c r="L16" s="105">
        <f>((I16-'Calibration F. prausnitzii'!$D$45)/'Calibration F. prausnitzii'!$D$44)+$B$27</f>
        <v>8.3543305865199979</v>
      </c>
      <c r="M16" s="105">
        <f>((J16-'Calibration F. prausnitzii'!$D$45)/'Calibration F. prausnitzii'!$D$44)+$B$27</f>
        <v>8.3446878567080827</v>
      </c>
      <c r="N16" s="106">
        <f t="shared" si="5"/>
        <v>8.3701084067787637</v>
      </c>
      <c r="O16" s="106">
        <f t="shared" si="6"/>
        <v>3.6003122752174578E-2</v>
      </c>
      <c r="P16" s="107">
        <f>(AVERAGE(POWER(10,K16),POWER(10,L16),POWER(10,M16)))*(Calculation!$I16/Calculation!$K15)</f>
        <v>249963704.9520686</v>
      </c>
      <c r="Q16" s="107">
        <f>(STDEV(POWER(10,K16),POWER(10,L16),POWER(10,M16))*(Calculation!$I16/Calculation!$K15))</f>
        <v>21154113.681587689</v>
      </c>
      <c r="R16" s="106">
        <f t="shared" si="7"/>
        <v>8.3978769531385709</v>
      </c>
      <c r="S16" s="106">
        <f>O16*(Calculation!$I16/Calculation!$K15)</f>
        <v>3.8291274462635722E-2</v>
      </c>
    </row>
    <row r="17" spans="1:19">
      <c r="A17" s="40">
        <v>13</v>
      </c>
      <c r="B17" s="32">
        <v>80</v>
      </c>
      <c r="C17" s="32">
        <f t="shared" si="8"/>
        <v>1080</v>
      </c>
      <c r="D17" s="13">
        <f t="shared" si="0"/>
        <v>18</v>
      </c>
      <c r="E17" s="99">
        <v>21.165386199951172</v>
      </c>
      <c r="F17" s="99">
        <v>21.304132461547852</v>
      </c>
      <c r="G17" s="105">
        <v>21.097330093383789</v>
      </c>
      <c r="H17" s="111">
        <f t="shared" si="9"/>
        <v>20.571655954830884</v>
      </c>
      <c r="I17" s="111">
        <f t="shared" si="10"/>
        <v>20.710402216427564</v>
      </c>
      <c r="J17" s="111">
        <f t="shared" si="11"/>
        <v>20.503599848263502</v>
      </c>
      <c r="K17" s="105">
        <f>((H17-'Calibration F. prausnitzii'!$D$45)/'Calibration F. prausnitzii'!$D$44)+$B$27</f>
        <v>8.4099603650111039</v>
      </c>
      <c r="L17" s="105">
        <f>((I17-'Calibration F. prausnitzii'!$D$45)/'Calibration F. prausnitzii'!$D$44)+$B$27</f>
        <v>8.3672468651506602</v>
      </c>
      <c r="M17" s="105">
        <f>((J17-'Calibration F. prausnitzii'!$D$45)/'Calibration F. prausnitzii'!$D$44)+$B$27</f>
        <v>8.4309116646347171</v>
      </c>
      <c r="N17" s="106">
        <f t="shared" si="5"/>
        <v>8.4027062982654943</v>
      </c>
      <c r="O17" s="106">
        <f t="shared" si="6"/>
        <v>3.2446383259134112E-2</v>
      </c>
      <c r="P17" s="107">
        <f>(AVERAGE(POWER(10,K17),POWER(10,L17),POWER(10,M17)))*(Calculation!$I17/Calculation!$K16)</f>
        <v>269552506.97992653</v>
      </c>
      <c r="Q17" s="107">
        <f>(STDEV(POWER(10,K17),POWER(10,L17),POWER(10,M17))*(Calculation!$I17/Calculation!$K16))</f>
        <v>19883879.483909082</v>
      </c>
      <c r="R17" s="106">
        <f t="shared" si="7"/>
        <v>8.4306433753502805</v>
      </c>
      <c r="S17" s="106">
        <f>O17*(Calculation!$I17/Calculation!$K16)</f>
        <v>3.4538392404385963E-2</v>
      </c>
    </row>
    <row r="18" spans="1:19">
      <c r="A18" s="40">
        <v>14</v>
      </c>
      <c r="B18" s="32">
        <v>360</v>
      </c>
      <c r="C18" s="32">
        <f t="shared" si="8"/>
        <v>1440</v>
      </c>
      <c r="D18" s="13">
        <f t="shared" si="0"/>
        <v>24</v>
      </c>
      <c r="E18" s="99">
        <v>20.95421028137207</v>
      </c>
      <c r="F18" s="99">
        <v>20.974365234375</v>
      </c>
      <c r="G18" s="105">
        <v>20.956047058105469</v>
      </c>
      <c r="H18" s="111">
        <f t="shared" si="9"/>
        <v>20.360480036251783</v>
      </c>
      <c r="I18" s="111">
        <f t="shared" si="10"/>
        <v>20.380634989254713</v>
      </c>
      <c r="J18" s="111">
        <f t="shared" si="11"/>
        <v>20.362316812985181</v>
      </c>
      <c r="K18" s="105">
        <f>((H18-'Calibration F. prausnitzii'!$D$45)/'Calibration F. prausnitzii'!$D$44)+$B$27</f>
        <v>8.4749715765922691</v>
      </c>
      <c r="L18" s="105">
        <f>((I18-'Calibration F. prausnitzii'!$D$45)/'Calibration F. prausnitzii'!$D$44)+$B$27</f>
        <v>8.4687668070195912</v>
      </c>
      <c r="M18" s="105">
        <f>((J18-'Calibration F. prausnitzii'!$D$45)/'Calibration F. prausnitzii'!$D$44)+$B$27</f>
        <v>8.4744061187425022</v>
      </c>
      <c r="N18" s="106">
        <f>AVERAGE(K18:M18)</f>
        <v>8.4727148341181202</v>
      </c>
      <c r="O18" s="106">
        <f>STDEV(K18:M18)</f>
        <v>3.4307614494466063E-3</v>
      </c>
      <c r="P18" s="107">
        <f>(AVERAGE(POWER(10,K18),POWER(10,L18),POWER(10,M18)))*(Calculation!$I18/Calculation!$K17)</f>
        <v>316695205.60385448</v>
      </c>
      <c r="Q18" s="107">
        <f>(STDEV(POWER(10,K18),POWER(10,L18),POWER(10,M18))*(Calculation!$I18/Calculation!$K17))</f>
        <v>2496215.1103447569</v>
      </c>
      <c r="R18" s="106">
        <f>LOG(P18)</f>
        <v>8.5006414887096113</v>
      </c>
      <c r="S18" s="106">
        <f>O18*(Calculation!$I18/Calculation!$K17)</f>
        <v>3.6585429295149501E-3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9">
        <v>20.979179382324219</v>
      </c>
      <c r="F19" s="99">
        <v>20.945680618286133</v>
      </c>
      <c r="G19" s="105">
        <v>21.13261604309082</v>
      </c>
      <c r="H19" s="111">
        <f t="shared" si="9"/>
        <v>20.385449137203931</v>
      </c>
      <c r="I19" s="111">
        <f t="shared" si="10"/>
        <v>20.351950373165845</v>
      </c>
      <c r="J19" s="111">
        <f t="shared" si="11"/>
        <v>20.538885797970533</v>
      </c>
      <c r="K19" s="105">
        <f>((H19-'Calibration F. prausnitzii'!$D$45)/'Calibration F. prausnitzii'!$D$44)+$B$27</f>
        <v>8.4672847555005752</v>
      </c>
      <c r="L19" s="105">
        <f>((I19-'Calibration F. prausnitzii'!$D$45)/'Calibration F. prausnitzii'!$D$44)+$B$27</f>
        <v>8.4775974618510013</v>
      </c>
      <c r="M19" s="105">
        <f>((J19-'Calibration F. prausnitzii'!$D$45)/'Calibration F. prausnitzii'!$D$44)+$B$27</f>
        <v>8.4200487672092841</v>
      </c>
      <c r="N19" s="106">
        <f t="shared" ref="N19:N20" si="12">AVERAGE(K19:M19)</f>
        <v>8.4549769948536202</v>
      </c>
      <c r="O19" s="106">
        <f t="shared" ref="O19:O20" si="13">STDEV(K19:M19)</f>
        <v>3.0685074431202768E-2</v>
      </c>
      <c r="P19" s="107">
        <f>(AVERAGE(POWER(10,K19),POWER(10,L19),POWER(10,M19)))*(Calculation!$I19/Calculation!$K18)</f>
        <v>304514818.11191863</v>
      </c>
      <c r="Q19" s="107">
        <f>(STDEV(POWER(10,K19),POWER(10,L19),POWER(10,M19))*(Calculation!$I19/Calculation!$K18))</f>
        <v>21115736.995466363</v>
      </c>
      <c r="R19" s="106">
        <f t="shared" ref="R19:R20" si="14">LOG(P19)</f>
        <v>8.4836084308528275</v>
      </c>
      <c r="S19" s="106">
        <f>O19*(Calculation!$I19/Calculation!$K18)</f>
        <v>3.2722374830236364E-2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9">
        <v>21.891880035400391</v>
      </c>
      <c r="F20" s="99">
        <v>22.219318389892578</v>
      </c>
      <c r="G20" s="105">
        <v>21.948251724243164</v>
      </c>
      <c r="H20" s="111">
        <f t="shared" si="9"/>
        <v>21.298149790280103</v>
      </c>
      <c r="I20" s="111">
        <f t="shared" si="10"/>
        <v>21.625588144772291</v>
      </c>
      <c r="J20" s="111">
        <f t="shared" si="11"/>
        <v>21.354521479122877</v>
      </c>
      <c r="K20" s="105">
        <f>((H20-'Calibration F. prausnitzii'!$D$45)/'Calibration F. prausnitzii'!$D$44)+$B$27</f>
        <v>8.1863068122452809</v>
      </c>
      <c r="L20" s="105">
        <f>((I20-'Calibration F. prausnitzii'!$D$45)/'Calibration F. prausnitzii'!$D$44)+$B$27</f>
        <v>8.0855038216064283</v>
      </c>
      <c r="M20" s="105">
        <f>((J20-'Calibration F. prausnitzii'!$D$45)/'Calibration F. prausnitzii'!$D$44)+$B$27</f>
        <v>8.1689525996285983</v>
      </c>
      <c r="N20" s="106">
        <f t="shared" si="12"/>
        <v>8.146921077826768</v>
      </c>
      <c r="O20" s="106">
        <f t="shared" si="13"/>
        <v>5.3892037399902629E-2</v>
      </c>
      <c r="P20" s="107">
        <f>(AVERAGE(POWER(10,K20),POWER(10,L20),POWER(10,M20)))*(Calculation!$I20/Calculation!$K19)</f>
        <v>150468711.80271327</v>
      </c>
      <c r="Q20" s="107">
        <f>(STDEV(POWER(10,K20),POWER(10,L20),POWER(10,M20))*(Calculation!$I20/Calculation!$K19))</f>
        <v>18038767.849581145</v>
      </c>
      <c r="R20" s="106">
        <f t="shared" si="14"/>
        <v>8.1774462028926855</v>
      </c>
      <c r="S20" s="106">
        <f>O20*(Calculation!$I20/Calculation!$K19)</f>
        <v>5.7526814210059306E-2</v>
      </c>
    </row>
    <row r="21" spans="1:19">
      <c r="A21" s="10"/>
      <c r="B21" s="10"/>
      <c r="C21" s="10"/>
      <c r="D21" s="109"/>
      <c r="E21" s="119"/>
      <c r="F21" s="119"/>
      <c r="G21" s="120"/>
      <c r="H21" s="113"/>
      <c r="I21" s="113"/>
      <c r="J21" s="113"/>
      <c r="K21" s="120"/>
      <c r="L21" s="120"/>
      <c r="M21" s="120"/>
      <c r="N21" s="121"/>
      <c r="O21" s="121"/>
      <c r="P21" s="122"/>
      <c r="Q21" s="122"/>
      <c r="R21" s="121"/>
      <c r="S21" s="121"/>
    </row>
    <row r="22" spans="1:19"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</row>
    <row r="23" spans="1:19"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</row>
    <row r="24" spans="1:19"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</row>
    <row r="25" spans="1:19"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</row>
    <row r="26" spans="1:19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spans="1:19">
      <c r="A27" s="102" t="s">
        <v>236</v>
      </c>
      <c r="B27" s="110">
        <f>LOG(B28)</f>
        <v>3.6532125137753435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</row>
    <row r="28" spans="1:19">
      <c r="A28" s="85" t="s">
        <v>237</v>
      </c>
      <c r="B28" s="85">
        <f>20*1800/4/2</f>
        <v>4500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</row>
    <row r="29" spans="1:1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</row>
    <row r="30" spans="1:19">
      <c r="A30" s="98" t="s">
        <v>272</v>
      </c>
      <c r="B30" s="85"/>
      <c r="C30" s="85"/>
      <c r="D30" s="85"/>
      <c r="E30" s="112">
        <v>14.390941619873047</v>
      </c>
      <c r="F30" s="111">
        <v>14.411395072937012</v>
      </c>
      <c r="G30" s="111">
        <v>14.301624298095703</v>
      </c>
      <c r="H30" s="111">
        <f>AVERAGE(E30:G30)</f>
        <v>14.367986996968588</v>
      </c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</row>
    <row r="31" spans="1:19">
      <c r="A31" s="123" t="s">
        <v>273</v>
      </c>
      <c r="C31" s="85"/>
      <c r="D31" s="85"/>
      <c r="E31" s="112">
        <v>13.95859432220459</v>
      </c>
      <c r="F31" s="111">
        <v>13.837825775146484</v>
      </c>
      <c r="G31" s="111">
        <v>14.070391654968262</v>
      </c>
      <c r="H31" s="111">
        <f t="shared" ref="H31:H75" si="15">AVERAGE(E31:G31)</f>
        <v>13.955603917439779</v>
      </c>
    </row>
    <row r="32" spans="1:19">
      <c r="A32" s="123" t="s">
        <v>274</v>
      </c>
      <c r="E32" s="112">
        <v>14.085451126098633</v>
      </c>
      <c r="F32" s="111">
        <v>14.111333847045898</v>
      </c>
      <c r="G32" s="111">
        <v>14.077548980712891</v>
      </c>
      <c r="H32" s="111">
        <f t="shared" si="15"/>
        <v>14.091444651285807</v>
      </c>
    </row>
    <row r="33" spans="1:8">
      <c r="A33" s="123" t="s">
        <v>275</v>
      </c>
      <c r="E33" s="112">
        <v>13.838394165039062</v>
      </c>
      <c r="F33" s="111">
        <v>14.03663444519043</v>
      </c>
      <c r="G33" s="111">
        <v>13.97320556640625</v>
      </c>
      <c r="H33" s="111">
        <f t="shared" si="15"/>
        <v>13.949411392211914</v>
      </c>
    </row>
    <row r="34" spans="1:8">
      <c r="A34" s="123" t="s">
        <v>276</v>
      </c>
      <c r="E34" s="112">
        <v>11.618982315063477</v>
      </c>
      <c r="F34" s="111">
        <v>11.485271453857422</v>
      </c>
      <c r="G34" s="111">
        <v>11.470490455627441</v>
      </c>
      <c r="H34" s="111">
        <f t="shared" si="15"/>
        <v>11.524914741516113</v>
      </c>
    </row>
    <row r="35" spans="1:8">
      <c r="A35" s="123" t="s">
        <v>277</v>
      </c>
      <c r="E35" s="112">
        <v>14.489413261413574</v>
      </c>
      <c r="F35" s="111">
        <v>14.78773021697998</v>
      </c>
      <c r="G35" s="111">
        <v>14.708776473999023</v>
      </c>
      <c r="H35" s="111">
        <f t="shared" si="15"/>
        <v>14.661973317464193</v>
      </c>
    </row>
    <row r="36" spans="1:8">
      <c r="A36" s="123" t="s">
        <v>278</v>
      </c>
      <c r="E36" s="112">
        <v>14.322483062744141</v>
      </c>
      <c r="F36" s="111">
        <v>14.812288284301758</v>
      </c>
      <c r="G36" s="111">
        <v>14.651363372802734</v>
      </c>
      <c r="H36" s="111">
        <f t="shared" si="15"/>
        <v>14.595378239949545</v>
      </c>
    </row>
    <row r="37" spans="1:8">
      <c r="A37" s="123" t="s">
        <v>279</v>
      </c>
      <c r="E37" s="112">
        <v>13.079689025878906</v>
      </c>
      <c r="F37" s="111">
        <v>13.297797203063965</v>
      </c>
      <c r="G37" s="111">
        <v>14.48363208770752</v>
      </c>
      <c r="H37" s="111">
        <f t="shared" si="15"/>
        <v>13.620372772216797</v>
      </c>
    </row>
    <row r="38" spans="1:8">
      <c r="A38" s="123" t="s">
        <v>280</v>
      </c>
      <c r="B38" s="85"/>
      <c r="C38" s="85"/>
      <c r="D38" s="85"/>
      <c r="E38" s="112">
        <v>14.77447509765625</v>
      </c>
      <c r="F38" s="111">
        <v>15.046281814575195</v>
      </c>
      <c r="G38" s="111">
        <v>14.986320495605469</v>
      </c>
      <c r="H38" s="111">
        <f t="shared" si="15"/>
        <v>14.935692469278971</v>
      </c>
    </row>
    <row r="39" spans="1:8">
      <c r="A39" s="123" t="s">
        <v>280</v>
      </c>
      <c r="C39" s="85"/>
      <c r="D39" s="85"/>
      <c r="E39" s="112">
        <v>13.851560592651367</v>
      </c>
      <c r="F39" s="111">
        <v>14.262241363525391</v>
      </c>
      <c r="G39" s="111">
        <v>14.016228675842285</v>
      </c>
      <c r="H39" s="111">
        <f t="shared" si="15"/>
        <v>14.043343544006348</v>
      </c>
    </row>
    <row r="40" spans="1:8">
      <c r="A40" s="123" t="s">
        <v>281</v>
      </c>
      <c r="E40" s="112">
        <v>14.028319358825684</v>
      </c>
      <c r="F40" s="111">
        <v>14.285782814025879</v>
      </c>
      <c r="G40" s="111">
        <v>14.480982780456543</v>
      </c>
      <c r="H40" s="111">
        <f t="shared" si="15"/>
        <v>14.265028317769369</v>
      </c>
    </row>
    <row r="41" spans="1:8">
      <c r="A41" s="123" t="s">
        <v>281</v>
      </c>
      <c r="E41" s="112">
        <v>14.83289909362793</v>
      </c>
      <c r="F41" s="111">
        <v>14.839167594909668</v>
      </c>
      <c r="G41" s="111">
        <v>14.813106536865234</v>
      </c>
      <c r="H41" s="111">
        <f t="shared" si="15"/>
        <v>14.828391075134277</v>
      </c>
    </row>
    <row r="42" spans="1:8">
      <c r="A42" s="123" t="s">
        <v>282</v>
      </c>
      <c r="E42" s="112">
        <v>15.412906646728516</v>
      </c>
      <c r="F42" s="111">
        <v>15.433472633361816</v>
      </c>
      <c r="G42" s="111">
        <v>15.37113094329834</v>
      </c>
      <c r="H42" s="111">
        <f t="shared" si="15"/>
        <v>15.405836741129557</v>
      </c>
    </row>
    <row r="43" spans="1:8">
      <c r="A43" s="123" t="s">
        <v>282</v>
      </c>
      <c r="E43" s="112">
        <v>15.125240325927734</v>
      </c>
      <c r="F43" s="111">
        <v>15.287156105041504</v>
      </c>
      <c r="G43" s="111">
        <v>15.169957160949707</v>
      </c>
      <c r="H43" s="111">
        <f t="shared" si="15"/>
        <v>15.194117863972982</v>
      </c>
    </row>
    <row r="44" spans="1:8">
      <c r="A44" s="123" t="s">
        <v>283</v>
      </c>
      <c r="E44" s="112">
        <v>14.932897567749023</v>
      </c>
      <c r="F44" s="111">
        <v>14.934226036071777</v>
      </c>
      <c r="G44" s="111">
        <v>14.918047904968262</v>
      </c>
      <c r="H44" s="111">
        <f t="shared" si="15"/>
        <v>14.928390502929688</v>
      </c>
    </row>
    <row r="45" spans="1:8">
      <c r="A45" s="123" t="s">
        <v>283</v>
      </c>
      <c r="E45" s="112">
        <v>14.112751960754395</v>
      </c>
      <c r="F45" s="111">
        <v>14.298762321472168</v>
      </c>
      <c r="G45" s="111">
        <v>14.374398231506348</v>
      </c>
      <c r="H45" s="111">
        <f t="shared" si="15"/>
        <v>14.261970837910971</v>
      </c>
    </row>
    <row r="46" spans="1:8">
      <c r="A46" s="123" t="s">
        <v>284</v>
      </c>
      <c r="E46" s="112">
        <v>14.954710960388184</v>
      </c>
      <c r="F46" s="111">
        <v>14.841438293457031</v>
      </c>
      <c r="G46" s="111">
        <v>15.281417846679688</v>
      </c>
      <c r="H46" s="111">
        <f t="shared" si="15"/>
        <v>15.025855700174967</v>
      </c>
    </row>
    <row r="47" spans="1:8">
      <c r="A47" s="123" t="s">
        <v>285</v>
      </c>
      <c r="E47" s="112">
        <v>14.948505401611328</v>
      </c>
      <c r="F47" s="111">
        <v>15.147294044494629</v>
      </c>
      <c r="G47" s="111">
        <v>14.959335327148438</v>
      </c>
      <c r="H47" s="111">
        <f t="shared" si="15"/>
        <v>15.018378257751465</v>
      </c>
    </row>
    <row r="48" spans="1:8">
      <c r="A48" s="98" t="s">
        <v>286</v>
      </c>
      <c r="B48" s="85"/>
      <c r="C48" s="85"/>
      <c r="D48" s="85"/>
      <c r="E48" s="112">
        <v>15.064580917358398</v>
      </c>
      <c r="F48" s="111">
        <v>15.123675346374512</v>
      </c>
      <c r="G48" s="111">
        <v>15.059396743774414</v>
      </c>
      <c r="H48" s="111">
        <f t="shared" si="15"/>
        <v>15.082551002502441</v>
      </c>
    </row>
    <row r="49" spans="1:8">
      <c r="A49" s="98" t="s">
        <v>288</v>
      </c>
      <c r="B49" s="85"/>
      <c r="C49" s="85"/>
      <c r="D49" s="85"/>
      <c r="E49" s="112">
        <v>14.438828468322754</v>
      </c>
      <c r="F49" s="111">
        <v>14.371813774108887</v>
      </c>
      <c r="G49" s="111">
        <v>15.339963912963867</v>
      </c>
      <c r="H49" s="111">
        <f t="shared" si="15"/>
        <v>14.71686871846517</v>
      </c>
    </row>
    <row r="50" spans="1:8">
      <c r="A50" s="98" t="s">
        <v>326</v>
      </c>
      <c r="B50" s="85"/>
      <c r="C50" s="85"/>
      <c r="D50" s="85"/>
      <c r="E50" s="112">
        <v>14.56031322479248</v>
      </c>
      <c r="F50" s="111">
        <v>14.785432815551758</v>
      </c>
      <c r="G50" s="111">
        <v>14.991518974304199</v>
      </c>
      <c r="H50" s="111">
        <f t="shared" si="15"/>
        <v>14.779088338216146</v>
      </c>
    </row>
    <row r="51" spans="1:8">
      <c r="A51" s="98" t="s">
        <v>327</v>
      </c>
      <c r="B51" s="85"/>
      <c r="C51" s="85"/>
      <c r="D51" s="85"/>
      <c r="E51" s="112">
        <v>15.04175853729248</v>
      </c>
      <c r="F51" s="111">
        <v>15.037652969360352</v>
      </c>
      <c r="G51" s="111">
        <v>14.94129753112793</v>
      </c>
      <c r="H51" s="111">
        <f t="shared" si="15"/>
        <v>15.006903012593588</v>
      </c>
    </row>
    <row r="52" spans="1:8">
      <c r="A52" s="98" t="s">
        <v>328</v>
      </c>
      <c r="B52" s="85"/>
      <c r="C52" s="85"/>
      <c r="D52" s="85"/>
      <c r="E52" s="112">
        <v>15.191975593566895</v>
      </c>
      <c r="F52" s="111">
        <v>15.268773078918457</v>
      </c>
      <c r="G52" s="111">
        <v>15.282587051391602</v>
      </c>
      <c r="H52" s="111">
        <f t="shared" si="15"/>
        <v>15.24777857462565</v>
      </c>
    </row>
    <row r="53" spans="1:8">
      <c r="A53" s="98" t="s">
        <v>329</v>
      </c>
      <c r="B53" s="85"/>
      <c r="C53" s="85"/>
      <c r="D53" s="85"/>
      <c r="E53" s="112">
        <v>15.494284629821777</v>
      </c>
      <c r="F53" s="111">
        <v>15.500131607055664</v>
      </c>
      <c r="G53" s="111">
        <v>15.308513641357422</v>
      </c>
      <c r="H53" s="111">
        <f t="shared" si="15"/>
        <v>15.434309959411621</v>
      </c>
    </row>
    <row r="54" spans="1:8">
      <c r="A54" s="98" t="s">
        <v>330</v>
      </c>
      <c r="B54" s="85"/>
      <c r="C54" s="85"/>
      <c r="D54" s="85"/>
      <c r="E54" s="112">
        <v>15.209195137023926</v>
      </c>
      <c r="F54" s="111">
        <v>15.267397880554199</v>
      </c>
      <c r="G54" s="111">
        <v>15.118107795715332</v>
      </c>
      <c r="H54" s="111">
        <f t="shared" si="15"/>
        <v>15.198233604431152</v>
      </c>
    </row>
    <row r="55" spans="1:8">
      <c r="A55" s="98" t="s">
        <v>331</v>
      </c>
      <c r="B55" s="85"/>
      <c r="C55" s="85"/>
      <c r="D55" s="85"/>
      <c r="E55" s="112">
        <v>15.095216751098633</v>
      </c>
      <c r="F55" s="111">
        <v>15.058335304260254</v>
      </c>
      <c r="G55" s="111">
        <v>15.188286781311035</v>
      </c>
      <c r="H55" s="111">
        <f t="shared" si="15"/>
        <v>15.113946278889975</v>
      </c>
    </row>
    <row r="56" spans="1:8">
      <c r="A56" s="98" t="s">
        <v>332</v>
      </c>
      <c r="B56" s="85"/>
      <c r="C56" s="85"/>
      <c r="D56" s="85"/>
      <c r="E56" s="112">
        <v>14.974048614501953</v>
      </c>
      <c r="F56" s="111">
        <v>15.016510009765625</v>
      </c>
      <c r="G56" s="111">
        <v>14.949863433837891</v>
      </c>
      <c r="H56" s="111">
        <f t="shared" si="15"/>
        <v>14.980140686035156</v>
      </c>
    </row>
    <row r="57" spans="1:8">
      <c r="A57" s="98" t="s">
        <v>333</v>
      </c>
      <c r="E57" s="112">
        <v>15.325250625610352</v>
      </c>
      <c r="F57" s="111">
        <v>15.371528625488281</v>
      </c>
      <c r="G57" s="111">
        <v>15.399141311645508</v>
      </c>
      <c r="H57" s="111">
        <f t="shared" si="15"/>
        <v>15.365306854248047</v>
      </c>
    </row>
    <row r="58" spans="1:8">
      <c r="A58" s="98" t="s">
        <v>333</v>
      </c>
      <c r="E58" s="112">
        <v>15.129462242126465</v>
      </c>
      <c r="F58" s="111">
        <v>15.041775703430176</v>
      </c>
      <c r="G58" s="111">
        <v>15.221658706665039</v>
      </c>
      <c r="H58" s="111">
        <f t="shared" si="15"/>
        <v>15.13096555074056</v>
      </c>
    </row>
    <row r="59" spans="1:8">
      <c r="A59" s="98" t="s">
        <v>334</v>
      </c>
      <c r="E59" s="112">
        <v>15.064123153686523</v>
      </c>
      <c r="F59" s="111">
        <v>15.073297500610352</v>
      </c>
      <c r="G59" s="111">
        <v>15.109650611877441</v>
      </c>
      <c r="H59" s="111">
        <f t="shared" si="15"/>
        <v>15.082357088724772</v>
      </c>
    </row>
    <row r="60" spans="1:8">
      <c r="A60" s="98" t="s">
        <v>335</v>
      </c>
      <c r="E60" s="112">
        <v>15.271329879760742</v>
      </c>
      <c r="F60" s="111">
        <v>15.260854721069336</v>
      </c>
      <c r="G60" s="111">
        <v>15.188329696655273</v>
      </c>
      <c r="H60" s="111">
        <f t="shared" si="15"/>
        <v>15.240171432495117</v>
      </c>
    </row>
    <row r="61" spans="1:8">
      <c r="A61" s="98" t="s">
        <v>336</v>
      </c>
      <c r="E61" s="112">
        <v>14.958261489868164</v>
      </c>
      <c r="F61" s="111">
        <v>14.991987228393555</v>
      </c>
      <c r="G61" s="111">
        <v>15.025043487548828</v>
      </c>
      <c r="H61" s="111">
        <f t="shared" si="15"/>
        <v>14.991764068603516</v>
      </c>
    </row>
    <row r="62" spans="1:8">
      <c r="A62" s="98" t="s">
        <v>337</v>
      </c>
      <c r="E62" s="112">
        <v>15.201624870300293</v>
      </c>
      <c r="F62" s="111">
        <v>15.184474945068359</v>
      </c>
      <c r="G62" s="111">
        <v>15.128211975097656</v>
      </c>
      <c r="H62" s="111">
        <f t="shared" si="15"/>
        <v>15.17143726348877</v>
      </c>
    </row>
    <row r="63" spans="1:8">
      <c r="A63" s="98" t="s">
        <v>337</v>
      </c>
      <c r="E63" s="112">
        <v>15.056846618652344</v>
      </c>
      <c r="F63" s="111">
        <v>15.079096794128418</v>
      </c>
      <c r="G63" s="111">
        <v>14.947562217712402</v>
      </c>
      <c r="H63" s="111">
        <f t="shared" si="15"/>
        <v>15.027835210164389</v>
      </c>
    </row>
    <row r="64" spans="1:8">
      <c r="A64" s="98" t="s">
        <v>338</v>
      </c>
      <c r="E64" s="112">
        <v>15.4</v>
      </c>
      <c r="F64" s="111">
        <v>14.7</v>
      </c>
      <c r="G64" s="111">
        <v>14.2</v>
      </c>
      <c r="H64" s="111">
        <f t="shared" si="15"/>
        <v>14.766666666666666</v>
      </c>
    </row>
    <row r="65" spans="1:8">
      <c r="A65" s="98" t="s">
        <v>338</v>
      </c>
      <c r="E65" s="126">
        <v>14.4</v>
      </c>
      <c r="F65" s="127">
        <v>14.4</v>
      </c>
      <c r="G65" s="127">
        <v>14.5</v>
      </c>
      <c r="H65" s="111">
        <f t="shared" si="15"/>
        <v>14.433333333333332</v>
      </c>
    </row>
    <row r="66" spans="1:8">
      <c r="A66" s="98" t="s">
        <v>339</v>
      </c>
      <c r="E66" s="126">
        <v>15.11392879486084</v>
      </c>
      <c r="F66" s="127">
        <v>15.182292938232422</v>
      </c>
      <c r="G66" s="127">
        <v>15.373931884765625</v>
      </c>
      <c r="H66" s="111">
        <f t="shared" si="15"/>
        <v>15.223384539286295</v>
      </c>
    </row>
    <row r="67" spans="1:8">
      <c r="A67" s="98" t="s">
        <v>346</v>
      </c>
      <c r="B67" s="85"/>
      <c r="C67" s="85"/>
      <c r="D67" s="85"/>
      <c r="E67" s="126">
        <v>14.613919258117676</v>
      </c>
      <c r="F67" s="127">
        <v>14.544337272644043</v>
      </c>
      <c r="G67" s="127">
        <v>14.610519409179688</v>
      </c>
      <c r="H67" s="111">
        <f t="shared" si="15"/>
        <v>14.589591979980469</v>
      </c>
    </row>
    <row r="68" spans="1:8">
      <c r="A68" s="98" t="s">
        <v>347</v>
      </c>
      <c r="B68" s="85"/>
      <c r="C68" s="85"/>
      <c r="D68" s="85"/>
      <c r="E68" s="126">
        <v>14.970376014709473</v>
      </c>
      <c r="F68" s="127">
        <v>14.902167320251465</v>
      </c>
      <c r="G68" s="127">
        <v>14.964475631713867</v>
      </c>
      <c r="H68" s="111">
        <f t="shared" si="15"/>
        <v>14.945672988891602</v>
      </c>
    </row>
    <row r="69" spans="1:8">
      <c r="A69" s="98" t="s">
        <v>348</v>
      </c>
      <c r="B69" s="85"/>
      <c r="C69" s="85"/>
      <c r="D69" s="85"/>
      <c r="E69" s="126">
        <v>15.184457778930664</v>
      </c>
      <c r="F69" s="127">
        <v>15.273150444030762</v>
      </c>
      <c r="G69" s="127">
        <v>15.250771522521973</v>
      </c>
      <c r="H69" s="111">
        <f t="shared" si="15"/>
        <v>15.236126581827799</v>
      </c>
    </row>
    <row r="70" spans="1:8">
      <c r="A70" s="98" t="s">
        <v>349</v>
      </c>
      <c r="B70" s="85"/>
      <c r="C70" s="85"/>
      <c r="D70" s="85"/>
      <c r="E70" s="126">
        <v>15.047176361083984</v>
      </c>
      <c r="F70" s="127">
        <v>15.114773750305176</v>
      </c>
      <c r="G70" s="127">
        <v>15.180623054504395</v>
      </c>
      <c r="H70" s="111">
        <f t="shared" si="15"/>
        <v>15.114191055297852</v>
      </c>
    </row>
    <row r="71" spans="1:8">
      <c r="A71" s="98" t="s">
        <v>350</v>
      </c>
      <c r="B71" s="85"/>
      <c r="E71" s="126">
        <v>14.840383529663086</v>
      </c>
      <c r="F71" s="127">
        <v>14.916571617126465</v>
      </c>
      <c r="G71" s="127">
        <v>14.954231262207031</v>
      </c>
      <c r="H71" s="111">
        <f t="shared" si="15"/>
        <v>14.903728802998861</v>
      </c>
    </row>
    <row r="72" spans="1:8">
      <c r="A72" s="98" t="s">
        <v>351</v>
      </c>
      <c r="E72" s="126">
        <v>15.199845314025879</v>
      </c>
      <c r="F72" s="127">
        <v>15.533450126647949</v>
      </c>
      <c r="G72" s="127">
        <v>15.423110961914062</v>
      </c>
      <c r="H72" s="111">
        <f t="shared" si="15"/>
        <v>15.385468800862631</v>
      </c>
    </row>
    <row r="73" spans="1:8">
      <c r="A73" s="98" t="s">
        <v>360</v>
      </c>
      <c r="B73" s="85"/>
      <c r="E73" s="126">
        <v>15.120054244995117</v>
      </c>
      <c r="F73" s="127">
        <v>15.144433975219727</v>
      </c>
      <c r="G73" s="127">
        <v>15.071084976196289</v>
      </c>
      <c r="H73" s="111">
        <f t="shared" si="15"/>
        <v>15.111857732137045</v>
      </c>
    </row>
    <row r="74" spans="1:8">
      <c r="A74" s="98" t="s">
        <v>360</v>
      </c>
      <c r="E74" s="126">
        <v>15.292695999145508</v>
      </c>
      <c r="F74" s="127">
        <v>15.627285957336426</v>
      </c>
      <c r="G74" s="127">
        <v>15.304715156555176</v>
      </c>
      <c r="H74" s="111">
        <f t="shared" si="15"/>
        <v>15.408232371012369</v>
      </c>
    </row>
    <row r="75" spans="1:8">
      <c r="A75" s="98" t="s">
        <v>361</v>
      </c>
      <c r="E75" s="126">
        <v>15.044212341308594</v>
      </c>
      <c r="F75" s="127">
        <v>15.046442985534668</v>
      </c>
      <c r="G75" s="127">
        <v>15.083253860473633</v>
      </c>
      <c r="H75" s="111">
        <f t="shared" si="15"/>
        <v>15.057969729105631</v>
      </c>
    </row>
    <row r="76" spans="1:8">
      <c r="A76" s="98"/>
    </row>
    <row r="77" spans="1:8">
      <c r="A77" s="123"/>
      <c r="G77" t="s">
        <v>268</v>
      </c>
      <c r="H77" s="79">
        <f>AVERAGE(H30:H75)</f>
        <v>14.791738555742343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5" workbookViewId="0">
      <selection activeCell="D45" sqref="D45"/>
    </sheetView>
  </sheetViews>
  <sheetFormatPr baseColWidth="10" defaultRowHeight="14" x14ac:dyDescent="0"/>
  <cols>
    <col min="7" max="7" width="11" bestFit="1" customWidth="1"/>
  </cols>
  <sheetData>
    <row r="1" spans="1:22">
      <c r="A1" s="85"/>
      <c r="B1" s="146" t="s">
        <v>4</v>
      </c>
      <c r="C1" s="148" t="s">
        <v>185</v>
      </c>
      <c r="D1" s="149" t="s">
        <v>18</v>
      </c>
      <c r="E1" s="149"/>
      <c r="F1" s="149"/>
      <c r="G1" s="149"/>
      <c r="H1" s="149" t="s">
        <v>20</v>
      </c>
      <c r="I1" s="149"/>
      <c r="J1" s="149"/>
      <c r="K1" s="149"/>
      <c r="L1" s="149" t="s">
        <v>21</v>
      </c>
      <c r="M1" s="149"/>
      <c r="N1" s="149"/>
      <c r="O1" s="149"/>
      <c r="P1" s="84" t="s">
        <v>22</v>
      </c>
      <c r="Q1" s="84" t="s">
        <v>22</v>
      </c>
      <c r="R1" s="84" t="s">
        <v>22</v>
      </c>
      <c r="S1" s="153" t="s">
        <v>253</v>
      </c>
      <c r="T1" s="85"/>
      <c r="U1" s="85"/>
      <c r="V1" s="85"/>
    </row>
    <row r="2" spans="1:22">
      <c r="A2" s="85"/>
      <c r="B2" s="147"/>
      <c r="C2" s="147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  <c r="S2" s="154"/>
      <c r="T2" s="85"/>
      <c r="U2" s="85"/>
      <c r="V2" s="85"/>
    </row>
    <row r="3" spans="1:22">
      <c r="A3" s="85"/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43"/>
      <c r="Q3" s="144"/>
      <c r="R3" s="145"/>
      <c r="S3" s="85"/>
      <c r="T3" s="85"/>
      <c r="U3" s="85"/>
      <c r="V3" s="85"/>
    </row>
    <row r="4" spans="1:22">
      <c r="A4" s="85"/>
      <c r="B4" s="91" t="s">
        <v>186</v>
      </c>
      <c r="C4" s="92">
        <v>500</v>
      </c>
      <c r="D4" s="92">
        <v>2</v>
      </c>
      <c r="E4" s="92">
        <v>11777</v>
      </c>
      <c r="F4" s="92">
        <v>6</v>
      </c>
      <c r="G4" s="90">
        <f>(E4/F4)*(10.2)*POWER(10,D4+2)</f>
        <v>200208999.99999997</v>
      </c>
      <c r="H4" s="92">
        <v>2</v>
      </c>
      <c r="I4" s="92">
        <v>12350</v>
      </c>
      <c r="J4" s="92">
        <v>6</v>
      </c>
      <c r="K4" s="90">
        <f>(I4/J4)*(10.2)*POWER(10,H4+2)</f>
        <v>209950000</v>
      </c>
      <c r="L4" s="92">
        <v>2</v>
      </c>
      <c r="M4" s="92">
        <v>12193</v>
      </c>
      <c r="N4" s="92">
        <v>6</v>
      </c>
      <c r="O4" s="90">
        <f t="shared" ref="O4:O19" si="0">(M4/N4)*(10.2)*POWER(10,L4+2)</f>
        <v>207281000</v>
      </c>
      <c r="P4" s="93">
        <f t="shared" ref="P4:P19" si="1">AVERAGE(O4,K4,G4)</f>
        <v>205813333.33333334</v>
      </c>
      <c r="Q4" s="93">
        <f t="shared" ref="Q4:Q19" si="2">STDEV(O4,K4,G4)</f>
        <v>5033617.4202389978</v>
      </c>
      <c r="R4" s="94">
        <f>LOG(P4)</f>
        <v>8.313473506507659</v>
      </c>
      <c r="S4" s="98"/>
      <c r="T4" s="85"/>
      <c r="U4" s="85"/>
      <c r="V4" s="85"/>
    </row>
    <row r="5" spans="1:22">
      <c r="A5" s="85"/>
      <c r="B5" s="91" t="s">
        <v>187</v>
      </c>
      <c r="C5" s="92">
        <v>500</v>
      </c>
      <c r="D5" s="92">
        <v>1</v>
      </c>
      <c r="E5" s="92">
        <v>10368</v>
      </c>
      <c r="F5" s="92">
        <v>6</v>
      </c>
      <c r="G5" s="90">
        <f t="shared" ref="G5:G19" si="3">(E5/F5)*(10.2)*POWER(10,D5+2)</f>
        <v>17625600</v>
      </c>
      <c r="H5" s="92">
        <v>1</v>
      </c>
      <c r="I5" s="92">
        <v>11649</v>
      </c>
      <c r="J5" s="92">
        <v>6</v>
      </c>
      <c r="K5" s="90">
        <f t="shared" ref="K5:K19" si="4">(I5/J5)*(10.2)*POWER(10,H5+2)</f>
        <v>19803300</v>
      </c>
      <c r="L5" s="92">
        <v>1</v>
      </c>
      <c r="M5" s="92">
        <v>11377</v>
      </c>
      <c r="N5" s="92">
        <v>6</v>
      </c>
      <c r="O5" s="90">
        <f t="shared" si="0"/>
        <v>19340899.999999996</v>
      </c>
      <c r="P5" s="93">
        <f t="shared" si="1"/>
        <v>18923266.666666668</v>
      </c>
      <c r="Q5" s="93">
        <f t="shared" si="2"/>
        <v>1147348.0393208207</v>
      </c>
      <c r="R5" s="94">
        <f t="shared" ref="R5:R19" si="5">LOG(P5)</f>
        <v>7.2769961094890272</v>
      </c>
      <c r="S5" s="85"/>
      <c r="T5" s="85"/>
      <c r="U5" s="85"/>
      <c r="V5" s="85"/>
    </row>
    <row r="6" spans="1:22">
      <c r="A6" s="85"/>
      <c r="B6" s="91" t="s">
        <v>188</v>
      </c>
      <c r="C6" s="92">
        <v>500</v>
      </c>
      <c r="D6" s="92">
        <v>1</v>
      </c>
      <c r="E6" s="92">
        <v>1368</v>
      </c>
      <c r="F6" s="92">
        <v>6</v>
      </c>
      <c r="G6" s="90">
        <f t="shared" si="3"/>
        <v>2325600</v>
      </c>
      <c r="H6" s="92">
        <v>1</v>
      </c>
      <c r="I6" s="92">
        <v>1169</v>
      </c>
      <c r="J6" s="92">
        <v>6</v>
      </c>
      <c r="K6" s="90">
        <f t="shared" si="4"/>
        <v>1987300</v>
      </c>
      <c r="L6" s="92">
        <v>1</v>
      </c>
      <c r="M6" s="92">
        <v>1324</v>
      </c>
      <c r="N6" s="92">
        <v>6</v>
      </c>
      <c r="O6" s="90">
        <f t="shared" si="0"/>
        <v>2250799.9999999995</v>
      </c>
      <c r="P6" s="93">
        <f t="shared" si="1"/>
        <v>2187900</v>
      </c>
      <c r="Q6" s="93">
        <f t="shared" si="2"/>
        <v>177704.89582451005</v>
      </c>
      <c r="R6" s="94">
        <f t="shared" si="5"/>
        <v>6.3400274682826607</v>
      </c>
      <c r="S6" s="85"/>
      <c r="T6" s="85"/>
      <c r="U6" s="85"/>
      <c r="V6" s="85"/>
    </row>
    <row r="7" spans="1:22">
      <c r="A7" s="85"/>
      <c r="B7" s="91" t="s">
        <v>189</v>
      </c>
      <c r="C7" s="92">
        <v>500</v>
      </c>
      <c r="D7" s="92">
        <v>1</v>
      </c>
      <c r="E7" s="92">
        <v>1657</v>
      </c>
      <c r="F7" s="92">
        <v>67</v>
      </c>
      <c r="G7" s="90">
        <f>(E7/F7)*(10.2)*POWER(10,D7+2)</f>
        <v>252259.70149253728</v>
      </c>
      <c r="H7" s="92">
        <v>1</v>
      </c>
      <c r="I7" s="92">
        <v>1712</v>
      </c>
      <c r="J7" s="92">
        <v>67</v>
      </c>
      <c r="K7" s="90">
        <f t="shared" si="4"/>
        <v>260632.83582089547</v>
      </c>
      <c r="L7" s="92">
        <v>1</v>
      </c>
      <c r="M7" s="92">
        <v>1701</v>
      </c>
      <c r="N7" s="92">
        <v>67</v>
      </c>
      <c r="O7" s="90">
        <f t="shared" si="0"/>
        <v>258958.20895522388</v>
      </c>
      <c r="P7" s="93">
        <f t="shared" si="1"/>
        <v>257283.58208955219</v>
      </c>
      <c r="Q7" s="93">
        <f t="shared" si="2"/>
        <v>4430.6462253947329</v>
      </c>
      <c r="R7" s="94">
        <f t="shared" si="5"/>
        <v>5.410412073674765</v>
      </c>
      <c r="S7" s="98"/>
      <c r="T7" s="85"/>
      <c r="U7" s="85"/>
      <c r="V7" s="85"/>
    </row>
    <row r="8" spans="1:22">
      <c r="A8" s="85"/>
      <c r="B8" s="91" t="s">
        <v>190</v>
      </c>
      <c r="C8" s="92">
        <v>500</v>
      </c>
      <c r="D8" s="92">
        <v>1</v>
      </c>
      <c r="E8" s="92">
        <v>1582</v>
      </c>
      <c r="F8" s="92">
        <v>334</v>
      </c>
      <c r="G8" s="90">
        <f t="shared" si="3"/>
        <v>48312.574850299396</v>
      </c>
      <c r="H8" s="92">
        <v>1</v>
      </c>
      <c r="I8" s="92">
        <v>1222</v>
      </c>
      <c r="J8" s="92">
        <v>334</v>
      </c>
      <c r="K8" s="90">
        <f t="shared" si="4"/>
        <v>37318.562874251496</v>
      </c>
      <c r="L8" s="92">
        <v>1</v>
      </c>
      <c r="M8" s="92">
        <v>1331</v>
      </c>
      <c r="N8" s="92">
        <v>334</v>
      </c>
      <c r="O8" s="90">
        <f t="shared" si="0"/>
        <v>40647.305389221554</v>
      </c>
      <c r="P8" s="93">
        <f t="shared" si="1"/>
        <v>42092.814371257482</v>
      </c>
      <c r="Q8" s="93">
        <f t="shared" si="2"/>
        <v>5637.7475107733544</v>
      </c>
      <c r="R8" s="94">
        <f t="shared" si="5"/>
        <v>4.6242079641192557</v>
      </c>
      <c r="S8" s="98"/>
      <c r="T8" s="85"/>
      <c r="U8" s="85"/>
      <c r="V8" s="85"/>
    </row>
    <row r="9" spans="1:22">
      <c r="A9" s="85"/>
      <c r="B9" s="91" t="s">
        <v>191</v>
      </c>
      <c r="C9" s="92">
        <v>900</v>
      </c>
      <c r="D9" s="92">
        <v>2</v>
      </c>
      <c r="E9" s="92">
        <v>14797</v>
      </c>
      <c r="F9" s="92">
        <v>6</v>
      </c>
      <c r="G9" s="90">
        <f t="shared" si="3"/>
        <v>251548999.99999997</v>
      </c>
      <c r="H9" s="92">
        <v>2</v>
      </c>
      <c r="I9" s="92">
        <v>12831</v>
      </c>
      <c r="J9" s="92">
        <v>6</v>
      </c>
      <c r="K9" s="90">
        <f t="shared" si="4"/>
        <v>218126999.99999997</v>
      </c>
      <c r="L9" s="92">
        <v>2</v>
      </c>
      <c r="M9" s="92">
        <v>13557</v>
      </c>
      <c r="N9" s="92">
        <v>6</v>
      </c>
      <c r="O9" s="90">
        <f t="shared" si="0"/>
        <v>230468999.99999997</v>
      </c>
      <c r="P9" s="93">
        <f t="shared" si="1"/>
        <v>233381666.66666663</v>
      </c>
      <c r="Q9" s="93">
        <f t="shared" si="2"/>
        <v>16900302.995311458</v>
      </c>
      <c r="R9" s="94">
        <f t="shared" si="5"/>
        <v>8.3680667369783137</v>
      </c>
      <c r="S9" s="85"/>
      <c r="T9" s="85"/>
      <c r="U9" s="85"/>
      <c r="V9" s="85"/>
    </row>
    <row r="10" spans="1:22">
      <c r="A10" s="85"/>
      <c r="B10" s="91" t="s">
        <v>192</v>
      </c>
      <c r="C10" s="92">
        <v>900</v>
      </c>
      <c r="D10" s="92">
        <v>2</v>
      </c>
      <c r="E10" s="92">
        <v>6167</v>
      </c>
      <c r="F10" s="92">
        <v>6</v>
      </c>
      <c r="G10" s="90">
        <f t="shared" si="3"/>
        <v>104838999.99999999</v>
      </c>
      <c r="H10" s="92">
        <v>2</v>
      </c>
      <c r="I10" s="92">
        <v>6132</v>
      </c>
      <c r="J10" s="92">
        <v>6</v>
      </c>
      <c r="K10" s="90">
        <f t="shared" si="4"/>
        <v>104244000</v>
      </c>
      <c r="L10" s="92">
        <v>2</v>
      </c>
      <c r="M10" s="92">
        <v>5412</v>
      </c>
      <c r="N10" s="92">
        <v>6</v>
      </c>
      <c r="O10" s="90">
        <f t="shared" si="0"/>
        <v>92004000</v>
      </c>
      <c r="P10" s="93">
        <f t="shared" si="1"/>
        <v>100362333.33333333</v>
      </c>
      <c r="Q10" s="93">
        <f t="shared" si="2"/>
        <v>7244639.9726510411</v>
      </c>
      <c r="R10" s="94">
        <f t="shared" si="5"/>
        <v>8.0015707497132311</v>
      </c>
      <c r="S10" s="85"/>
      <c r="T10" s="85"/>
      <c r="U10" s="85"/>
      <c r="V10" s="85"/>
    </row>
    <row r="11" spans="1:22">
      <c r="A11" s="85"/>
      <c r="B11" s="91" t="s">
        <v>193</v>
      </c>
      <c r="C11" s="92">
        <v>900</v>
      </c>
      <c r="D11" s="92">
        <v>2</v>
      </c>
      <c r="E11" s="92">
        <v>2783</v>
      </c>
      <c r="F11" s="92">
        <v>6</v>
      </c>
      <c r="G11" s="90">
        <f t="shared" si="3"/>
        <v>47310999.999999993</v>
      </c>
      <c r="H11" s="92">
        <v>2</v>
      </c>
      <c r="I11" s="92">
        <v>2791</v>
      </c>
      <c r="J11" s="92">
        <v>6</v>
      </c>
      <c r="K11" s="90">
        <f t="shared" si="4"/>
        <v>47447000</v>
      </c>
      <c r="L11" s="92">
        <v>2</v>
      </c>
      <c r="M11" s="92">
        <v>2844</v>
      </c>
      <c r="N11" s="92">
        <v>6</v>
      </c>
      <c r="O11" s="90">
        <f t="shared" si="0"/>
        <v>48347999.999999993</v>
      </c>
      <c r="P11" s="93">
        <f t="shared" si="1"/>
        <v>47702000</v>
      </c>
      <c r="Q11" s="93">
        <f t="shared" si="2"/>
        <v>563569.87144452473</v>
      </c>
      <c r="R11" s="94">
        <f t="shared" si="5"/>
        <v>7.6785365880706147</v>
      </c>
      <c r="S11" s="85"/>
      <c r="T11" s="85"/>
      <c r="U11" s="85"/>
      <c r="V11" s="85"/>
    </row>
    <row r="12" spans="1:22">
      <c r="A12" s="85"/>
      <c r="B12" s="91" t="s">
        <v>194</v>
      </c>
      <c r="C12" s="92">
        <v>900</v>
      </c>
      <c r="D12" s="92">
        <v>1</v>
      </c>
      <c r="E12" s="92">
        <v>14347</v>
      </c>
      <c r="F12" s="92">
        <v>6</v>
      </c>
      <c r="G12" s="90">
        <f t="shared" si="3"/>
        <v>24389899.999999996</v>
      </c>
      <c r="H12" s="92">
        <v>1</v>
      </c>
      <c r="I12" s="92">
        <v>13548</v>
      </c>
      <c r="J12" s="92">
        <v>6</v>
      </c>
      <c r="K12" s="90">
        <f t="shared" si="4"/>
        <v>23031600</v>
      </c>
      <c r="L12" s="92">
        <v>1</v>
      </c>
      <c r="M12" s="92">
        <v>14200</v>
      </c>
      <c r="N12" s="92">
        <v>6</v>
      </c>
      <c r="O12" s="90">
        <f t="shared" si="0"/>
        <v>24139999.999999996</v>
      </c>
      <c r="P12" s="93">
        <f t="shared" si="1"/>
        <v>23853833.333333332</v>
      </c>
      <c r="Q12" s="93">
        <f t="shared" si="2"/>
        <v>722954.52369656716</v>
      </c>
      <c r="R12" s="94">
        <f t="shared" si="5"/>
        <v>7.3775581805140655</v>
      </c>
      <c r="S12" s="85"/>
      <c r="T12" s="85"/>
      <c r="U12" s="85"/>
      <c r="V12" s="85"/>
    </row>
    <row r="13" spans="1:22">
      <c r="A13" s="85"/>
      <c r="B13" s="91" t="s">
        <v>195</v>
      </c>
      <c r="C13" s="92">
        <v>900</v>
      </c>
      <c r="D13" s="92">
        <v>1</v>
      </c>
      <c r="E13" s="92">
        <v>5210</v>
      </c>
      <c r="F13" s="92">
        <v>6</v>
      </c>
      <c r="G13" s="90">
        <f t="shared" si="3"/>
        <v>8857000</v>
      </c>
      <c r="H13" s="92">
        <v>1</v>
      </c>
      <c r="I13" s="92">
        <v>5214</v>
      </c>
      <c r="J13" s="92">
        <v>6</v>
      </c>
      <c r="K13" s="90">
        <f t="shared" si="4"/>
        <v>8863800</v>
      </c>
      <c r="L13" s="92">
        <v>1</v>
      </c>
      <c r="M13" s="92">
        <v>5752</v>
      </c>
      <c r="N13" s="92">
        <v>6</v>
      </c>
      <c r="O13" s="90">
        <f t="shared" si="0"/>
        <v>9778400</v>
      </c>
      <c r="P13" s="93">
        <f t="shared" si="1"/>
        <v>9166400</v>
      </c>
      <c r="Q13" s="93">
        <f t="shared" si="2"/>
        <v>530018.4525089669</v>
      </c>
      <c r="R13" s="94">
        <f t="shared" si="5"/>
        <v>6.9621988049055377</v>
      </c>
      <c r="S13" s="85"/>
      <c r="T13" s="85"/>
      <c r="U13" s="85"/>
      <c r="V13" s="85"/>
    </row>
    <row r="14" spans="1:22">
      <c r="A14" s="85"/>
      <c r="B14" s="91" t="s">
        <v>196</v>
      </c>
      <c r="C14" s="92">
        <v>900</v>
      </c>
      <c r="D14" s="92">
        <v>1</v>
      </c>
      <c r="E14" s="92">
        <v>2620</v>
      </c>
      <c r="F14" s="92">
        <v>6</v>
      </c>
      <c r="G14" s="90">
        <f t="shared" si="3"/>
        <v>4454000</v>
      </c>
      <c r="H14" s="92">
        <v>1</v>
      </c>
      <c r="I14" s="92">
        <v>2454</v>
      </c>
      <c r="J14" s="92">
        <v>6</v>
      </c>
      <c r="K14" s="90">
        <f t="shared" si="4"/>
        <v>4171799.9999999991</v>
      </c>
      <c r="L14" s="92">
        <v>1</v>
      </c>
      <c r="M14" s="92">
        <v>2673</v>
      </c>
      <c r="N14" s="92">
        <v>6</v>
      </c>
      <c r="O14" s="90">
        <f t="shared" si="0"/>
        <v>4544099.9999999991</v>
      </c>
      <c r="P14" s="93">
        <f t="shared" si="1"/>
        <v>4389966.666666666</v>
      </c>
      <c r="Q14" s="93">
        <f t="shared" si="2"/>
        <v>194234.45454741904</v>
      </c>
      <c r="R14" s="94">
        <f t="shared" si="5"/>
        <v>6.642461222625335</v>
      </c>
      <c r="S14" s="85"/>
      <c r="T14" s="85"/>
      <c r="U14" s="85"/>
      <c r="V14" s="85"/>
    </row>
    <row r="15" spans="1:22">
      <c r="A15" s="85"/>
      <c r="B15" s="91" t="s">
        <v>197</v>
      </c>
      <c r="C15" s="92">
        <v>900</v>
      </c>
      <c r="D15" s="92">
        <v>1</v>
      </c>
      <c r="E15" s="92">
        <v>1562</v>
      </c>
      <c r="F15" s="92">
        <v>6</v>
      </c>
      <c r="G15" s="90">
        <f t="shared" si="3"/>
        <v>2655399.9999999995</v>
      </c>
      <c r="H15" s="92">
        <v>1</v>
      </c>
      <c r="I15" s="92">
        <v>1614</v>
      </c>
      <c r="J15" s="92">
        <v>6</v>
      </c>
      <c r="K15" s="90">
        <f t="shared" si="4"/>
        <v>2743799.9999999995</v>
      </c>
      <c r="L15" s="92">
        <v>1</v>
      </c>
      <c r="M15" s="92">
        <v>1660</v>
      </c>
      <c r="N15" s="92">
        <v>6</v>
      </c>
      <c r="O15" s="90">
        <f t="shared" si="0"/>
        <v>2822000</v>
      </c>
      <c r="P15" s="93">
        <f t="shared" si="1"/>
        <v>2740400</v>
      </c>
      <c r="Q15" s="93">
        <f t="shared" si="2"/>
        <v>83352.024570492809</v>
      </c>
      <c r="R15" s="94">
        <f t="shared" si="5"/>
        <v>6.4378139588473458</v>
      </c>
      <c r="S15" s="85"/>
      <c r="T15" s="85"/>
      <c r="U15" s="85"/>
      <c r="V15" s="85"/>
    </row>
    <row r="16" spans="1:22">
      <c r="A16" s="85"/>
      <c r="B16" s="91" t="s">
        <v>198</v>
      </c>
      <c r="C16" s="92">
        <v>900</v>
      </c>
      <c r="D16" s="92">
        <v>1</v>
      </c>
      <c r="E16" s="92">
        <v>2084</v>
      </c>
      <c r="F16" s="92">
        <v>13</v>
      </c>
      <c r="G16" s="90">
        <f t="shared" si="3"/>
        <v>1635138.4615384615</v>
      </c>
      <c r="H16" s="92">
        <v>1</v>
      </c>
      <c r="I16" s="92">
        <v>2144</v>
      </c>
      <c r="J16" s="92">
        <v>13</v>
      </c>
      <c r="K16" s="90">
        <f t="shared" si="4"/>
        <v>1682215.3846153847</v>
      </c>
      <c r="L16" s="92">
        <v>1</v>
      </c>
      <c r="M16" s="92">
        <v>1740</v>
      </c>
      <c r="N16" s="92">
        <v>13</v>
      </c>
      <c r="O16" s="90">
        <f t="shared" si="0"/>
        <v>1365230.769230769</v>
      </c>
      <c r="P16" s="93">
        <f t="shared" si="1"/>
        <v>1560861.5384615387</v>
      </c>
      <c r="Q16" s="93">
        <f t="shared" si="2"/>
        <v>171048.55326475156</v>
      </c>
      <c r="R16" s="94">
        <f t="shared" si="5"/>
        <v>6.1933643792000312</v>
      </c>
      <c r="S16" s="85"/>
      <c r="T16" s="85"/>
      <c r="U16" s="85"/>
      <c r="V16" s="85"/>
    </row>
    <row r="17" spans="1:22">
      <c r="A17" s="85"/>
      <c r="B17" s="91" t="s">
        <v>199</v>
      </c>
      <c r="C17" s="92">
        <v>900</v>
      </c>
      <c r="D17" s="92">
        <v>1</v>
      </c>
      <c r="E17" s="92">
        <v>2200</v>
      </c>
      <c r="F17" s="92">
        <v>26</v>
      </c>
      <c r="G17" s="90">
        <f t="shared" si="3"/>
        <v>863076.92307692301</v>
      </c>
      <c r="H17" s="92">
        <v>1</v>
      </c>
      <c r="I17" s="92">
        <v>2389</v>
      </c>
      <c r="J17" s="92">
        <v>26</v>
      </c>
      <c r="K17" s="90">
        <f t="shared" si="4"/>
        <v>937223.07692307688</v>
      </c>
      <c r="L17" s="92">
        <v>1</v>
      </c>
      <c r="M17" s="92">
        <v>2163</v>
      </c>
      <c r="N17" s="92">
        <v>26</v>
      </c>
      <c r="O17" s="90">
        <f t="shared" si="0"/>
        <v>848561.53846153838</v>
      </c>
      <c r="P17" s="93">
        <f t="shared" si="1"/>
        <v>882953.84615384601</v>
      </c>
      <c r="Q17" s="93">
        <f t="shared" si="2"/>
        <v>47555.611170987548</v>
      </c>
      <c r="R17" s="94">
        <f t="shared" si="5"/>
        <v>5.9459380026890356</v>
      </c>
      <c r="S17" s="85"/>
      <c r="T17" s="85"/>
      <c r="U17" s="85"/>
      <c r="V17" s="85"/>
    </row>
    <row r="18" spans="1:22">
      <c r="A18" s="85"/>
      <c r="B18" s="91" t="s">
        <v>200</v>
      </c>
      <c r="C18" s="92">
        <v>900</v>
      </c>
      <c r="D18" s="92">
        <v>1</v>
      </c>
      <c r="E18" s="92">
        <v>2258</v>
      </c>
      <c r="F18" s="92">
        <v>53</v>
      </c>
      <c r="G18" s="90">
        <f t="shared" si="3"/>
        <v>434558.49056603765</v>
      </c>
      <c r="H18" s="92">
        <v>1</v>
      </c>
      <c r="I18" s="92">
        <v>2364</v>
      </c>
      <c r="J18" s="92">
        <v>53</v>
      </c>
      <c r="K18" s="90">
        <f t="shared" si="4"/>
        <v>454958.49056603771</v>
      </c>
      <c r="L18" s="92">
        <v>1</v>
      </c>
      <c r="M18" s="92">
        <v>2494</v>
      </c>
      <c r="N18" s="92">
        <v>53</v>
      </c>
      <c r="O18" s="90">
        <f t="shared" si="0"/>
        <v>479977.35849056597</v>
      </c>
      <c r="P18" s="93">
        <f t="shared" si="1"/>
        <v>456498.11320754705</v>
      </c>
      <c r="Q18" s="93">
        <f t="shared" si="2"/>
        <v>22748.543234570494</v>
      </c>
      <c r="R18" s="94">
        <f t="shared" si="5"/>
        <v>5.6594389868533534</v>
      </c>
      <c r="S18" s="85"/>
      <c r="T18" s="85"/>
      <c r="U18" s="85"/>
      <c r="V18" s="85"/>
    </row>
    <row r="19" spans="1:22">
      <c r="A19" s="85"/>
      <c r="B19" s="91" t="s">
        <v>201</v>
      </c>
      <c r="C19" s="92">
        <v>900</v>
      </c>
      <c r="D19" s="92">
        <v>1</v>
      </c>
      <c r="E19" s="92">
        <v>2389</v>
      </c>
      <c r="F19" s="92">
        <v>107</v>
      </c>
      <c r="G19" s="90">
        <f t="shared" si="3"/>
        <v>227736.44859813081</v>
      </c>
      <c r="H19" s="92">
        <v>1</v>
      </c>
      <c r="I19" s="92">
        <v>2798</v>
      </c>
      <c r="J19" s="92">
        <v>107</v>
      </c>
      <c r="K19" s="90">
        <f t="shared" si="4"/>
        <v>266725.23364485975</v>
      </c>
      <c r="L19" s="92">
        <v>1</v>
      </c>
      <c r="M19" s="92">
        <v>7437</v>
      </c>
      <c r="N19" s="92">
        <v>394</v>
      </c>
      <c r="O19" s="90">
        <f t="shared" si="0"/>
        <v>192531.47208121826</v>
      </c>
      <c r="P19" s="93">
        <f t="shared" si="1"/>
        <v>228997.71810806962</v>
      </c>
      <c r="Q19" s="93">
        <f t="shared" si="2"/>
        <v>37112.958172626859</v>
      </c>
      <c r="R19" s="94">
        <f t="shared" si="5"/>
        <v>5.359831154750319</v>
      </c>
      <c r="S19" s="85"/>
      <c r="T19" s="85"/>
      <c r="U19" s="85"/>
      <c r="V19" s="85"/>
    </row>
    <row r="20" spans="1:22" ht="15" thickBo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ht="43" thickBot="1">
      <c r="A21" s="85"/>
      <c r="B21" s="95" t="s">
        <v>4</v>
      </c>
      <c r="C21" s="95" t="s">
        <v>202</v>
      </c>
      <c r="D21" s="95" t="s">
        <v>203</v>
      </c>
      <c r="E21" s="95" t="s">
        <v>204</v>
      </c>
      <c r="F21" s="95" t="s">
        <v>205</v>
      </c>
      <c r="G21" s="96" t="s">
        <v>206</v>
      </c>
      <c r="H21" s="97" t="s">
        <v>207</v>
      </c>
      <c r="I21" s="97" t="s">
        <v>254</v>
      </c>
      <c r="J21" s="97" t="s">
        <v>255</v>
      </c>
      <c r="K21" s="97" t="s">
        <v>256</v>
      </c>
      <c r="L21" s="97" t="s">
        <v>257</v>
      </c>
      <c r="M21" s="98" t="s">
        <v>253</v>
      </c>
      <c r="N21" s="85"/>
      <c r="O21" s="85"/>
      <c r="P21" s="85"/>
      <c r="Q21" s="85"/>
      <c r="R21" s="85"/>
      <c r="S21" s="85"/>
      <c r="T21" s="85"/>
      <c r="U21" s="85"/>
      <c r="V21" s="85"/>
    </row>
    <row r="22" spans="1:2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>
      <c r="A23" s="85"/>
      <c r="B23" s="91" t="s">
        <v>186</v>
      </c>
      <c r="C23" s="99">
        <v>12.024166107177734</v>
      </c>
      <c r="D23" s="99">
        <v>11.937971115112305</v>
      </c>
      <c r="E23" s="99">
        <v>12.113894462585449</v>
      </c>
      <c r="F23" s="105">
        <f>AVERAGE(C23:E23)</f>
        <v>12.025343894958496</v>
      </c>
      <c r="G23" s="115">
        <f>1000/1000*200/4*1000/900</f>
        <v>55.555555555555557</v>
      </c>
      <c r="H23" s="114">
        <f>LOG(G23)/LOG(2)</f>
        <v>5.7958592832197748</v>
      </c>
      <c r="I23" s="99">
        <f>C23-H23</f>
        <v>6.2283068239579595</v>
      </c>
      <c r="J23" s="99">
        <f>D23-H23</f>
        <v>6.1421118318925298</v>
      </c>
      <c r="K23" s="99">
        <f>E23-H23</f>
        <v>6.3180351793656744</v>
      </c>
      <c r="L23" s="105">
        <f>AVERAGE(I23:K23)</f>
        <v>6.2294846117387221</v>
      </c>
      <c r="M23" s="98"/>
      <c r="N23" s="85"/>
      <c r="O23" s="85"/>
      <c r="P23" s="85"/>
      <c r="Q23" s="85"/>
      <c r="R23" s="85"/>
      <c r="S23" s="85"/>
      <c r="T23" s="85"/>
      <c r="U23" s="85"/>
      <c r="V23" s="85"/>
    </row>
    <row r="24" spans="1:22">
      <c r="A24" s="85"/>
      <c r="B24" s="91" t="s">
        <v>187</v>
      </c>
      <c r="C24" s="99">
        <v>17.587196350097656</v>
      </c>
      <c r="D24" s="99">
        <v>17.463251113891602</v>
      </c>
      <c r="E24" s="99">
        <v>17.496953964233398</v>
      </c>
      <c r="F24" s="105">
        <f t="shared" ref="F24:F38" si="6">AVERAGE(C24:E24)</f>
        <v>17.515800476074219</v>
      </c>
      <c r="G24" s="115">
        <f t="shared" ref="G24:G27" si="7">1000/1000*200/4*1000/900</f>
        <v>55.555555555555557</v>
      </c>
      <c r="H24" s="114">
        <f t="shared" ref="H24:H38" si="8">LOG(G24)/LOG(2)</f>
        <v>5.7958592832197748</v>
      </c>
      <c r="I24" s="99">
        <f>C24-H24</f>
        <v>11.791337066877881</v>
      </c>
      <c r="J24" s="99">
        <f t="shared" ref="J24:J38" si="9">D24-H24</f>
        <v>11.667391830671827</v>
      </c>
      <c r="K24" s="99">
        <f t="shared" ref="K24:K38" si="10">E24-H24</f>
        <v>11.701094681013624</v>
      </c>
      <c r="L24" s="105">
        <f t="shared" ref="L24:L38" si="11">AVERAGE(I24:K24)</f>
        <v>11.719941192854444</v>
      </c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>
      <c r="A25" s="85"/>
      <c r="B25" s="91" t="s">
        <v>188</v>
      </c>
      <c r="C25" s="99">
        <v>20.035877227783203</v>
      </c>
      <c r="D25" s="99">
        <v>19.974271774291992</v>
      </c>
      <c r="E25" s="99">
        <v>19.944717407226562</v>
      </c>
      <c r="F25" s="105">
        <f t="shared" si="6"/>
        <v>19.984955469767254</v>
      </c>
      <c r="G25" s="115">
        <f t="shared" si="7"/>
        <v>55.555555555555557</v>
      </c>
      <c r="H25" s="114">
        <f t="shared" si="8"/>
        <v>5.7958592832197748</v>
      </c>
      <c r="I25" s="99">
        <f>C25-H25</f>
        <v>14.240017944563428</v>
      </c>
      <c r="J25" s="99">
        <f t="shared" si="9"/>
        <v>14.178412491072217</v>
      </c>
      <c r="K25" s="99">
        <f t="shared" si="10"/>
        <v>14.148858124006788</v>
      </c>
      <c r="L25" s="105">
        <f t="shared" si="11"/>
        <v>14.189096186547479</v>
      </c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>
      <c r="A26" s="85"/>
      <c r="B26" s="91" t="s">
        <v>189</v>
      </c>
      <c r="C26" s="99">
        <v>24.500289916992188</v>
      </c>
      <c r="D26" s="99">
        <v>24.458871841430664</v>
      </c>
      <c r="E26" s="99">
        <v>24.548263549804688</v>
      </c>
      <c r="F26" s="105">
        <f t="shared" si="6"/>
        <v>24.502475102742512</v>
      </c>
      <c r="G26" s="115">
        <f t="shared" si="7"/>
        <v>55.555555555555557</v>
      </c>
      <c r="H26" s="114">
        <f t="shared" si="8"/>
        <v>5.7958592832197748</v>
      </c>
      <c r="I26" s="99">
        <f>C26-H26</f>
        <v>18.704430633772411</v>
      </c>
      <c r="J26" s="99">
        <f t="shared" si="9"/>
        <v>18.663012558210887</v>
      </c>
      <c r="K26" s="99">
        <f t="shared" si="10"/>
        <v>18.752404266584911</v>
      </c>
      <c r="L26" s="105">
        <f t="shared" si="11"/>
        <v>18.706615819522735</v>
      </c>
      <c r="M26" s="98"/>
      <c r="N26" s="85"/>
      <c r="O26" s="85"/>
      <c r="P26" s="85"/>
      <c r="Q26" s="85"/>
      <c r="R26" s="85"/>
      <c r="S26" s="85"/>
      <c r="T26" s="85"/>
      <c r="U26" s="85"/>
      <c r="V26" s="85"/>
    </row>
    <row r="27" spans="1:22">
      <c r="A27" s="85"/>
      <c r="B27" s="91" t="s">
        <v>190</v>
      </c>
      <c r="C27" s="99">
        <v>27.966335296630859</v>
      </c>
      <c r="D27" s="99">
        <v>27.953102111816406</v>
      </c>
      <c r="E27" s="99">
        <v>27.858415603637695</v>
      </c>
      <c r="F27" s="105">
        <f>AVERAGE(C27:E27)</f>
        <v>27.92595100402832</v>
      </c>
      <c r="G27" s="115">
        <f t="shared" si="7"/>
        <v>55.555555555555557</v>
      </c>
      <c r="H27" s="114">
        <f t="shared" si="8"/>
        <v>5.7958592832197748</v>
      </c>
      <c r="I27" s="99">
        <f>C27-H27</f>
        <v>22.170476013411083</v>
      </c>
      <c r="J27" s="99">
        <f>D27-H27</f>
        <v>22.15724282859663</v>
      </c>
      <c r="K27" s="99">
        <f>E27-H27</f>
        <v>22.062556320417919</v>
      </c>
      <c r="L27" s="105">
        <f t="shared" si="11"/>
        <v>22.130091720808547</v>
      </c>
      <c r="M27" s="98"/>
      <c r="N27" s="85"/>
      <c r="O27" s="85"/>
      <c r="P27" s="85"/>
      <c r="Q27" s="85"/>
      <c r="R27" s="85"/>
      <c r="S27" s="85"/>
      <c r="T27" s="85"/>
      <c r="U27" s="85"/>
      <c r="V27" s="85"/>
    </row>
    <row r="28" spans="1:22">
      <c r="A28" s="85"/>
      <c r="B28" s="91" t="s">
        <v>191</v>
      </c>
      <c r="C28" s="99">
        <v>13.96388053894043</v>
      </c>
      <c r="D28" s="99">
        <v>13.646139144897461</v>
      </c>
      <c r="E28" s="99">
        <v>13.680848121643066</v>
      </c>
      <c r="F28" s="105">
        <f t="shared" si="6"/>
        <v>13.763622601826986</v>
      </c>
      <c r="G28" s="85">
        <f>1000/1000*200/4*1000/500</f>
        <v>100</v>
      </c>
      <c r="H28" s="114">
        <f t="shared" si="8"/>
        <v>6.6438561897747244</v>
      </c>
      <c r="I28" s="99">
        <f t="shared" ref="I28:I38" si="12">C28-H28</f>
        <v>7.3200243491657053</v>
      </c>
      <c r="J28" s="99">
        <f t="shared" si="9"/>
        <v>7.0022829551227366</v>
      </c>
      <c r="K28" s="99">
        <f t="shared" si="10"/>
        <v>7.036991931868342</v>
      </c>
      <c r="L28" s="105">
        <f t="shared" si="11"/>
        <v>7.119766412052261</v>
      </c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>
      <c r="A29" s="85"/>
      <c r="B29" s="91" t="s">
        <v>192</v>
      </c>
      <c r="C29" s="99">
        <v>15.15186882019043</v>
      </c>
      <c r="D29" s="99">
        <v>15.517631530761719</v>
      </c>
      <c r="E29" s="99">
        <v>15.663459777832031</v>
      </c>
      <c r="F29" s="105">
        <f t="shared" si="6"/>
        <v>15.44432004292806</v>
      </c>
      <c r="G29" s="85">
        <f t="shared" ref="G29:G38" si="13">1000/1000*200/4*1000/500</f>
        <v>100</v>
      </c>
      <c r="H29" s="114">
        <f t="shared" si="8"/>
        <v>6.6438561897747244</v>
      </c>
      <c r="I29" s="99">
        <f t="shared" si="12"/>
        <v>8.5080126304157062</v>
      </c>
      <c r="J29" s="99">
        <f t="shared" si="9"/>
        <v>8.8737753409869953</v>
      </c>
      <c r="K29" s="99">
        <f t="shared" si="10"/>
        <v>9.0196035880573078</v>
      </c>
      <c r="L29" s="105">
        <f t="shared" si="11"/>
        <v>8.800463853153337</v>
      </c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>
      <c r="A30" s="85"/>
      <c r="B30" s="91" t="s">
        <v>193</v>
      </c>
      <c r="C30" s="99">
        <v>16.251581192016602</v>
      </c>
      <c r="D30" s="99">
        <v>16.335042953491211</v>
      </c>
      <c r="E30" s="99">
        <v>16.212072372436523</v>
      </c>
      <c r="F30" s="105">
        <f t="shared" si="6"/>
        <v>16.266232172648113</v>
      </c>
      <c r="G30" s="85">
        <f t="shared" si="13"/>
        <v>100</v>
      </c>
      <c r="H30" s="114">
        <f t="shared" si="8"/>
        <v>6.6438561897747244</v>
      </c>
      <c r="I30" s="99">
        <f t="shared" si="12"/>
        <v>9.6077250022418781</v>
      </c>
      <c r="J30" s="99">
        <f t="shared" si="9"/>
        <v>9.6911867637164875</v>
      </c>
      <c r="K30" s="99">
        <f t="shared" si="10"/>
        <v>9.5682161826618</v>
      </c>
      <c r="L30" s="105">
        <f t="shared" si="11"/>
        <v>9.6223759828733879</v>
      </c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>
      <c r="A31" s="85"/>
      <c r="B31" s="91" t="s">
        <v>194</v>
      </c>
      <c r="C31" s="99">
        <v>18.410284042358398</v>
      </c>
      <c r="D31" s="99">
        <v>18.640316009521484</v>
      </c>
      <c r="E31" s="99">
        <v>18.454940795898438</v>
      </c>
      <c r="F31" s="105">
        <f t="shared" si="6"/>
        <v>18.501846949259441</v>
      </c>
      <c r="G31" s="85">
        <f t="shared" si="13"/>
        <v>100</v>
      </c>
      <c r="H31" s="114">
        <f t="shared" si="8"/>
        <v>6.6438561897747244</v>
      </c>
      <c r="I31" s="99">
        <f t="shared" si="12"/>
        <v>11.766427852583675</v>
      </c>
      <c r="J31" s="99">
        <f t="shared" si="9"/>
        <v>11.996459819746761</v>
      </c>
      <c r="K31" s="99">
        <f t="shared" si="10"/>
        <v>11.811084606123714</v>
      </c>
      <c r="L31" s="105">
        <f t="shared" si="11"/>
        <v>11.857990759484716</v>
      </c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>
      <c r="A32" s="85"/>
      <c r="B32" s="91" t="s">
        <v>195</v>
      </c>
      <c r="C32" s="99">
        <v>18.648725509643555</v>
      </c>
      <c r="D32" s="99">
        <v>18.836643218994141</v>
      </c>
      <c r="E32" s="99">
        <v>18.618749618530273</v>
      </c>
      <c r="F32" s="105">
        <f t="shared" si="6"/>
        <v>18.701372782389324</v>
      </c>
      <c r="G32" s="85">
        <f t="shared" si="13"/>
        <v>100</v>
      </c>
      <c r="H32" s="114">
        <f t="shared" si="8"/>
        <v>6.6438561897747244</v>
      </c>
      <c r="I32" s="99">
        <f t="shared" si="12"/>
        <v>12.004869319868831</v>
      </c>
      <c r="J32" s="99">
        <f t="shared" si="9"/>
        <v>12.192787029219417</v>
      </c>
      <c r="K32" s="99">
        <f t="shared" si="10"/>
        <v>11.97489342875555</v>
      </c>
      <c r="L32" s="105">
        <f t="shared" si="11"/>
        <v>12.057516592614599</v>
      </c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>
      <c r="A33" s="85"/>
      <c r="B33" s="91" t="s">
        <v>196</v>
      </c>
      <c r="C33" s="99">
        <v>19.173038482666016</v>
      </c>
      <c r="D33" s="99">
        <v>19.267778396606445</v>
      </c>
      <c r="E33" s="99">
        <v>19.15654182434082</v>
      </c>
      <c r="F33" s="105">
        <f t="shared" si="6"/>
        <v>19.199119567871094</v>
      </c>
      <c r="G33" s="85">
        <f t="shared" si="13"/>
        <v>100</v>
      </c>
      <c r="H33" s="114">
        <f t="shared" si="8"/>
        <v>6.6438561897747244</v>
      </c>
      <c r="I33" s="99">
        <f t="shared" si="12"/>
        <v>12.529182292891292</v>
      </c>
      <c r="J33" s="99">
        <f t="shared" si="9"/>
        <v>12.623922206831722</v>
      </c>
      <c r="K33" s="99">
        <f t="shared" si="10"/>
        <v>12.512685634566097</v>
      </c>
      <c r="L33" s="105">
        <f t="shared" si="11"/>
        <v>12.55526337809637</v>
      </c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>
      <c r="A34" s="85"/>
      <c r="B34" s="91" t="s">
        <v>197</v>
      </c>
      <c r="C34" s="99">
        <v>20.283313751220703</v>
      </c>
      <c r="D34" s="99">
        <v>20.449991226196289</v>
      </c>
      <c r="E34" s="99">
        <v>20.311237335205078</v>
      </c>
      <c r="F34" s="105">
        <f t="shared" si="6"/>
        <v>20.348180770874023</v>
      </c>
      <c r="G34" s="85">
        <f t="shared" si="13"/>
        <v>100</v>
      </c>
      <c r="H34" s="114">
        <f t="shared" si="8"/>
        <v>6.6438561897747244</v>
      </c>
      <c r="I34" s="99">
        <f t="shared" si="12"/>
        <v>13.63945756144598</v>
      </c>
      <c r="J34" s="99">
        <f t="shared" si="9"/>
        <v>13.806135036421566</v>
      </c>
      <c r="K34" s="99">
        <f t="shared" si="10"/>
        <v>13.667381145430355</v>
      </c>
      <c r="L34" s="105">
        <f t="shared" si="11"/>
        <v>13.7043245810993</v>
      </c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>
      <c r="A35" s="85"/>
      <c r="B35" s="91" t="s">
        <v>198</v>
      </c>
      <c r="C35" s="99">
        <v>21.243825912475586</v>
      </c>
      <c r="D35" s="99">
        <v>21.539775848388672</v>
      </c>
      <c r="E35" s="99">
        <v>21.392797470092773</v>
      </c>
      <c r="F35" s="105">
        <f t="shared" si="6"/>
        <v>21.392133076985676</v>
      </c>
      <c r="G35" s="85">
        <f t="shared" si="13"/>
        <v>100</v>
      </c>
      <c r="H35" s="114">
        <f t="shared" si="8"/>
        <v>6.6438561897747244</v>
      </c>
      <c r="I35" s="99">
        <f t="shared" si="12"/>
        <v>14.599969722700862</v>
      </c>
      <c r="J35" s="99">
        <f t="shared" si="9"/>
        <v>14.895919658613948</v>
      </c>
      <c r="K35" s="99">
        <f t="shared" si="10"/>
        <v>14.74894128031805</v>
      </c>
      <c r="L35" s="105">
        <f t="shared" si="11"/>
        <v>14.748276887210954</v>
      </c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>
      <c r="A36" s="85"/>
      <c r="B36" s="91" t="s">
        <v>199</v>
      </c>
      <c r="C36" s="99">
        <v>22.513101577758789</v>
      </c>
      <c r="D36" s="99">
        <v>22.496644973754883</v>
      </c>
      <c r="E36" s="99">
        <v>22.572574615478516</v>
      </c>
      <c r="F36" s="105">
        <f t="shared" si="6"/>
        <v>22.527440388997395</v>
      </c>
      <c r="G36" s="85">
        <f t="shared" si="13"/>
        <v>100</v>
      </c>
      <c r="H36" s="114">
        <f t="shared" si="8"/>
        <v>6.6438561897747244</v>
      </c>
      <c r="I36" s="99">
        <f t="shared" si="12"/>
        <v>15.869245387984066</v>
      </c>
      <c r="J36" s="99">
        <f t="shared" si="9"/>
        <v>15.852788783980159</v>
      </c>
      <c r="K36" s="99">
        <f t="shared" si="10"/>
        <v>15.928718425703792</v>
      </c>
      <c r="L36" s="105">
        <f t="shared" si="11"/>
        <v>15.883584199222673</v>
      </c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>
      <c r="A37" s="85"/>
      <c r="B37" s="91" t="s">
        <v>200</v>
      </c>
      <c r="C37" s="99">
        <v>25.11761474609375</v>
      </c>
      <c r="D37" s="99">
        <v>25.00200080871582</v>
      </c>
      <c r="E37" s="99">
        <v>25.069990158081055</v>
      </c>
      <c r="F37" s="105">
        <f t="shared" si="6"/>
        <v>25.063201904296875</v>
      </c>
      <c r="G37" s="85">
        <f t="shared" si="13"/>
        <v>100</v>
      </c>
      <c r="H37" s="114">
        <f t="shared" si="8"/>
        <v>6.6438561897747244</v>
      </c>
      <c r="I37" s="99">
        <f t="shared" si="12"/>
        <v>18.473758556319027</v>
      </c>
      <c r="J37" s="99">
        <f t="shared" si="9"/>
        <v>18.358144618941097</v>
      </c>
      <c r="K37" s="99">
        <f t="shared" si="10"/>
        <v>18.426133968306331</v>
      </c>
      <c r="L37" s="105">
        <f t="shared" si="11"/>
        <v>18.419345714522152</v>
      </c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>
      <c r="A38" s="85"/>
      <c r="B38" s="91" t="s">
        <v>201</v>
      </c>
      <c r="C38" s="99">
        <v>25.78911018371582</v>
      </c>
      <c r="D38" s="99">
        <v>25.811565399169922</v>
      </c>
      <c r="E38" s="99">
        <v>25.885698318481445</v>
      </c>
      <c r="F38" s="105">
        <f t="shared" si="6"/>
        <v>25.82879130045573</v>
      </c>
      <c r="G38" s="85">
        <f t="shared" si="13"/>
        <v>100</v>
      </c>
      <c r="H38" s="114">
        <f t="shared" si="8"/>
        <v>6.6438561897747244</v>
      </c>
      <c r="I38" s="99">
        <f t="shared" si="12"/>
        <v>19.145253993941097</v>
      </c>
      <c r="J38" s="99">
        <f t="shared" si="9"/>
        <v>19.167709209395198</v>
      </c>
      <c r="K38" s="99">
        <f t="shared" si="10"/>
        <v>19.241842128706722</v>
      </c>
      <c r="L38" s="105">
        <f t="shared" si="11"/>
        <v>19.184935110681007</v>
      </c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>
      <c r="A39" s="85"/>
      <c r="B39" s="85"/>
      <c r="C39" s="85"/>
      <c r="D39" s="85"/>
      <c r="E39" s="85"/>
      <c r="F39" s="114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>
      <c r="A40" s="85"/>
      <c r="B40" s="91" t="s">
        <v>258</v>
      </c>
      <c r="C40" s="99">
        <v>10.746070861816406</v>
      </c>
      <c r="D40" s="99">
        <v>10.822755813598633</v>
      </c>
      <c r="E40" s="99">
        <v>10.731834411621094</v>
      </c>
      <c r="F40" s="105">
        <f>AVERAGE(C40:E40)</f>
        <v>10.766887029012045</v>
      </c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>
      <c r="A42" s="85"/>
      <c r="B42" s="98" t="s">
        <v>214</v>
      </c>
      <c r="C42" s="85" t="s">
        <v>215</v>
      </c>
      <c r="D42" s="85"/>
      <c r="E42" s="85"/>
      <c r="F42" t="s">
        <v>259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>
      <c r="A43" s="85"/>
      <c r="B43" s="85" t="s">
        <v>260</v>
      </c>
      <c r="C43" s="85" t="s">
        <v>215</v>
      </c>
      <c r="D43" s="85"/>
      <c r="E43" s="85"/>
      <c r="F43">
        <v>0.34642903804779052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>
      <c r="A44" s="85"/>
      <c r="B44" s="85"/>
      <c r="C44" s="102" t="s">
        <v>217</v>
      </c>
      <c r="D44" s="100">
        <v>-3.9893000000000001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>
      <c r="A45" s="85"/>
      <c r="B45" s="85"/>
      <c r="C45" s="102" t="s">
        <v>218</v>
      </c>
      <c r="D45" s="100">
        <v>40.134999999999998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>
      <c r="A48" s="85"/>
      <c r="B48" s="98" t="s">
        <v>219</v>
      </c>
      <c r="C48" s="85"/>
      <c r="D48" s="85">
        <f>-1+ POWER(10,-(1/D44))</f>
        <v>0.78102716558460528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>
      <c r="A50" s="85"/>
      <c r="B50" s="98" t="s">
        <v>261</v>
      </c>
      <c r="C50" s="116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 F. prausnitzii</vt:lpstr>
      <vt:lpstr>Determination cell counts FP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2015-04-20T14:01:19Z</cp:lastPrinted>
  <dcterms:created xsi:type="dcterms:W3CDTF">2009-02-15T16:08:16Z</dcterms:created>
  <dcterms:modified xsi:type="dcterms:W3CDTF">2016-04-13T16:20:16Z</dcterms:modified>
</cp:coreProperties>
</file>