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autoCompressPictures="0"/>
  <bookViews>
    <workbookView xWindow="240" yWindow="240" windowWidth="25280" windowHeight="15780" tabRatio="930" firstSheet="12" activeTab="23"/>
  </bookViews>
  <sheets>
    <sheet name="Fermentation" sheetId="1" r:id="rId1"/>
    <sheet name="Calculation" sheetId="2" r:id="rId2"/>
    <sheet name="Plate Count" sheetId="3" r:id="rId3"/>
    <sheet name="Flow cytometer" sheetId="22" r:id="rId4"/>
    <sheet name="Calibration R. intestinalis " sheetId="25" r:id="rId5"/>
    <sheet name="Determination cell counts RI" sheetId="26" r:id="rId6"/>
    <sheet name="Calibration F. prausnitzii" sheetId="29" r:id="rId7"/>
    <sheet name="Determination cell counts FP" sheetId="30" r:id="rId8"/>
    <sheet name="CalibrationB. hydrogenotrophica" sheetId="32" r:id="rId9"/>
    <sheet name="Determination cell counts BH" sheetId="28" r:id="rId10"/>
    <sheet name="Total cell count" sheetId="31" r:id="rId11"/>
    <sheet name="OD600nm" sheetId="4" r:id="rId12"/>
    <sheet name="CDM" sheetId="5" r:id="rId13"/>
    <sheet name="H2" sheetId="17" r:id="rId14"/>
    <sheet name="CO2" sheetId="7" r:id="rId15"/>
    <sheet name="Metabolites" sheetId="8" r:id="rId16"/>
    <sheet name="D-Fructose" sheetId="19" r:id="rId17"/>
    <sheet name="Formic acid" sheetId="18" r:id="rId18"/>
    <sheet name="Acetic acid" sheetId="15" r:id="rId19"/>
    <sheet name="Propionic acid" sheetId="20" r:id="rId20"/>
    <sheet name="Butyric acid" sheetId="21" r:id="rId21"/>
    <sheet name="Lactic acid" sheetId="14" r:id="rId22"/>
    <sheet name="Ethanol" sheetId="16" r:id="rId23"/>
    <sheet name="Graph" sheetId="13" r:id="rId24"/>
    <sheet name="Graph (2)" sheetId="24" r:id="rId25"/>
    <sheet name="Carbon recovery" sheetId="23" r:id="rId26"/>
  </sheets>
  <externalReferences>
    <externalReference r:id="rId27"/>
  </externalReferences>
  <definedNames>
    <definedName name="_2012_05_10_FPRAU_fruc1" localSheetId="14">'CO2'!$I$5:$I$293</definedName>
    <definedName name="_2012_06_08_BIF_REC_OLI_1" localSheetId="14">'CO2'!$N$5:$N$201</definedName>
    <definedName name="_2012_06_08_BIF_REC_OLI_1" localSheetId="13">'H2'!$K$5:$K$244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68" i="28" l="1"/>
  <c r="H65" i="28"/>
  <c r="H64" i="28"/>
  <c r="H63" i="28"/>
  <c r="H62" i="28"/>
  <c r="H61" i="28"/>
  <c r="H60" i="28"/>
  <c r="H59" i="28"/>
  <c r="H58" i="28"/>
  <c r="H57" i="28"/>
  <c r="H56" i="28"/>
  <c r="H78" i="30"/>
  <c r="H75" i="30"/>
  <c r="H74" i="30"/>
  <c r="H73" i="30"/>
  <c r="H72" i="30"/>
  <c r="H73" i="26"/>
  <c r="H70" i="26"/>
  <c r="H69" i="26"/>
  <c r="H68" i="26"/>
  <c r="H67" i="26"/>
  <c r="H66" i="26"/>
  <c r="H65" i="26"/>
  <c r="H64" i="26"/>
  <c r="H27" i="26"/>
  <c r="H28" i="26"/>
  <c r="H29" i="26"/>
  <c r="H30" i="26"/>
  <c r="H31" i="26"/>
  <c r="H32" i="26"/>
  <c r="H33" i="26"/>
  <c r="H34" i="26"/>
  <c r="H35" i="26"/>
  <c r="H36" i="26"/>
  <c r="H37" i="26"/>
  <c r="H38" i="26"/>
  <c r="H39" i="26"/>
  <c r="H40" i="26"/>
  <c r="H41" i="26"/>
  <c r="H42" i="26"/>
  <c r="H43" i="26"/>
  <c r="H44" i="26"/>
  <c r="H45" i="26"/>
  <c r="H46" i="26"/>
  <c r="H47" i="26"/>
  <c r="H48" i="26"/>
  <c r="H49" i="26"/>
  <c r="H50" i="26"/>
  <c r="H51" i="26"/>
  <c r="H52" i="26"/>
  <c r="H53" i="26"/>
  <c r="H54" i="26"/>
  <c r="H55" i="26"/>
  <c r="H56" i="26"/>
  <c r="H57" i="26"/>
  <c r="H58" i="26"/>
  <c r="H59" i="26"/>
  <c r="H60" i="26"/>
  <c r="H61" i="26"/>
  <c r="H62" i="26"/>
  <c r="H63" i="26"/>
  <c r="H4" i="26"/>
  <c r="B25" i="26"/>
  <c r="B24" i="26"/>
  <c r="K4" i="26"/>
  <c r="I4" i="26"/>
  <c r="L4" i="26"/>
  <c r="J4" i="26"/>
  <c r="M4" i="26"/>
  <c r="P4" i="26"/>
  <c r="R4" i="26"/>
  <c r="E5" i="31"/>
  <c r="H71" i="30"/>
  <c r="H30" i="30"/>
  <c r="H31" i="30"/>
  <c r="H32" i="30"/>
  <c r="H33" i="30"/>
  <c r="H34" i="30"/>
  <c r="H35" i="30"/>
  <c r="H36" i="30"/>
  <c r="H37" i="30"/>
  <c r="H38" i="30"/>
  <c r="H39" i="30"/>
  <c r="H40" i="30"/>
  <c r="H41" i="30"/>
  <c r="H42" i="30"/>
  <c r="H43" i="30"/>
  <c r="H44" i="30"/>
  <c r="H45" i="30"/>
  <c r="H46" i="30"/>
  <c r="H47" i="30"/>
  <c r="H48" i="30"/>
  <c r="H49" i="30"/>
  <c r="H50" i="30"/>
  <c r="H51" i="30"/>
  <c r="H52" i="30"/>
  <c r="H53" i="30"/>
  <c r="H54" i="30"/>
  <c r="H55" i="30"/>
  <c r="H56" i="30"/>
  <c r="H57" i="30"/>
  <c r="H58" i="30"/>
  <c r="H59" i="30"/>
  <c r="H60" i="30"/>
  <c r="H61" i="30"/>
  <c r="H62" i="30"/>
  <c r="H63" i="30"/>
  <c r="H64" i="30"/>
  <c r="H65" i="30"/>
  <c r="H66" i="30"/>
  <c r="H67" i="30"/>
  <c r="H68" i="30"/>
  <c r="H69" i="30"/>
  <c r="H70" i="30"/>
  <c r="H4" i="30"/>
  <c r="B28" i="30"/>
  <c r="B27" i="30"/>
  <c r="K4" i="30"/>
  <c r="I4" i="30"/>
  <c r="L4" i="30"/>
  <c r="J4" i="30"/>
  <c r="M4" i="30"/>
  <c r="P4" i="30"/>
  <c r="R4" i="30"/>
  <c r="E26" i="31"/>
  <c r="H55" i="28"/>
  <c r="H27" i="28"/>
  <c r="H28" i="28"/>
  <c r="H29" i="28"/>
  <c r="H30" i="28"/>
  <c r="H31" i="28"/>
  <c r="H32" i="28"/>
  <c r="H33" i="28"/>
  <c r="H34" i="28"/>
  <c r="H35" i="28"/>
  <c r="H36" i="28"/>
  <c r="H37" i="28"/>
  <c r="H38" i="28"/>
  <c r="H39" i="28"/>
  <c r="H40" i="28"/>
  <c r="H41" i="28"/>
  <c r="H42" i="28"/>
  <c r="H43" i="28"/>
  <c r="H44" i="28"/>
  <c r="H45" i="28"/>
  <c r="H46" i="28"/>
  <c r="H47" i="28"/>
  <c r="H48" i="28"/>
  <c r="H49" i="28"/>
  <c r="H50" i="28"/>
  <c r="H51" i="28"/>
  <c r="H52" i="28"/>
  <c r="H53" i="28"/>
  <c r="H54" i="28"/>
  <c r="H4" i="28"/>
  <c r="B25" i="28"/>
  <c r="B24" i="28"/>
  <c r="K4" i="28"/>
  <c r="I4" i="28"/>
  <c r="L4" i="28"/>
  <c r="J4" i="28"/>
  <c r="M4" i="28"/>
  <c r="P4" i="28"/>
  <c r="R4" i="28"/>
  <c r="L5" i="31"/>
  <c r="O5" i="31"/>
  <c r="H5" i="28"/>
  <c r="K5" i="28"/>
  <c r="I5" i="28"/>
  <c r="L5" i="28"/>
  <c r="J5" i="28"/>
  <c r="M5" i="28"/>
  <c r="O5" i="28"/>
  <c r="S5" i="28"/>
  <c r="M6" i="31"/>
  <c r="H6" i="28"/>
  <c r="K6" i="28"/>
  <c r="I6" i="28"/>
  <c r="L6" i="28"/>
  <c r="J6" i="28"/>
  <c r="M6" i="28"/>
  <c r="O6" i="28"/>
  <c r="S6" i="28"/>
  <c r="M7" i="31"/>
  <c r="H7" i="28"/>
  <c r="K7" i="28"/>
  <c r="I7" i="28"/>
  <c r="L7" i="28"/>
  <c r="O7" i="28"/>
  <c r="S7" i="28"/>
  <c r="M8" i="31"/>
  <c r="H8" i="28"/>
  <c r="K8" i="28"/>
  <c r="I8" i="28"/>
  <c r="L8" i="28"/>
  <c r="J8" i="28"/>
  <c r="M8" i="28"/>
  <c r="O8" i="28"/>
  <c r="S8" i="28"/>
  <c r="M9" i="31"/>
  <c r="H9" i="28"/>
  <c r="K9" i="28"/>
  <c r="I9" i="28"/>
  <c r="L9" i="28"/>
  <c r="J9" i="28"/>
  <c r="M9" i="28"/>
  <c r="O9" i="28"/>
  <c r="S9" i="28"/>
  <c r="M10" i="31"/>
  <c r="H10" i="28"/>
  <c r="K10" i="28"/>
  <c r="I10" i="28"/>
  <c r="L10" i="28"/>
  <c r="J10" i="28"/>
  <c r="M10" i="28"/>
  <c r="O10" i="28"/>
  <c r="S10" i="28"/>
  <c r="M11" i="31"/>
  <c r="H11" i="28"/>
  <c r="K11" i="28"/>
  <c r="I11" i="28"/>
  <c r="L11" i="28"/>
  <c r="J11" i="28"/>
  <c r="M11" i="28"/>
  <c r="O11" i="28"/>
  <c r="S11" i="28"/>
  <c r="M12" i="31"/>
  <c r="H12" i="28"/>
  <c r="K12" i="28"/>
  <c r="I12" i="28"/>
  <c r="L12" i="28"/>
  <c r="J12" i="28"/>
  <c r="M12" i="28"/>
  <c r="O12" i="28"/>
  <c r="S12" i="28"/>
  <c r="M13" i="31"/>
  <c r="H13" i="28"/>
  <c r="K13" i="28"/>
  <c r="I13" i="28"/>
  <c r="L13" i="28"/>
  <c r="J13" i="28"/>
  <c r="M13" i="28"/>
  <c r="O13" i="28"/>
  <c r="S13" i="28"/>
  <c r="M14" i="31"/>
  <c r="H14" i="28"/>
  <c r="K14" i="28"/>
  <c r="I14" i="28"/>
  <c r="L14" i="28"/>
  <c r="J14" i="28"/>
  <c r="M14" i="28"/>
  <c r="O14" i="28"/>
  <c r="S14" i="28"/>
  <c r="M15" i="31"/>
  <c r="H15" i="28"/>
  <c r="K15" i="28"/>
  <c r="I15" i="28"/>
  <c r="L15" i="28"/>
  <c r="J15" i="28"/>
  <c r="M15" i="28"/>
  <c r="O15" i="28"/>
  <c r="S15" i="28"/>
  <c r="M16" i="31"/>
  <c r="H16" i="28"/>
  <c r="K16" i="28"/>
  <c r="I16" i="28"/>
  <c r="L16" i="28"/>
  <c r="J16" i="28"/>
  <c r="M16" i="28"/>
  <c r="O16" i="28"/>
  <c r="S16" i="28"/>
  <c r="M17" i="31"/>
  <c r="H17" i="28"/>
  <c r="K17" i="28"/>
  <c r="I17" i="28"/>
  <c r="L17" i="28"/>
  <c r="J17" i="28"/>
  <c r="M17" i="28"/>
  <c r="O17" i="28"/>
  <c r="S17" i="28"/>
  <c r="M18" i="31"/>
  <c r="H18" i="28"/>
  <c r="K18" i="28"/>
  <c r="I18" i="28"/>
  <c r="L18" i="28"/>
  <c r="O18" i="28"/>
  <c r="S18" i="28"/>
  <c r="M19" i="31"/>
  <c r="H19" i="28"/>
  <c r="K19" i="28"/>
  <c r="I19" i="28"/>
  <c r="L19" i="28"/>
  <c r="J19" i="28"/>
  <c r="M19" i="28"/>
  <c r="O19" i="28"/>
  <c r="S19" i="28"/>
  <c r="M20" i="31"/>
  <c r="H20" i="28"/>
  <c r="K20" i="28"/>
  <c r="I20" i="28"/>
  <c r="L20" i="28"/>
  <c r="J20" i="28"/>
  <c r="M20" i="28"/>
  <c r="O20" i="28"/>
  <c r="S20" i="28"/>
  <c r="M21" i="31"/>
  <c r="O4" i="28"/>
  <c r="S4" i="28"/>
  <c r="M5" i="31"/>
  <c r="P5" i="28"/>
  <c r="R5" i="28"/>
  <c r="L6" i="31"/>
  <c r="P6" i="28"/>
  <c r="R6" i="28"/>
  <c r="L7" i="31"/>
  <c r="P7" i="28"/>
  <c r="R7" i="28"/>
  <c r="L8" i="31"/>
  <c r="P8" i="28"/>
  <c r="R8" i="28"/>
  <c r="L9" i="31"/>
  <c r="P9" i="28"/>
  <c r="R9" i="28"/>
  <c r="L10" i="31"/>
  <c r="P10" i="28"/>
  <c r="R10" i="28"/>
  <c r="L11" i="31"/>
  <c r="P11" i="28"/>
  <c r="R11" i="28"/>
  <c r="L12" i="31"/>
  <c r="P12" i="28"/>
  <c r="R12" i="28"/>
  <c r="L13" i="31"/>
  <c r="P13" i="28"/>
  <c r="R13" i="28"/>
  <c r="L14" i="31"/>
  <c r="P14" i="28"/>
  <c r="R14" i="28"/>
  <c r="L15" i="31"/>
  <c r="P15" i="28"/>
  <c r="R15" i="28"/>
  <c r="L16" i="31"/>
  <c r="P16" i="28"/>
  <c r="R16" i="28"/>
  <c r="L17" i="31"/>
  <c r="P17" i="28"/>
  <c r="R17" i="28"/>
  <c r="L18" i="31"/>
  <c r="P18" i="28"/>
  <c r="R18" i="28"/>
  <c r="L19" i="31"/>
  <c r="P19" i="28"/>
  <c r="R19" i="28"/>
  <c r="L20" i="31"/>
  <c r="P20" i="28"/>
  <c r="R20" i="28"/>
  <c r="L21" i="31"/>
  <c r="H5" i="30"/>
  <c r="K5" i="30"/>
  <c r="I5" i="30"/>
  <c r="L5" i="30"/>
  <c r="J5" i="30"/>
  <c r="M5" i="30"/>
  <c r="O5" i="30"/>
  <c r="S5" i="30"/>
  <c r="F27" i="31"/>
  <c r="H6" i="30"/>
  <c r="K6" i="30"/>
  <c r="I6" i="30"/>
  <c r="L6" i="30"/>
  <c r="J6" i="30"/>
  <c r="M6" i="30"/>
  <c r="O6" i="30"/>
  <c r="S6" i="30"/>
  <c r="F28" i="31"/>
  <c r="H7" i="30"/>
  <c r="K7" i="30"/>
  <c r="I7" i="30"/>
  <c r="L7" i="30"/>
  <c r="J7" i="30"/>
  <c r="M7" i="30"/>
  <c r="O7" i="30"/>
  <c r="S7" i="30"/>
  <c r="F29" i="31"/>
  <c r="H8" i="30"/>
  <c r="K8" i="30"/>
  <c r="I8" i="30"/>
  <c r="L8" i="30"/>
  <c r="J8" i="30"/>
  <c r="M8" i="30"/>
  <c r="O8" i="30"/>
  <c r="S8" i="30"/>
  <c r="F30" i="31"/>
  <c r="H9" i="30"/>
  <c r="K9" i="30"/>
  <c r="I9" i="30"/>
  <c r="L9" i="30"/>
  <c r="J9" i="30"/>
  <c r="M9" i="30"/>
  <c r="O9" i="30"/>
  <c r="S9" i="30"/>
  <c r="F31" i="31"/>
  <c r="H10" i="30"/>
  <c r="K10" i="30"/>
  <c r="I10" i="30"/>
  <c r="L10" i="30"/>
  <c r="J10" i="30"/>
  <c r="M10" i="30"/>
  <c r="O10" i="30"/>
  <c r="S10" i="30"/>
  <c r="F32" i="31"/>
  <c r="H11" i="30"/>
  <c r="K11" i="30"/>
  <c r="I11" i="30"/>
  <c r="L11" i="30"/>
  <c r="J11" i="30"/>
  <c r="M11" i="30"/>
  <c r="O11" i="30"/>
  <c r="S11" i="30"/>
  <c r="F33" i="31"/>
  <c r="H12" i="30"/>
  <c r="K12" i="30"/>
  <c r="I12" i="30"/>
  <c r="L12" i="30"/>
  <c r="J12" i="30"/>
  <c r="M12" i="30"/>
  <c r="O12" i="30"/>
  <c r="S12" i="30"/>
  <c r="F34" i="31"/>
  <c r="H13" i="30"/>
  <c r="K13" i="30"/>
  <c r="I13" i="30"/>
  <c r="L13" i="30"/>
  <c r="J13" i="30"/>
  <c r="M13" i="30"/>
  <c r="O13" i="30"/>
  <c r="S13" i="30"/>
  <c r="F35" i="31"/>
  <c r="H14" i="30"/>
  <c r="K14" i="30"/>
  <c r="I14" i="30"/>
  <c r="L14" i="30"/>
  <c r="J14" i="30"/>
  <c r="M14" i="30"/>
  <c r="O14" i="30"/>
  <c r="S14" i="30"/>
  <c r="F36" i="31"/>
  <c r="H15" i="30"/>
  <c r="K15" i="30"/>
  <c r="I15" i="30"/>
  <c r="L15" i="30"/>
  <c r="J15" i="30"/>
  <c r="M15" i="30"/>
  <c r="O15" i="30"/>
  <c r="S15" i="30"/>
  <c r="F37" i="31"/>
  <c r="H16" i="30"/>
  <c r="K16" i="30"/>
  <c r="I16" i="30"/>
  <c r="L16" i="30"/>
  <c r="J16" i="30"/>
  <c r="M16" i="30"/>
  <c r="O16" i="30"/>
  <c r="S16" i="30"/>
  <c r="F38" i="31"/>
  <c r="H17" i="30"/>
  <c r="K17" i="30"/>
  <c r="I17" i="30"/>
  <c r="L17" i="30"/>
  <c r="J17" i="30"/>
  <c r="M17" i="30"/>
  <c r="O17" i="30"/>
  <c r="S17" i="30"/>
  <c r="F39" i="31"/>
  <c r="H18" i="30"/>
  <c r="K18" i="30"/>
  <c r="I18" i="30"/>
  <c r="L18" i="30"/>
  <c r="J18" i="30"/>
  <c r="M18" i="30"/>
  <c r="O18" i="30"/>
  <c r="S18" i="30"/>
  <c r="F40" i="31"/>
  <c r="H19" i="30"/>
  <c r="K19" i="30"/>
  <c r="I19" i="30"/>
  <c r="L19" i="30"/>
  <c r="J19" i="30"/>
  <c r="M19" i="30"/>
  <c r="O19" i="30"/>
  <c r="S19" i="30"/>
  <c r="F41" i="31"/>
  <c r="H20" i="30"/>
  <c r="K20" i="30"/>
  <c r="I20" i="30"/>
  <c r="L20" i="30"/>
  <c r="J20" i="30"/>
  <c r="M20" i="30"/>
  <c r="O20" i="30"/>
  <c r="S20" i="30"/>
  <c r="F42" i="31"/>
  <c r="O4" i="30"/>
  <c r="S4" i="30"/>
  <c r="F26" i="31"/>
  <c r="P5" i="30"/>
  <c r="R5" i="30"/>
  <c r="E27" i="31"/>
  <c r="P6" i="30"/>
  <c r="R6" i="30"/>
  <c r="E28" i="31"/>
  <c r="P7" i="30"/>
  <c r="R7" i="30"/>
  <c r="E29" i="31"/>
  <c r="P8" i="30"/>
  <c r="R8" i="30"/>
  <c r="E30" i="31"/>
  <c r="P9" i="30"/>
  <c r="R9" i="30"/>
  <c r="E31" i="31"/>
  <c r="P10" i="30"/>
  <c r="R10" i="30"/>
  <c r="E32" i="31"/>
  <c r="P11" i="30"/>
  <c r="R11" i="30"/>
  <c r="E33" i="31"/>
  <c r="P12" i="30"/>
  <c r="R12" i="30"/>
  <c r="E34" i="31"/>
  <c r="P13" i="30"/>
  <c r="R13" i="30"/>
  <c r="E35" i="31"/>
  <c r="P14" i="30"/>
  <c r="R14" i="30"/>
  <c r="E36" i="31"/>
  <c r="P15" i="30"/>
  <c r="R15" i="30"/>
  <c r="E37" i="31"/>
  <c r="P16" i="30"/>
  <c r="R16" i="30"/>
  <c r="E38" i="31"/>
  <c r="P17" i="30"/>
  <c r="R17" i="30"/>
  <c r="E39" i="31"/>
  <c r="P18" i="30"/>
  <c r="R18" i="30"/>
  <c r="E40" i="31"/>
  <c r="P19" i="30"/>
  <c r="R19" i="30"/>
  <c r="E41" i="31"/>
  <c r="P20" i="30"/>
  <c r="R20" i="30"/>
  <c r="E42" i="31"/>
  <c r="H5" i="26"/>
  <c r="K5" i="26"/>
  <c r="I5" i="26"/>
  <c r="L5" i="26"/>
  <c r="J5" i="26"/>
  <c r="M5" i="26"/>
  <c r="O5" i="26"/>
  <c r="S5" i="26"/>
  <c r="F6" i="31"/>
  <c r="H6" i="26"/>
  <c r="K6" i="26"/>
  <c r="I6" i="26"/>
  <c r="L6" i="26"/>
  <c r="J6" i="26"/>
  <c r="M6" i="26"/>
  <c r="O6" i="26"/>
  <c r="S6" i="26"/>
  <c r="F7" i="31"/>
  <c r="H7" i="26"/>
  <c r="K7" i="26"/>
  <c r="I7" i="26"/>
  <c r="L7" i="26"/>
  <c r="J7" i="26"/>
  <c r="M7" i="26"/>
  <c r="O7" i="26"/>
  <c r="S7" i="26"/>
  <c r="F8" i="31"/>
  <c r="H8" i="26"/>
  <c r="K8" i="26"/>
  <c r="I8" i="26"/>
  <c r="L8" i="26"/>
  <c r="J8" i="26"/>
  <c r="M8" i="26"/>
  <c r="O8" i="26"/>
  <c r="S8" i="26"/>
  <c r="F9" i="31"/>
  <c r="H9" i="26"/>
  <c r="K9" i="26"/>
  <c r="I9" i="26"/>
  <c r="L9" i="26"/>
  <c r="J9" i="26"/>
  <c r="M9" i="26"/>
  <c r="O9" i="26"/>
  <c r="S9" i="26"/>
  <c r="F10" i="31"/>
  <c r="H10" i="26"/>
  <c r="K10" i="26"/>
  <c r="I10" i="26"/>
  <c r="L10" i="26"/>
  <c r="J10" i="26"/>
  <c r="M10" i="26"/>
  <c r="O10" i="26"/>
  <c r="S10" i="26"/>
  <c r="F11" i="31"/>
  <c r="H11" i="26"/>
  <c r="K11" i="26"/>
  <c r="I11" i="26"/>
  <c r="L11" i="26"/>
  <c r="J11" i="26"/>
  <c r="M11" i="26"/>
  <c r="O11" i="26"/>
  <c r="S11" i="26"/>
  <c r="F12" i="31"/>
  <c r="H12" i="26"/>
  <c r="K12" i="26"/>
  <c r="I12" i="26"/>
  <c r="L12" i="26"/>
  <c r="J12" i="26"/>
  <c r="M12" i="26"/>
  <c r="O12" i="26"/>
  <c r="S12" i="26"/>
  <c r="F13" i="31"/>
  <c r="H13" i="26"/>
  <c r="K13" i="26"/>
  <c r="I13" i="26"/>
  <c r="L13" i="26"/>
  <c r="J13" i="26"/>
  <c r="M13" i="26"/>
  <c r="O13" i="26"/>
  <c r="S13" i="26"/>
  <c r="F14" i="31"/>
  <c r="H14" i="26"/>
  <c r="K14" i="26"/>
  <c r="I14" i="26"/>
  <c r="L14" i="26"/>
  <c r="J14" i="26"/>
  <c r="M14" i="26"/>
  <c r="O14" i="26"/>
  <c r="S14" i="26"/>
  <c r="F15" i="31"/>
  <c r="H15" i="26"/>
  <c r="K15" i="26"/>
  <c r="I15" i="26"/>
  <c r="L15" i="26"/>
  <c r="J15" i="26"/>
  <c r="M15" i="26"/>
  <c r="O15" i="26"/>
  <c r="S15" i="26"/>
  <c r="F16" i="31"/>
  <c r="H16" i="26"/>
  <c r="K16" i="26"/>
  <c r="I16" i="26"/>
  <c r="L16" i="26"/>
  <c r="J16" i="26"/>
  <c r="M16" i="26"/>
  <c r="O16" i="26"/>
  <c r="S16" i="26"/>
  <c r="F17" i="31"/>
  <c r="H17" i="26"/>
  <c r="K17" i="26"/>
  <c r="I17" i="26"/>
  <c r="L17" i="26"/>
  <c r="J17" i="26"/>
  <c r="M17" i="26"/>
  <c r="O17" i="26"/>
  <c r="S17" i="26"/>
  <c r="F18" i="31"/>
  <c r="H18" i="26"/>
  <c r="K18" i="26"/>
  <c r="I18" i="26"/>
  <c r="L18" i="26"/>
  <c r="J18" i="26"/>
  <c r="M18" i="26"/>
  <c r="O18" i="26"/>
  <c r="S18" i="26"/>
  <c r="F19" i="31"/>
  <c r="H19" i="26"/>
  <c r="K19" i="26"/>
  <c r="I19" i="26"/>
  <c r="L19" i="26"/>
  <c r="J19" i="26"/>
  <c r="M19" i="26"/>
  <c r="O19" i="26"/>
  <c r="S19" i="26"/>
  <c r="F20" i="31"/>
  <c r="H20" i="26"/>
  <c r="K20" i="26"/>
  <c r="I20" i="26"/>
  <c r="L20" i="26"/>
  <c r="J20" i="26"/>
  <c r="M20" i="26"/>
  <c r="O20" i="26"/>
  <c r="S20" i="26"/>
  <c r="F21" i="31"/>
  <c r="O4" i="26"/>
  <c r="S4" i="26"/>
  <c r="F5" i="31"/>
  <c r="P5" i="26"/>
  <c r="R5" i="26"/>
  <c r="E6" i="31"/>
  <c r="P6" i="26"/>
  <c r="R6" i="26"/>
  <c r="E7" i="31"/>
  <c r="P7" i="26"/>
  <c r="R7" i="26"/>
  <c r="E8" i="31"/>
  <c r="P8" i="26"/>
  <c r="R8" i="26"/>
  <c r="E9" i="31"/>
  <c r="P9" i="26"/>
  <c r="R9" i="26"/>
  <c r="E10" i="31"/>
  <c r="P10" i="26"/>
  <c r="R10" i="26"/>
  <c r="E11" i="31"/>
  <c r="P11" i="26"/>
  <c r="R11" i="26"/>
  <c r="E12" i="31"/>
  <c r="P12" i="26"/>
  <c r="R12" i="26"/>
  <c r="E13" i="31"/>
  <c r="P13" i="26"/>
  <c r="R13" i="26"/>
  <c r="E14" i="31"/>
  <c r="P14" i="26"/>
  <c r="R14" i="26"/>
  <c r="E15" i="31"/>
  <c r="P15" i="26"/>
  <c r="R15" i="26"/>
  <c r="E16" i="31"/>
  <c r="P16" i="26"/>
  <c r="R16" i="26"/>
  <c r="E17" i="31"/>
  <c r="P17" i="26"/>
  <c r="R17" i="26"/>
  <c r="E18" i="31"/>
  <c r="P18" i="26"/>
  <c r="R18" i="26"/>
  <c r="E19" i="31"/>
  <c r="P19" i="26"/>
  <c r="R19" i="26"/>
  <c r="E20" i="31"/>
  <c r="P20" i="26"/>
  <c r="R20" i="26"/>
  <c r="E21" i="31"/>
  <c r="N18" i="28"/>
  <c r="J7" i="28"/>
  <c r="J18" i="28"/>
  <c r="D48" i="32"/>
  <c r="F40" i="32"/>
  <c r="G38" i="32"/>
  <c r="H38" i="32"/>
  <c r="I38" i="32"/>
  <c r="J38" i="32"/>
  <c r="K38" i="32"/>
  <c r="L38" i="32"/>
  <c r="F38" i="32"/>
  <c r="G37" i="32"/>
  <c r="H37" i="32"/>
  <c r="I37" i="32"/>
  <c r="J37" i="32"/>
  <c r="K37" i="32"/>
  <c r="L37" i="32"/>
  <c r="F37" i="32"/>
  <c r="G36" i="32"/>
  <c r="H36" i="32"/>
  <c r="I36" i="32"/>
  <c r="J36" i="32"/>
  <c r="K36" i="32"/>
  <c r="L36" i="32"/>
  <c r="F36" i="32"/>
  <c r="G35" i="32"/>
  <c r="H35" i="32"/>
  <c r="I35" i="32"/>
  <c r="J35" i="32"/>
  <c r="K35" i="32"/>
  <c r="L35" i="32"/>
  <c r="F35" i="32"/>
  <c r="G34" i="32"/>
  <c r="H34" i="32"/>
  <c r="I34" i="32"/>
  <c r="J34" i="32"/>
  <c r="K34" i="32"/>
  <c r="L34" i="32"/>
  <c r="F34" i="32"/>
  <c r="G33" i="32"/>
  <c r="H33" i="32"/>
  <c r="I33" i="32"/>
  <c r="J33" i="32"/>
  <c r="K33" i="32"/>
  <c r="L33" i="32"/>
  <c r="F33" i="32"/>
  <c r="G32" i="32"/>
  <c r="H32" i="32"/>
  <c r="I32" i="32"/>
  <c r="J32" i="32"/>
  <c r="K32" i="32"/>
  <c r="L32" i="32"/>
  <c r="F32" i="32"/>
  <c r="G31" i="32"/>
  <c r="H31" i="32"/>
  <c r="I31" i="32"/>
  <c r="J31" i="32"/>
  <c r="K31" i="32"/>
  <c r="L31" i="32"/>
  <c r="F31" i="32"/>
  <c r="G30" i="32"/>
  <c r="H30" i="32"/>
  <c r="I30" i="32"/>
  <c r="J30" i="32"/>
  <c r="K30" i="32"/>
  <c r="L30" i="32"/>
  <c r="F30" i="32"/>
  <c r="G29" i="32"/>
  <c r="H29" i="32"/>
  <c r="I29" i="32"/>
  <c r="J29" i="32"/>
  <c r="K29" i="32"/>
  <c r="L29" i="32"/>
  <c r="F29" i="32"/>
  <c r="G28" i="32"/>
  <c r="H28" i="32"/>
  <c r="I28" i="32"/>
  <c r="J28" i="32"/>
  <c r="K28" i="32"/>
  <c r="L28" i="32"/>
  <c r="F28" i="32"/>
  <c r="G27" i="32"/>
  <c r="H27" i="32"/>
  <c r="I27" i="32"/>
  <c r="J27" i="32"/>
  <c r="K27" i="32"/>
  <c r="L27" i="32"/>
  <c r="F27" i="32"/>
  <c r="G26" i="32"/>
  <c r="H26" i="32"/>
  <c r="I26" i="32"/>
  <c r="J26" i="32"/>
  <c r="K26" i="32"/>
  <c r="L26" i="32"/>
  <c r="F26" i="32"/>
  <c r="G25" i="32"/>
  <c r="H25" i="32"/>
  <c r="I25" i="32"/>
  <c r="J25" i="32"/>
  <c r="K25" i="32"/>
  <c r="L25" i="32"/>
  <c r="F25" i="32"/>
  <c r="G24" i="32"/>
  <c r="H24" i="32"/>
  <c r="I24" i="32"/>
  <c r="J24" i="32"/>
  <c r="K24" i="32"/>
  <c r="L24" i="32"/>
  <c r="F24" i="32"/>
  <c r="G23" i="32"/>
  <c r="H23" i="32"/>
  <c r="I23" i="32"/>
  <c r="J23" i="32"/>
  <c r="K23" i="32"/>
  <c r="L23" i="32"/>
  <c r="F23" i="32"/>
  <c r="O19" i="32"/>
  <c r="K19" i="32"/>
  <c r="G19" i="32"/>
  <c r="P19" i="32"/>
  <c r="R19" i="32"/>
  <c r="Q19" i="32"/>
  <c r="O18" i="32"/>
  <c r="K18" i="32"/>
  <c r="G18" i="32"/>
  <c r="P18" i="32"/>
  <c r="R18" i="32"/>
  <c r="Q18" i="32"/>
  <c r="O17" i="32"/>
  <c r="K17" i="32"/>
  <c r="G17" i="32"/>
  <c r="P17" i="32"/>
  <c r="R17" i="32"/>
  <c r="Q17" i="32"/>
  <c r="O16" i="32"/>
  <c r="K16" i="32"/>
  <c r="G16" i="32"/>
  <c r="P16" i="32"/>
  <c r="R16" i="32"/>
  <c r="Q16" i="32"/>
  <c r="O15" i="32"/>
  <c r="K15" i="32"/>
  <c r="G15" i="32"/>
  <c r="P15" i="32"/>
  <c r="R15" i="32"/>
  <c r="Q15" i="32"/>
  <c r="O14" i="32"/>
  <c r="K14" i="32"/>
  <c r="G14" i="32"/>
  <c r="P14" i="32"/>
  <c r="R14" i="32"/>
  <c r="Q14" i="32"/>
  <c r="O13" i="32"/>
  <c r="K13" i="32"/>
  <c r="G13" i="32"/>
  <c r="P13" i="32"/>
  <c r="R13" i="32"/>
  <c r="Q13" i="32"/>
  <c r="O12" i="32"/>
  <c r="K12" i="32"/>
  <c r="G12" i="32"/>
  <c r="P12" i="32"/>
  <c r="R12" i="32"/>
  <c r="Q12" i="32"/>
  <c r="O11" i="32"/>
  <c r="K11" i="32"/>
  <c r="G11" i="32"/>
  <c r="P11" i="32"/>
  <c r="R11" i="32"/>
  <c r="Q11" i="32"/>
  <c r="O10" i="32"/>
  <c r="K10" i="32"/>
  <c r="G10" i="32"/>
  <c r="P10" i="32"/>
  <c r="R10" i="32"/>
  <c r="Q10" i="32"/>
  <c r="O9" i="32"/>
  <c r="K9" i="32"/>
  <c r="G9" i="32"/>
  <c r="P9" i="32"/>
  <c r="R9" i="32"/>
  <c r="Q9" i="32"/>
  <c r="O8" i="32"/>
  <c r="K8" i="32"/>
  <c r="G8" i="32"/>
  <c r="P8" i="32"/>
  <c r="R8" i="32"/>
  <c r="Q8" i="32"/>
  <c r="O7" i="32"/>
  <c r="K7" i="32"/>
  <c r="G7" i="32"/>
  <c r="P7" i="32"/>
  <c r="R7" i="32"/>
  <c r="Q7" i="32"/>
  <c r="O6" i="32"/>
  <c r="K6" i="32"/>
  <c r="G6" i="32"/>
  <c r="P6" i="32"/>
  <c r="R6" i="32"/>
  <c r="Q6" i="32"/>
  <c r="O5" i="32"/>
  <c r="K5" i="32"/>
  <c r="G5" i="32"/>
  <c r="P5" i="32"/>
  <c r="R5" i="32"/>
  <c r="Q5" i="32"/>
  <c r="O4" i="32"/>
  <c r="K4" i="32"/>
  <c r="G4" i="32"/>
  <c r="P4" i="32"/>
  <c r="R4" i="32"/>
  <c r="Q4" i="32"/>
  <c r="D8" i="29"/>
  <c r="D7" i="29"/>
  <c r="H8" i="29"/>
  <c r="H7" i="29"/>
  <c r="K19" i="25"/>
  <c r="K18" i="25"/>
  <c r="K17" i="25"/>
  <c r="K16" i="25"/>
  <c r="K15" i="25"/>
  <c r="K14" i="25"/>
  <c r="K13" i="25"/>
  <c r="K12" i="25"/>
  <c r="K11" i="25"/>
  <c r="K10" i="25"/>
  <c r="K9" i="25"/>
  <c r="K8" i="25"/>
  <c r="K7" i="25"/>
  <c r="K6" i="25"/>
  <c r="K5" i="25"/>
  <c r="K4" i="25"/>
  <c r="O21" i="31"/>
  <c r="C26" i="31"/>
  <c r="C27" i="31"/>
  <c r="C28" i="31"/>
  <c r="C29" i="31"/>
  <c r="C30" i="31"/>
  <c r="C31" i="31"/>
  <c r="C32" i="31"/>
  <c r="C33" i="31"/>
  <c r="C34" i="31"/>
  <c r="C35" i="31"/>
  <c r="C36" i="31"/>
  <c r="C37" i="31"/>
  <c r="C38" i="31"/>
  <c r="C39" i="31"/>
  <c r="C40" i="31"/>
  <c r="C41" i="31"/>
  <c r="C42" i="31"/>
  <c r="D42" i="31"/>
  <c r="D41" i="31"/>
  <c r="D40" i="31"/>
  <c r="D39" i="31"/>
  <c r="D38" i="31"/>
  <c r="D37" i="31"/>
  <c r="D36" i="31"/>
  <c r="D35" i="31"/>
  <c r="D34" i="31"/>
  <c r="D33" i="31"/>
  <c r="D32" i="31"/>
  <c r="D31" i="31"/>
  <c r="D30" i="31"/>
  <c r="D29" i="31"/>
  <c r="D28" i="31"/>
  <c r="D27" i="31"/>
  <c r="D26" i="31"/>
  <c r="J5" i="31"/>
  <c r="J6" i="31"/>
  <c r="J7" i="31"/>
  <c r="J8" i="31"/>
  <c r="J9" i="31"/>
  <c r="J10" i="31"/>
  <c r="J11" i="31"/>
  <c r="J12" i="31"/>
  <c r="J13" i="31"/>
  <c r="J14" i="31"/>
  <c r="J15" i="31"/>
  <c r="J16" i="31"/>
  <c r="J17" i="31"/>
  <c r="J18" i="31"/>
  <c r="J19" i="31"/>
  <c r="J20" i="31"/>
  <c r="J21" i="31"/>
  <c r="K21" i="31"/>
  <c r="K20" i="31"/>
  <c r="K19" i="31"/>
  <c r="K18" i="31"/>
  <c r="K17" i="31"/>
  <c r="K16" i="31"/>
  <c r="K15" i="31"/>
  <c r="K14" i="31"/>
  <c r="K13" i="31"/>
  <c r="K12" i="31"/>
  <c r="K11" i="31"/>
  <c r="K10" i="31"/>
  <c r="K9" i="31"/>
  <c r="K8" i="31"/>
  <c r="K7" i="31"/>
  <c r="K6" i="31"/>
  <c r="K5" i="31"/>
  <c r="H38" i="25"/>
  <c r="H38" i="29"/>
  <c r="H28" i="25"/>
  <c r="H29" i="25"/>
  <c r="H30" i="25"/>
  <c r="H31" i="25"/>
  <c r="H32" i="25"/>
  <c r="H33" i="25"/>
  <c r="H34" i="25"/>
  <c r="H35" i="25"/>
  <c r="H36" i="25"/>
  <c r="H28" i="29"/>
  <c r="H29" i="29"/>
  <c r="H30" i="29"/>
  <c r="H31" i="29"/>
  <c r="H32" i="29"/>
  <c r="H33" i="29"/>
  <c r="H34" i="29"/>
  <c r="H35" i="29"/>
  <c r="H36" i="29"/>
  <c r="Q5" i="28"/>
  <c r="Q6" i="28"/>
  <c r="Q7" i="28"/>
  <c r="Q8" i="28"/>
  <c r="Q9" i="28"/>
  <c r="Q10" i="28"/>
  <c r="Q11" i="28"/>
  <c r="Q12" i="28"/>
  <c r="Q13" i="28"/>
  <c r="Q14" i="28"/>
  <c r="Q15" i="28"/>
  <c r="Q16" i="28"/>
  <c r="Q17" i="28"/>
  <c r="Q18" i="28"/>
  <c r="Q19" i="28"/>
  <c r="Q20" i="28"/>
  <c r="Q4" i="28"/>
  <c r="Q5" i="30"/>
  <c r="Q6" i="30"/>
  <c r="Q7" i="30"/>
  <c r="Q8" i="30"/>
  <c r="Q9" i="30"/>
  <c r="Q10" i="30"/>
  <c r="Q11" i="30"/>
  <c r="Q12" i="30"/>
  <c r="Q13" i="30"/>
  <c r="Q14" i="30"/>
  <c r="Q15" i="30"/>
  <c r="Q16" i="30"/>
  <c r="Q17" i="30"/>
  <c r="Q18" i="30"/>
  <c r="Q19" i="30"/>
  <c r="Q20" i="30"/>
  <c r="Q4" i="30"/>
  <c r="Q5" i="26"/>
  <c r="Q6" i="26"/>
  <c r="Q7" i="26"/>
  <c r="Q8" i="26"/>
  <c r="Q9" i="26"/>
  <c r="Q10" i="26"/>
  <c r="Q11" i="26"/>
  <c r="Q12" i="26"/>
  <c r="Q13" i="26"/>
  <c r="Q14" i="26"/>
  <c r="Q15" i="26"/>
  <c r="Q16" i="26"/>
  <c r="Q17" i="26"/>
  <c r="Q18" i="26"/>
  <c r="Q19" i="26"/>
  <c r="Q20" i="26"/>
  <c r="Q4" i="26"/>
  <c r="C5" i="31"/>
  <c r="C6" i="31"/>
  <c r="C7" i="31"/>
  <c r="C8" i="31"/>
  <c r="C9" i="31"/>
  <c r="C10" i="31"/>
  <c r="C11" i="31"/>
  <c r="C12" i="31"/>
  <c r="C13" i="31"/>
  <c r="C14" i="31"/>
  <c r="C15" i="31"/>
  <c r="C16" i="31"/>
  <c r="C17" i="31"/>
  <c r="C18" i="31"/>
  <c r="C19" i="31"/>
  <c r="C20" i="31"/>
  <c r="C21" i="31"/>
  <c r="D21" i="31"/>
  <c r="D20" i="31"/>
  <c r="D19" i="31"/>
  <c r="D18" i="31"/>
  <c r="D17" i="31"/>
  <c r="D16" i="31"/>
  <c r="D15" i="31"/>
  <c r="D14" i="31"/>
  <c r="D13" i="31"/>
  <c r="D12" i="31"/>
  <c r="D11" i="31"/>
  <c r="D10" i="31"/>
  <c r="D9" i="31"/>
  <c r="D8" i="31"/>
  <c r="D7" i="31"/>
  <c r="D6" i="31"/>
  <c r="D5" i="31"/>
  <c r="C4" i="28"/>
  <c r="C5" i="28"/>
  <c r="C6" i="28"/>
  <c r="C7" i="28"/>
  <c r="C8" i="28"/>
  <c r="C9" i="28"/>
  <c r="C10" i="28"/>
  <c r="C11" i="28"/>
  <c r="C12" i="28"/>
  <c r="C13" i="28"/>
  <c r="C14" i="28"/>
  <c r="C15" i="28"/>
  <c r="C16" i="28"/>
  <c r="C17" i="28"/>
  <c r="C18" i="28"/>
  <c r="C19" i="28"/>
  <c r="C20" i="28"/>
  <c r="D20" i="28"/>
  <c r="D19" i="28"/>
  <c r="D18" i="28"/>
  <c r="D17" i="28"/>
  <c r="D16" i="28"/>
  <c r="D15" i="28"/>
  <c r="D14" i="28"/>
  <c r="D13" i="28"/>
  <c r="D12" i="28"/>
  <c r="D11" i="28"/>
  <c r="D10" i="28"/>
  <c r="D9" i="28"/>
  <c r="D8" i="28"/>
  <c r="D7" i="28"/>
  <c r="D6" i="28"/>
  <c r="D5" i="28"/>
  <c r="D4" i="28"/>
  <c r="C4" i="30"/>
  <c r="C5" i="30"/>
  <c r="C6" i="30"/>
  <c r="C7" i="30"/>
  <c r="C8" i="30"/>
  <c r="C9" i="30"/>
  <c r="C10" i="30"/>
  <c r="C11" i="30"/>
  <c r="C12" i="30"/>
  <c r="C13" i="30"/>
  <c r="C14" i="30"/>
  <c r="C15" i="30"/>
  <c r="C16" i="30"/>
  <c r="C17" i="30"/>
  <c r="C18" i="30"/>
  <c r="C19" i="30"/>
  <c r="C20" i="30"/>
  <c r="D20" i="30"/>
  <c r="D19" i="30"/>
  <c r="D18" i="30"/>
  <c r="D17" i="30"/>
  <c r="D16" i="30"/>
  <c r="D15" i="30"/>
  <c r="D14" i="30"/>
  <c r="D13" i="30"/>
  <c r="D12" i="30"/>
  <c r="D11" i="30"/>
  <c r="D10" i="30"/>
  <c r="D9" i="30"/>
  <c r="D8" i="30"/>
  <c r="D7" i="30"/>
  <c r="D6" i="30"/>
  <c r="D5" i="30"/>
  <c r="D4" i="30"/>
  <c r="C4" i="26"/>
  <c r="C5" i="26"/>
  <c r="C6" i="26"/>
  <c r="C7" i="26"/>
  <c r="C8" i="26"/>
  <c r="C9" i="26"/>
  <c r="C10" i="26"/>
  <c r="C11" i="26"/>
  <c r="C12" i="26"/>
  <c r="C13" i="26"/>
  <c r="C14" i="26"/>
  <c r="C15" i="26"/>
  <c r="C16" i="26"/>
  <c r="C17" i="26"/>
  <c r="C18" i="26"/>
  <c r="C19" i="26"/>
  <c r="C20" i="26"/>
  <c r="D20" i="26"/>
  <c r="D19" i="26"/>
  <c r="D18" i="26"/>
  <c r="D17" i="26"/>
  <c r="D16" i="26"/>
  <c r="D15" i="26"/>
  <c r="D14" i="26"/>
  <c r="D13" i="26"/>
  <c r="D12" i="26"/>
  <c r="D11" i="26"/>
  <c r="D10" i="26"/>
  <c r="D9" i="26"/>
  <c r="D8" i="26"/>
  <c r="D7" i="26"/>
  <c r="D6" i="26"/>
  <c r="D5" i="26"/>
  <c r="D4" i="26"/>
  <c r="Q21" i="31"/>
  <c r="P21" i="31"/>
  <c r="Q20" i="31"/>
  <c r="O20" i="31"/>
  <c r="P20" i="31"/>
  <c r="Q19" i="31"/>
  <c r="O19" i="31"/>
  <c r="P19" i="31"/>
  <c r="Q18" i="31"/>
  <c r="O18" i="31"/>
  <c r="P18" i="31"/>
  <c r="Q17" i="31"/>
  <c r="O17" i="31"/>
  <c r="P17" i="31"/>
  <c r="Q16" i="31"/>
  <c r="O16" i="31"/>
  <c r="P16" i="31"/>
  <c r="Q15" i="31"/>
  <c r="O15" i="31"/>
  <c r="P15" i="31"/>
  <c r="Q14" i="31"/>
  <c r="O14" i="31"/>
  <c r="P14" i="31"/>
  <c r="Q13" i="31"/>
  <c r="O13" i="31"/>
  <c r="P13" i="31"/>
  <c r="Q12" i="31"/>
  <c r="O12" i="31"/>
  <c r="P12" i="31"/>
  <c r="Q11" i="31"/>
  <c r="O11" i="31"/>
  <c r="P11" i="31"/>
  <c r="Q10" i="31"/>
  <c r="O10" i="31"/>
  <c r="P10" i="31"/>
  <c r="Q9" i="31"/>
  <c r="O9" i="31"/>
  <c r="P9" i="31"/>
  <c r="Q8" i="31"/>
  <c r="O8" i="31"/>
  <c r="P8" i="31"/>
  <c r="Q7" i="31"/>
  <c r="O7" i="31"/>
  <c r="P7" i="31"/>
  <c r="Q6" i="31"/>
  <c r="O6" i="31"/>
  <c r="P6" i="31"/>
  <c r="Q5" i="31"/>
  <c r="P5" i="31"/>
  <c r="N20" i="30"/>
  <c r="N19" i="30"/>
  <c r="N18" i="30"/>
  <c r="N17" i="30"/>
  <c r="N16" i="30"/>
  <c r="N15" i="30"/>
  <c r="N14" i="30"/>
  <c r="N13" i="30"/>
  <c r="N12" i="30"/>
  <c r="N11" i="30"/>
  <c r="N10" i="30"/>
  <c r="N9" i="30"/>
  <c r="N8" i="30"/>
  <c r="N7" i="30"/>
  <c r="N6" i="30"/>
  <c r="N5" i="30"/>
  <c r="N4" i="30"/>
  <c r="D48" i="29"/>
  <c r="F40" i="29"/>
  <c r="I38" i="29"/>
  <c r="J38" i="29"/>
  <c r="K38" i="29"/>
  <c r="L38" i="29"/>
  <c r="F38" i="29"/>
  <c r="G37" i="29"/>
  <c r="H37" i="29"/>
  <c r="I37" i="29"/>
  <c r="J37" i="29"/>
  <c r="K37" i="29"/>
  <c r="L37" i="29"/>
  <c r="F37" i="29"/>
  <c r="G36" i="29"/>
  <c r="I36" i="29"/>
  <c r="J36" i="29"/>
  <c r="K36" i="29"/>
  <c r="L36" i="29"/>
  <c r="F36" i="29"/>
  <c r="G35" i="29"/>
  <c r="I35" i="29"/>
  <c r="J35" i="29"/>
  <c r="K35" i="29"/>
  <c r="L35" i="29"/>
  <c r="F35" i="29"/>
  <c r="G34" i="29"/>
  <c r="I34" i="29"/>
  <c r="J34" i="29"/>
  <c r="K34" i="29"/>
  <c r="L34" i="29"/>
  <c r="F34" i="29"/>
  <c r="G33" i="29"/>
  <c r="I33" i="29"/>
  <c r="J33" i="29"/>
  <c r="K33" i="29"/>
  <c r="L33" i="29"/>
  <c r="F33" i="29"/>
  <c r="G32" i="29"/>
  <c r="I32" i="29"/>
  <c r="J32" i="29"/>
  <c r="K32" i="29"/>
  <c r="L32" i="29"/>
  <c r="F32" i="29"/>
  <c r="G31" i="29"/>
  <c r="I31" i="29"/>
  <c r="J31" i="29"/>
  <c r="K31" i="29"/>
  <c r="L31" i="29"/>
  <c r="F31" i="29"/>
  <c r="G30" i="29"/>
  <c r="I30" i="29"/>
  <c r="J30" i="29"/>
  <c r="K30" i="29"/>
  <c r="L30" i="29"/>
  <c r="F30" i="29"/>
  <c r="G29" i="29"/>
  <c r="I29" i="29"/>
  <c r="J29" i="29"/>
  <c r="K29" i="29"/>
  <c r="L29" i="29"/>
  <c r="F29" i="29"/>
  <c r="G28" i="29"/>
  <c r="I28" i="29"/>
  <c r="J28" i="29"/>
  <c r="K28" i="29"/>
  <c r="L28" i="29"/>
  <c r="F28" i="29"/>
  <c r="G27" i="29"/>
  <c r="H27" i="29"/>
  <c r="I27" i="29"/>
  <c r="J27" i="29"/>
  <c r="K27" i="29"/>
  <c r="L27" i="29"/>
  <c r="F27" i="29"/>
  <c r="G26" i="29"/>
  <c r="H26" i="29"/>
  <c r="I26" i="29"/>
  <c r="J26" i="29"/>
  <c r="K26" i="29"/>
  <c r="L26" i="29"/>
  <c r="F26" i="29"/>
  <c r="G25" i="29"/>
  <c r="H25" i="29"/>
  <c r="I25" i="29"/>
  <c r="J25" i="29"/>
  <c r="K25" i="29"/>
  <c r="L25" i="29"/>
  <c r="F25" i="29"/>
  <c r="G24" i="29"/>
  <c r="H24" i="29"/>
  <c r="I24" i="29"/>
  <c r="J24" i="29"/>
  <c r="K24" i="29"/>
  <c r="L24" i="29"/>
  <c r="F24" i="29"/>
  <c r="G23" i="29"/>
  <c r="H23" i="29"/>
  <c r="I23" i="29"/>
  <c r="J23" i="29"/>
  <c r="K23" i="29"/>
  <c r="L23" i="29"/>
  <c r="F23" i="29"/>
  <c r="O19" i="29"/>
  <c r="K19" i="29"/>
  <c r="G19" i="29"/>
  <c r="P19" i="29"/>
  <c r="R19" i="29"/>
  <c r="Q19" i="29"/>
  <c r="O18" i="29"/>
  <c r="K18" i="29"/>
  <c r="G18" i="29"/>
  <c r="P18" i="29"/>
  <c r="R18" i="29"/>
  <c r="Q18" i="29"/>
  <c r="O17" i="29"/>
  <c r="K17" i="29"/>
  <c r="G17" i="29"/>
  <c r="P17" i="29"/>
  <c r="R17" i="29"/>
  <c r="Q17" i="29"/>
  <c r="O16" i="29"/>
  <c r="K16" i="29"/>
  <c r="G16" i="29"/>
  <c r="P16" i="29"/>
  <c r="R16" i="29"/>
  <c r="Q16" i="29"/>
  <c r="O15" i="29"/>
  <c r="K15" i="29"/>
  <c r="G15" i="29"/>
  <c r="P15" i="29"/>
  <c r="R15" i="29"/>
  <c r="Q15" i="29"/>
  <c r="O14" i="29"/>
  <c r="K14" i="29"/>
  <c r="G14" i="29"/>
  <c r="P14" i="29"/>
  <c r="R14" i="29"/>
  <c r="Q14" i="29"/>
  <c r="O13" i="29"/>
  <c r="K13" i="29"/>
  <c r="G13" i="29"/>
  <c r="P13" i="29"/>
  <c r="R13" i="29"/>
  <c r="Q13" i="29"/>
  <c r="O12" i="29"/>
  <c r="K12" i="29"/>
  <c r="G12" i="29"/>
  <c r="P12" i="29"/>
  <c r="R12" i="29"/>
  <c r="Q12" i="29"/>
  <c r="O11" i="29"/>
  <c r="K11" i="29"/>
  <c r="G11" i="29"/>
  <c r="P11" i="29"/>
  <c r="R11" i="29"/>
  <c r="Q11" i="29"/>
  <c r="O10" i="29"/>
  <c r="K10" i="29"/>
  <c r="G10" i="29"/>
  <c r="P10" i="29"/>
  <c r="R10" i="29"/>
  <c r="Q10" i="29"/>
  <c r="O9" i="29"/>
  <c r="K9" i="29"/>
  <c r="G9" i="29"/>
  <c r="P9" i="29"/>
  <c r="R9" i="29"/>
  <c r="Q9" i="29"/>
  <c r="L8" i="29"/>
  <c r="O8" i="29"/>
  <c r="K8" i="29"/>
  <c r="G8" i="29"/>
  <c r="P8" i="29"/>
  <c r="R8" i="29"/>
  <c r="Q8" i="29"/>
  <c r="L7" i="29"/>
  <c r="O7" i="29"/>
  <c r="K7" i="29"/>
  <c r="G7" i="29"/>
  <c r="P7" i="29"/>
  <c r="R7" i="29"/>
  <c r="Q7" i="29"/>
  <c r="O6" i="29"/>
  <c r="K6" i="29"/>
  <c r="G6" i="29"/>
  <c r="P6" i="29"/>
  <c r="R6" i="29"/>
  <c r="Q6" i="29"/>
  <c r="O5" i="29"/>
  <c r="K5" i="29"/>
  <c r="G5" i="29"/>
  <c r="P5" i="29"/>
  <c r="R5" i="29"/>
  <c r="Q5" i="29"/>
  <c r="O4" i="29"/>
  <c r="K4" i="29"/>
  <c r="G4" i="29"/>
  <c r="P4" i="29"/>
  <c r="R4" i="29"/>
  <c r="Q4" i="29"/>
  <c r="N20" i="28"/>
  <c r="N19" i="28"/>
  <c r="N17" i="28"/>
  <c r="N16" i="28"/>
  <c r="N15" i="28"/>
  <c r="N14" i="28"/>
  <c r="N13" i="28"/>
  <c r="N12" i="28"/>
  <c r="N11" i="28"/>
  <c r="N10" i="28"/>
  <c r="N9" i="28"/>
  <c r="N8" i="28"/>
  <c r="N7" i="28"/>
  <c r="N6" i="28"/>
  <c r="N5" i="28"/>
  <c r="N4" i="28"/>
  <c r="N20" i="26"/>
  <c r="N19" i="26"/>
  <c r="N18" i="26"/>
  <c r="N17" i="26"/>
  <c r="N16" i="26"/>
  <c r="N15" i="26"/>
  <c r="N14" i="26"/>
  <c r="N13" i="26"/>
  <c r="N12" i="26"/>
  <c r="N11" i="26"/>
  <c r="N10" i="26"/>
  <c r="N9" i="26"/>
  <c r="N8" i="26"/>
  <c r="N7" i="26"/>
  <c r="N6" i="26"/>
  <c r="N5" i="26"/>
  <c r="N4" i="26"/>
  <c r="D48" i="25"/>
  <c r="F40" i="25"/>
  <c r="G38" i="25"/>
  <c r="I38" i="25"/>
  <c r="J38" i="25"/>
  <c r="K38" i="25"/>
  <c r="L38" i="25"/>
  <c r="F38" i="25"/>
  <c r="G37" i="25"/>
  <c r="H37" i="25"/>
  <c r="I37" i="25"/>
  <c r="J37" i="25"/>
  <c r="K37" i="25"/>
  <c r="L37" i="25"/>
  <c r="F37" i="25"/>
  <c r="G36" i="25"/>
  <c r="I36" i="25"/>
  <c r="J36" i="25"/>
  <c r="L36" i="25"/>
  <c r="F36" i="25"/>
  <c r="G35" i="25"/>
  <c r="I35" i="25"/>
  <c r="J35" i="25"/>
  <c r="K35" i="25"/>
  <c r="L35" i="25"/>
  <c r="F35" i="25"/>
  <c r="G34" i="25"/>
  <c r="I34" i="25"/>
  <c r="J34" i="25"/>
  <c r="K34" i="25"/>
  <c r="L34" i="25"/>
  <c r="F34" i="25"/>
  <c r="G33" i="25"/>
  <c r="I33" i="25"/>
  <c r="J33" i="25"/>
  <c r="K33" i="25"/>
  <c r="L33" i="25"/>
  <c r="F33" i="25"/>
  <c r="G32" i="25"/>
  <c r="I32" i="25"/>
  <c r="J32" i="25"/>
  <c r="K32" i="25"/>
  <c r="L32" i="25"/>
  <c r="F32" i="25"/>
  <c r="G31" i="25"/>
  <c r="I31" i="25"/>
  <c r="J31" i="25"/>
  <c r="K31" i="25"/>
  <c r="L31" i="25"/>
  <c r="F31" i="25"/>
  <c r="G30" i="25"/>
  <c r="I30" i="25"/>
  <c r="J30" i="25"/>
  <c r="K30" i="25"/>
  <c r="L30" i="25"/>
  <c r="F30" i="25"/>
  <c r="G29" i="25"/>
  <c r="I29" i="25"/>
  <c r="J29" i="25"/>
  <c r="K29" i="25"/>
  <c r="L29" i="25"/>
  <c r="F29" i="25"/>
  <c r="G28" i="25"/>
  <c r="I28" i="25"/>
  <c r="J28" i="25"/>
  <c r="K28" i="25"/>
  <c r="L28" i="25"/>
  <c r="F28" i="25"/>
  <c r="G27" i="25"/>
  <c r="H27" i="25"/>
  <c r="I27" i="25"/>
  <c r="J27" i="25"/>
  <c r="K27" i="25"/>
  <c r="L27" i="25"/>
  <c r="F27" i="25"/>
  <c r="G26" i="25"/>
  <c r="H26" i="25"/>
  <c r="I26" i="25"/>
  <c r="J26" i="25"/>
  <c r="K26" i="25"/>
  <c r="L26" i="25"/>
  <c r="F26" i="25"/>
  <c r="G25" i="25"/>
  <c r="H25" i="25"/>
  <c r="I25" i="25"/>
  <c r="J25" i="25"/>
  <c r="K25" i="25"/>
  <c r="L25" i="25"/>
  <c r="F25" i="25"/>
  <c r="G24" i="25"/>
  <c r="H24" i="25"/>
  <c r="I24" i="25"/>
  <c r="J24" i="25"/>
  <c r="K24" i="25"/>
  <c r="L24" i="25"/>
  <c r="F24" i="25"/>
  <c r="G23" i="25"/>
  <c r="H23" i="25"/>
  <c r="I23" i="25"/>
  <c r="J23" i="25"/>
  <c r="K23" i="25"/>
  <c r="L23" i="25"/>
  <c r="F23" i="25"/>
  <c r="O19" i="25"/>
  <c r="G19" i="25"/>
  <c r="P19" i="25"/>
  <c r="R19" i="25"/>
  <c r="Q19" i="25"/>
  <c r="O18" i="25"/>
  <c r="G18" i="25"/>
  <c r="P18" i="25"/>
  <c r="R18" i="25"/>
  <c r="Q18" i="25"/>
  <c r="O17" i="25"/>
  <c r="G17" i="25"/>
  <c r="P17" i="25"/>
  <c r="R17" i="25"/>
  <c r="Q17" i="25"/>
  <c r="O16" i="25"/>
  <c r="G16" i="25"/>
  <c r="P16" i="25"/>
  <c r="R16" i="25"/>
  <c r="Q16" i="25"/>
  <c r="O15" i="25"/>
  <c r="G15" i="25"/>
  <c r="P15" i="25"/>
  <c r="R15" i="25"/>
  <c r="Q15" i="25"/>
  <c r="O14" i="25"/>
  <c r="G14" i="25"/>
  <c r="P14" i="25"/>
  <c r="R14" i="25"/>
  <c r="Q14" i="25"/>
  <c r="O13" i="25"/>
  <c r="G13" i="25"/>
  <c r="P13" i="25"/>
  <c r="R13" i="25"/>
  <c r="Q13" i="25"/>
  <c r="O12" i="25"/>
  <c r="G12" i="25"/>
  <c r="P12" i="25"/>
  <c r="R12" i="25"/>
  <c r="Q12" i="25"/>
  <c r="O11" i="25"/>
  <c r="G11" i="25"/>
  <c r="P11" i="25"/>
  <c r="R11" i="25"/>
  <c r="Q11" i="25"/>
  <c r="O10" i="25"/>
  <c r="G10" i="25"/>
  <c r="P10" i="25"/>
  <c r="R10" i="25"/>
  <c r="Q10" i="25"/>
  <c r="O9" i="25"/>
  <c r="G9" i="25"/>
  <c r="P9" i="25"/>
  <c r="R9" i="25"/>
  <c r="Q9" i="25"/>
  <c r="O8" i="25"/>
  <c r="G8" i="25"/>
  <c r="P8" i="25"/>
  <c r="R8" i="25"/>
  <c r="Q8" i="25"/>
  <c r="O7" i="25"/>
  <c r="G7" i="25"/>
  <c r="P7" i="25"/>
  <c r="R7" i="25"/>
  <c r="Q7" i="25"/>
  <c r="O6" i="25"/>
  <c r="G6" i="25"/>
  <c r="P6" i="25"/>
  <c r="R6" i="25"/>
  <c r="Q6" i="25"/>
  <c r="O5" i="25"/>
  <c r="G5" i="25"/>
  <c r="P5" i="25"/>
  <c r="R5" i="25"/>
  <c r="Q5" i="25"/>
  <c r="O4" i="25"/>
  <c r="G4" i="25"/>
  <c r="P4" i="25"/>
  <c r="R4" i="25"/>
  <c r="Q4" i="25"/>
  <c r="H4" i="8"/>
  <c r="H20" i="8"/>
  <c r="B2" i="23"/>
  <c r="L41" i="8"/>
  <c r="L25" i="8"/>
  <c r="B6" i="23"/>
  <c r="T4" i="8"/>
  <c r="T20" i="8"/>
  <c r="B4" i="23"/>
  <c r="P20" i="8"/>
  <c r="P4" i="8"/>
  <c r="B3" i="23"/>
  <c r="L20" i="8"/>
  <c r="L4" i="8"/>
  <c r="B5" i="23"/>
  <c r="B12" i="23"/>
  <c r="P5" i="22"/>
  <c r="W5" i="22"/>
  <c r="P6" i="22"/>
  <c r="W6" i="22"/>
  <c r="P7" i="22"/>
  <c r="W7" i="22"/>
  <c r="P8" i="22"/>
  <c r="W8" i="22"/>
  <c r="P9" i="22"/>
  <c r="W9" i="22"/>
  <c r="P10" i="22"/>
  <c r="W10" i="22"/>
  <c r="P11" i="22"/>
  <c r="W11" i="22"/>
  <c r="P12" i="22"/>
  <c r="W12" i="22"/>
  <c r="P13" i="22"/>
  <c r="W13" i="22"/>
  <c r="P14" i="22"/>
  <c r="W14" i="22"/>
  <c r="P15" i="22"/>
  <c r="W15" i="22"/>
  <c r="P16" i="22"/>
  <c r="W16" i="22"/>
  <c r="P17" i="22"/>
  <c r="W17" i="22"/>
  <c r="P18" i="22"/>
  <c r="W18" i="22"/>
  <c r="P19" i="22"/>
  <c r="W19" i="22"/>
  <c r="P20" i="22"/>
  <c r="W20" i="22"/>
  <c r="P4" i="22"/>
  <c r="W4" i="22"/>
  <c r="C5" i="17"/>
  <c r="C6" i="17"/>
  <c r="C7" i="17"/>
  <c r="C8" i="17"/>
  <c r="C9" i="17"/>
  <c r="C10" i="17"/>
  <c r="C11" i="17"/>
  <c r="C12" i="17"/>
  <c r="C13" i="17"/>
  <c r="C14" i="17"/>
  <c r="C15" i="17"/>
  <c r="C16" i="17"/>
  <c r="C17" i="17"/>
  <c r="C18" i="17"/>
  <c r="C19" i="17"/>
  <c r="C20" i="17"/>
  <c r="C21" i="17"/>
  <c r="C22" i="17"/>
  <c r="C23" i="17"/>
  <c r="C24" i="17"/>
  <c r="C25" i="17"/>
  <c r="C26" i="17"/>
  <c r="C27" i="17"/>
  <c r="C28" i="17"/>
  <c r="C29" i="17"/>
  <c r="C30" i="17"/>
  <c r="C31" i="17"/>
  <c r="C32" i="17"/>
  <c r="C33" i="17"/>
  <c r="C34" i="17"/>
  <c r="C35" i="17"/>
  <c r="C36" i="17"/>
  <c r="C37" i="17"/>
  <c r="C38" i="17"/>
  <c r="C39" i="17"/>
  <c r="C40" i="17"/>
  <c r="C41" i="17"/>
  <c r="C42" i="17"/>
  <c r="C43" i="17"/>
  <c r="C44" i="17"/>
  <c r="C45" i="17"/>
  <c r="C46" i="17"/>
  <c r="C47" i="17"/>
  <c r="C48" i="17"/>
  <c r="C49" i="17"/>
  <c r="C50" i="17"/>
  <c r="C51" i="17"/>
  <c r="C52" i="17"/>
  <c r="C53" i="17"/>
  <c r="C54" i="17"/>
  <c r="C55" i="17"/>
  <c r="C56" i="17"/>
  <c r="C57" i="17"/>
  <c r="C58" i="17"/>
  <c r="C59" i="17"/>
  <c r="C60" i="17"/>
  <c r="C61" i="17"/>
  <c r="C62" i="17"/>
  <c r="C63" i="17"/>
  <c r="C64" i="17"/>
  <c r="C65" i="17"/>
  <c r="C66" i="17"/>
  <c r="C67" i="17"/>
  <c r="C68" i="17"/>
  <c r="C69" i="17"/>
  <c r="C70" i="17"/>
  <c r="C71" i="17"/>
  <c r="C72" i="17"/>
  <c r="C73" i="17"/>
  <c r="C74" i="17"/>
  <c r="C75" i="17"/>
  <c r="C76" i="17"/>
  <c r="C77" i="17"/>
  <c r="C78" i="17"/>
  <c r="C79" i="17"/>
  <c r="C80" i="17"/>
  <c r="C81" i="17"/>
  <c r="C82" i="17"/>
  <c r="C83" i="17"/>
  <c r="C84" i="17"/>
  <c r="C85" i="17"/>
  <c r="C86" i="17"/>
  <c r="C87" i="17"/>
  <c r="C88" i="17"/>
  <c r="C89" i="17"/>
  <c r="C90" i="17"/>
  <c r="C91" i="17"/>
  <c r="C92" i="17"/>
  <c r="C93" i="17"/>
  <c r="C94" i="17"/>
  <c r="C95" i="17"/>
  <c r="C96" i="17"/>
  <c r="C97" i="17"/>
  <c r="C98" i="17"/>
  <c r="C99" i="17"/>
  <c r="C100" i="17"/>
  <c r="C101" i="17"/>
  <c r="F3" i="2"/>
  <c r="I3" i="2"/>
  <c r="J3" i="2"/>
  <c r="K3" i="2"/>
  <c r="I4" i="2"/>
  <c r="J4" i="2"/>
  <c r="K4" i="2"/>
  <c r="F4" i="2"/>
  <c r="I5" i="2"/>
  <c r="J5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I20" i="2"/>
  <c r="K5" i="2"/>
  <c r="I6" i="2"/>
  <c r="J6" i="2"/>
  <c r="K6" i="2"/>
  <c r="I7" i="2"/>
  <c r="J7" i="2"/>
  <c r="K7" i="2"/>
  <c r="I8" i="2"/>
  <c r="J8" i="2"/>
  <c r="K8" i="2"/>
  <c r="I9" i="2"/>
  <c r="J9" i="2"/>
  <c r="K9" i="2"/>
  <c r="I10" i="2"/>
  <c r="J10" i="2"/>
  <c r="K10" i="2"/>
  <c r="I11" i="2"/>
  <c r="J11" i="2"/>
  <c r="K11" i="2"/>
  <c r="I12" i="2"/>
  <c r="J12" i="2"/>
  <c r="K12" i="2"/>
  <c r="I13" i="2"/>
  <c r="J13" i="2"/>
  <c r="K13" i="2"/>
  <c r="I14" i="2"/>
  <c r="J14" i="2"/>
  <c r="K14" i="2"/>
  <c r="I15" i="2"/>
  <c r="J15" i="2"/>
  <c r="K15" i="2"/>
  <c r="I16" i="2"/>
  <c r="J16" i="2"/>
  <c r="K16" i="2"/>
  <c r="I17" i="2"/>
  <c r="J17" i="2"/>
  <c r="K17" i="2"/>
  <c r="I18" i="2"/>
  <c r="J18" i="2"/>
  <c r="K18" i="2"/>
  <c r="I19" i="2"/>
  <c r="J19" i="2"/>
  <c r="K19" i="2"/>
  <c r="C5" i="7"/>
  <c r="D5" i="7"/>
  <c r="E5" i="7"/>
  <c r="F5" i="7"/>
  <c r="G5" i="7"/>
  <c r="C6" i="7"/>
  <c r="D6" i="7"/>
  <c r="E6" i="7"/>
  <c r="F6" i="7"/>
  <c r="G6" i="7"/>
  <c r="C7" i="7"/>
  <c r="D7" i="7"/>
  <c r="E7" i="7"/>
  <c r="F7" i="7"/>
  <c r="G7" i="7"/>
  <c r="C8" i="7"/>
  <c r="D8" i="7"/>
  <c r="E8" i="7"/>
  <c r="F8" i="7"/>
  <c r="G8" i="7"/>
  <c r="C9" i="7"/>
  <c r="D9" i="7"/>
  <c r="E9" i="7"/>
  <c r="F9" i="7"/>
  <c r="G9" i="7"/>
  <c r="C10" i="7"/>
  <c r="D10" i="7"/>
  <c r="E10" i="7"/>
  <c r="F10" i="7"/>
  <c r="G10" i="7"/>
  <c r="C11" i="7"/>
  <c r="D11" i="7"/>
  <c r="E11" i="7"/>
  <c r="F11" i="7"/>
  <c r="G11" i="7"/>
  <c r="C12" i="7"/>
  <c r="D12" i="7"/>
  <c r="E12" i="7"/>
  <c r="F12" i="7"/>
  <c r="G12" i="7"/>
  <c r="C13" i="7"/>
  <c r="D13" i="7"/>
  <c r="E13" i="7"/>
  <c r="F13" i="7"/>
  <c r="G13" i="7"/>
  <c r="C14" i="7"/>
  <c r="D14" i="7"/>
  <c r="E14" i="7"/>
  <c r="F14" i="7"/>
  <c r="G14" i="7"/>
  <c r="C15" i="7"/>
  <c r="D15" i="7"/>
  <c r="E15" i="7"/>
  <c r="F15" i="7"/>
  <c r="G15" i="7"/>
  <c r="C16" i="7"/>
  <c r="D16" i="7"/>
  <c r="E16" i="7"/>
  <c r="F16" i="7"/>
  <c r="G16" i="7"/>
  <c r="C17" i="7"/>
  <c r="D17" i="7"/>
  <c r="E17" i="7"/>
  <c r="F17" i="7"/>
  <c r="G17" i="7"/>
  <c r="C18" i="7"/>
  <c r="D18" i="7"/>
  <c r="E18" i="7"/>
  <c r="F18" i="7"/>
  <c r="G18" i="7"/>
  <c r="C19" i="7"/>
  <c r="D19" i="7"/>
  <c r="E19" i="7"/>
  <c r="F19" i="7"/>
  <c r="G19" i="7"/>
  <c r="C20" i="7"/>
  <c r="D20" i="7"/>
  <c r="E20" i="7"/>
  <c r="F20" i="7"/>
  <c r="G20" i="7"/>
  <c r="C21" i="7"/>
  <c r="D21" i="7"/>
  <c r="E21" i="7"/>
  <c r="F21" i="7"/>
  <c r="G21" i="7"/>
  <c r="C22" i="7"/>
  <c r="D22" i="7"/>
  <c r="E22" i="7"/>
  <c r="F22" i="7"/>
  <c r="G22" i="7"/>
  <c r="C23" i="7"/>
  <c r="D23" i="7"/>
  <c r="E23" i="7"/>
  <c r="F23" i="7"/>
  <c r="G23" i="7"/>
  <c r="C24" i="7"/>
  <c r="D24" i="7"/>
  <c r="E24" i="7"/>
  <c r="F24" i="7"/>
  <c r="G24" i="7"/>
  <c r="C25" i="7"/>
  <c r="D25" i="7"/>
  <c r="E25" i="7"/>
  <c r="F25" i="7"/>
  <c r="G25" i="7"/>
  <c r="C26" i="7"/>
  <c r="D26" i="7"/>
  <c r="E26" i="7"/>
  <c r="F26" i="7"/>
  <c r="G26" i="7"/>
  <c r="C27" i="7"/>
  <c r="D27" i="7"/>
  <c r="E27" i="7"/>
  <c r="F27" i="7"/>
  <c r="G27" i="7"/>
  <c r="C28" i="7"/>
  <c r="D28" i="7"/>
  <c r="E28" i="7"/>
  <c r="F28" i="7"/>
  <c r="G28" i="7"/>
  <c r="C29" i="7"/>
  <c r="D29" i="7"/>
  <c r="E29" i="7"/>
  <c r="F29" i="7"/>
  <c r="G29" i="7"/>
  <c r="C30" i="7"/>
  <c r="D30" i="7"/>
  <c r="E30" i="7"/>
  <c r="F30" i="7"/>
  <c r="G30" i="7"/>
  <c r="C31" i="7"/>
  <c r="D31" i="7"/>
  <c r="E31" i="7"/>
  <c r="F31" i="7"/>
  <c r="G31" i="7"/>
  <c r="C32" i="7"/>
  <c r="D32" i="7"/>
  <c r="E32" i="7"/>
  <c r="F32" i="7"/>
  <c r="G32" i="7"/>
  <c r="C33" i="7"/>
  <c r="D33" i="7"/>
  <c r="E33" i="7"/>
  <c r="F33" i="7"/>
  <c r="G33" i="7"/>
  <c r="C34" i="7"/>
  <c r="D34" i="7"/>
  <c r="E34" i="7"/>
  <c r="F34" i="7"/>
  <c r="G34" i="7"/>
  <c r="C35" i="7"/>
  <c r="D35" i="7"/>
  <c r="E35" i="7"/>
  <c r="F35" i="7"/>
  <c r="G35" i="7"/>
  <c r="C36" i="7"/>
  <c r="D36" i="7"/>
  <c r="E36" i="7"/>
  <c r="F36" i="7"/>
  <c r="G36" i="7"/>
  <c r="C37" i="7"/>
  <c r="D37" i="7"/>
  <c r="E37" i="7"/>
  <c r="F37" i="7"/>
  <c r="G37" i="7"/>
  <c r="C38" i="7"/>
  <c r="D38" i="7"/>
  <c r="E38" i="7"/>
  <c r="F38" i="7"/>
  <c r="G38" i="7"/>
  <c r="C39" i="7"/>
  <c r="D39" i="7"/>
  <c r="E39" i="7"/>
  <c r="F39" i="7"/>
  <c r="G39" i="7"/>
  <c r="C40" i="7"/>
  <c r="D40" i="7"/>
  <c r="E40" i="7"/>
  <c r="F40" i="7"/>
  <c r="G40" i="7"/>
  <c r="C41" i="7"/>
  <c r="D41" i="7"/>
  <c r="E41" i="7"/>
  <c r="F41" i="7"/>
  <c r="G41" i="7"/>
  <c r="C42" i="7"/>
  <c r="D42" i="7"/>
  <c r="E42" i="7"/>
  <c r="F42" i="7"/>
  <c r="G42" i="7"/>
  <c r="C43" i="7"/>
  <c r="D43" i="7"/>
  <c r="E43" i="7"/>
  <c r="F43" i="7"/>
  <c r="G43" i="7"/>
  <c r="C44" i="7"/>
  <c r="D44" i="7"/>
  <c r="E44" i="7"/>
  <c r="F44" i="7"/>
  <c r="G44" i="7"/>
  <c r="C45" i="7"/>
  <c r="D45" i="7"/>
  <c r="E45" i="7"/>
  <c r="F45" i="7"/>
  <c r="G45" i="7"/>
  <c r="C46" i="7"/>
  <c r="D46" i="7"/>
  <c r="E46" i="7"/>
  <c r="F46" i="7"/>
  <c r="G46" i="7"/>
  <c r="C47" i="7"/>
  <c r="D47" i="7"/>
  <c r="E47" i="7"/>
  <c r="F47" i="7"/>
  <c r="G47" i="7"/>
  <c r="C48" i="7"/>
  <c r="D48" i="7"/>
  <c r="E48" i="7"/>
  <c r="F48" i="7"/>
  <c r="G48" i="7"/>
  <c r="C49" i="7"/>
  <c r="D49" i="7"/>
  <c r="E49" i="7"/>
  <c r="F49" i="7"/>
  <c r="G49" i="7"/>
  <c r="C50" i="7"/>
  <c r="D50" i="7"/>
  <c r="E50" i="7"/>
  <c r="F50" i="7"/>
  <c r="G50" i="7"/>
  <c r="C51" i="7"/>
  <c r="D51" i="7"/>
  <c r="E51" i="7"/>
  <c r="F51" i="7"/>
  <c r="G51" i="7"/>
  <c r="C52" i="7"/>
  <c r="D52" i="7"/>
  <c r="E52" i="7"/>
  <c r="F52" i="7"/>
  <c r="G52" i="7"/>
  <c r="C53" i="7"/>
  <c r="D53" i="7"/>
  <c r="E53" i="7"/>
  <c r="F53" i="7"/>
  <c r="G53" i="7"/>
  <c r="C54" i="7"/>
  <c r="D54" i="7"/>
  <c r="E54" i="7"/>
  <c r="F54" i="7"/>
  <c r="G54" i="7"/>
  <c r="C55" i="7"/>
  <c r="D55" i="7"/>
  <c r="E55" i="7"/>
  <c r="F55" i="7"/>
  <c r="G55" i="7"/>
  <c r="C56" i="7"/>
  <c r="D56" i="7"/>
  <c r="E56" i="7"/>
  <c r="F56" i="7"/>
  <c r="G56" i="7"/>
  <c r="C57" i="7"/>
  <c r="D57" i="7"/>
  <c r="E57" i="7"/>
  <c r="F57" i="7"/>
  <c r="G57" i="7"/>
  <c r="C58" i="7"/>
  <c r="D58" i="7"/>
  <c r="E58" i="7"/>
  <c r="F58" i="7"/>
  <c r="G58" i="7"/>
  <c r="C59" i="7"/>
  <c r="D59" i="7"/>
  <c r="E59" i="7"/>
  <c r="F59" i="7"/>
  <c r="G59" i="7"/>
  <c r="C60" i="7"/>
  <c r="D60" i="7"/>
  <c r="E60" i="7"/>
  <c r="F60" i="7"/>
  <c r="G60" i="7"/>
  <c r="C61" i="7"/>
  <c r="D61" i="7"/>
  <c r="E61" i="7"/>
  <c r="F61" i="7"/>
  <c r="G61" i="7"/>
  <c r="C62" i="7"/>
  <c r="D62" i="7"/>
  <c r="E62" i="7"/>
  <c r="F62" i="7"/>
  <c r="G62" i="7"/>
  <c r="C63" i="7"/>
  <c r="D63" i="7"/>
  <c r="E63" i="7"/>
  <c r="F63" i="7"/>
  <c r="G63" i="7"/>
  <c r="C64" i="7"/>
  <c r="D64" i="7"/>
  <c r="E64" i="7"/>
  <c r="F64" i="7"/>
  <c r="G64" i="7"/>
  <c r="C65" i="7"/>
  <c r="D65" i="7"/>
  <c r="E65" i="7"/>
  <c r="F65" i="7"/>
  <c r="G65" i="7"/>
  <c r="C66" i="7"/>
  <c r="D66" i="7"/>
  <c r="E66" i="7"/>
  <c r="F66" i="7"/>
  <c r="G66" i="7"/>
  <c r="C67" i="7"/>
  <c r="D67" i="7"/>
  <c r="E67" i="7"/>
  <c r="F67" i="7"/>
  <c r="G67" i="7"/>
  <c r="C68" i="7"/>
  <c r="D68" i="7"/>
  <c r="E68" i="7"/>
  <c r="F68" i="7"/>
  <c r="G68" i="7"/>
  <c r="C69" i="7"/>
  <c r="D69" i="7"/>
  <c r="E69" i="7"/>
  <c r="F69" i="7"/>
  <c r="G69" i="7"/>
  <c r="C70" i="7"/>
  <c r="D70" i="7"/>
  <c r="E70" i="7"/>
  <c r="F70" i="7"/>
  <c r="G70" i="7"/>
  <c r="C71" i="7"/>
  <c r="D71" i="7"/>
  <c r="E71" i="7"/>
  <c r="F71" i="7"/>
  <c r="G71" i="7"/>
  <c r="C72" i="7"/>
  <c r="D72" i="7"/>
  <c r="E72" i="7"/>
  <c r="F72" i="7"/>
  <c r="G72" i="7"/>
  <c r="C73" i="7"/>
  <c r="D73" i="7"/>
  <c r="E73" i="7"/>
  <c r="F73" i="7"/>
  <c r="G73" i="7"/>
  <c r="C74" i="7"/>
  <c r="D74" i="7"/>
  <c r="E74" i="7"/>
  <c r="F74" i="7"/>
  <c r="G74" i="7"/>
  <c r="C75" i="7"/>
  <c r="D75" i="7"/>
  <c r="E75" i="7"/>
  <c r="F75" i="7"/>
  <c r="G75" i="7"/>
  <c r="C76" i="7"/>
  <c r="D76" i="7"/>
  <c r="E76" i="7"/>
  <c r="F76" i="7"/>
  <c r="G76" i="7"/>
  <c r="C77" i="7"/>
  <c r="D77" i="7"/>
  <c r="E77" i="7"/>
  <c r="F77" i="7"/>
  <c r="G77" i="7"/>
  <c r="C78" i="7"/>
  <c r="D78" i="7"/>
  <c r="E78" i="7"/>
  <c r="F78" i="7"/>
  <c r="G78" i="7"/>
  <c r="C79" i="7"/>
  <c r="D79" i="7"/>
  <c r="E79" i="7"/>
  <c r="F79" i="7"/>
  <c r="G79" i="7"/>
  <c r="C80" i="7"/>
  <c r="D80" i="7"/>
  <c r="E80" i="7"/>
  <c r="F80" i="7"/>
  <c r="G80" i="7"/>
  <c r="C81" i="7"/>
  <c r="D81" i="7"/>
  <c r="E81" i="7"/>
  <c r="F81" i="7"/>
  <c r="G81" i="7"/>
  <c r="C82" i="7"/>
  <c r="D82" i="7"/>
  <c r="E82" i="7"/>
  <c r="F82" i="7"/>
  <c r="G82" i="7"/>
  <c r="C83" i="7"/>
  <c r="D83" i="7"/>
  <c r="E83" i="7"/>
  <c r="F83" i="7"/>
  <c r="G83" i="7"/>
  <c r="C84" i="7"/>
  <c r="D84" i="7"/>
  <c r="E84" i="7"/>
  <c r="F84" i="7"/>
  <c r="G84" i="7"/>
  <c r="C85" i="7"/>
  <c r="D85" i="7"/>
  <c r="E85" i="7"/>
  <c r="F85" i="7"/>
  <c r="G85" i="7"/>
  <c r="C86" i="7"/>
  <c r="D86" i="7"/>
  <c r="E86" i="7"/>
  <c r="F86" i="7"/>
  <c r="G86" i="7"/>
  <c r="C87" i="7"/>
  <c r="D87" i="7"/>
  <c r="E87" i="7"/>
  <c r="F87" i="7"/>
  <c r="G87" i="7"/>
  <c r="C88" i="7"/>
  <c r="D88" i="7"/>
  <c r="E88" i="7"/>
  <c r="F88" i="7"/>
  <c r="G88" i="7"/>
  <c r="C89" i="7"/>
  <c r="D89" i="7"/>
  <c r="E89" i="7"/>
  <c r="F89" i="7"/>
  <c r="G89" i="7"/>
  <c r="C90" i="7"/>
  <c r="D90" i="7"/>
  <c r="E90" i="7"/>
  <c r="F90" i="7"/>
  <c r="G90" i="7"/>
  <c r="C91" i="7"/>
  <c r="D91" i="7"/>
  <c r="E91" i="7"/>
  <c r="F91" i="7"/>
  <c r="G91" i="7"/>
  <c r="C92" i="7"/>
  <c r="D92" i="7"/>
  <c r="E92" i="7"/>
  <c r="F92" i="7"/>
  <c r="G92" i="7"/>
  <c r="C93" i="7"/>
  <c r="D93" i="7"/>
  <c r="E93" i="7"/>
  <c r="F93" i="7"/>
  <c r="G93" i="7"/>
  <c r="C94" i="7"/>
  <c r="D94" i="7"/>
  <c r="E94" i="7"/>
  <c r="F94" i="7"/>
  <c r="G94" i="7"/>
  <c r="C95" i="7"/>
  <c r="D95" i="7"/>
  <c r="E95" i="7"/>
  <c r="F95" i="7"/>
  <c r="G95" i="7"/>
  <c r="C96" i="7"/>
  <c r="D96" i="7"/>
  <c r="E96" i="7"/>
  <c r="F96" i="7"/>
  <c r="G96" i="7"/>
  <c r="C97" i="7"/>
  <c r="D97" i="7"/>
  <c r="E97" i="7"/>
  <c r="F97" i="7"/>
  <c r="G97" i="7"/>
  <c r="C98" i="7"/>
  <c r="D98" i="7"/>
  <c r="E98" i="7"/>
  <c r="F98" i="7"/>
  <c r="G98" i="7"/>
  <c r="C99" i="7"/>
  <c r="D99" i="7"/>
  <c r="E99" i="7"/>
  <c r="F99" i="7"/>
  <c r="G99" i="7"/>
  <c r="C100" i="7"/>
  <c r="D100" i="7"/>
  <c r="E100" i="7"/>
  <c r="F100" i="7"/>
  <c r="G100" i="7"/>
  <c r="J20" i="2"/>
  <c r="K20" i="2"/>
  <c r="C101" i="7"/>
  <c r="D101" i="7"/>
  <c r="E101" i="7"/>
  <c r="F101" i="7"/>
  <c r="G101" i="7"/>
  <c r="B8" i="23"/>
  <c r="D101" i="17"/>
  <c r="E101" i="17"/>
  <c r="F101" i="17"/>
  <c r="D66" i="17"/>
  <c r="E66" i="17"/>
  <c r="F66" i="17"/>
  <c r="D67" i="17"/>
  <c r="E67" i="17"/>
  <c r="F67" i="17"/>
  <c r="D68" i="17"/>
  <c r="E68" i="17"/>
  <c r="F68" i="17"/>
  <c r="D69" i="17"/>
  <c r="E69" i="17"/>
  <c r="F69" i="17"/>
  <c r="D70" i="17"/>
  <c r="E70" i="17"/>
  <c r="F70" i="17"/>
  <c r="D71" i="17"/>
  <c r="E71" i="17"/>
  <c r="F71" i="17"/>
  <c r="D72" i="17"/>
  <c r="E72" i="17"/>
  <c r="F72" i="17"/>
  <c r="D73" i="17"/>
  <c r="E73" i="17"/>
  <c r="F73" i="17"/>
  <c r="D74" i="17"/>
  <c r="E74" i="17"/>
  <c r="F74" i="17"/>
  <c r="D75" i="17"/>
  <c r="E75" i="17"/>
  <c r="F75" i="17"/>
  <c r="D76" i="17"/>
  <c r="E76" i="17"/>
  <c r="F76" i="17"/>
  <c r="D77" i="17"/>
  <c r="E77" i="17"/>
  <c r="F77" i="17"/>
  <c r="D78" i="17"/>
  <c r="E78" i="17"/>
  <c r="F78" i="17"/>
  <c r="D79" i="17"/>
  <c r="E79" i="17"/>
  <c r="F79" i="17"/>
  <c r="D80" i="17"/>
  <c r="E80" i="17"/>
  <c r="F80" i="17"/>
  <c r="D81" i="17"/>
  <c r="E81" i="17"/>
  <c r="F81" i="17"/>
  <c r="D82" i="17"/>
  <c r="E82" i="17"/>
  <c r="F82" i="17"/>
  <c r="D83" i="17"/>
  <c r="E83" i="17"/>
  <c r="F83" i="17"/>
  <c r="D84" i="17"/>
  <c r="E84" i="17"/>
  <c r="F84" i="17"/>
  <c r="D85" i="17"/>
  <c r="E85" i="17"/>
  <c r="F85" i="17"/>
  <c r="D86" i="17"/>
  <c r="E86" i="17"/>
  <c r="F86" i="17"/>
  <c r="D87" i="17"/>
  <c r="E87" i="17"/>
  <c r="F87" i="17"/>
  <c r="D88" i="17"/>
  <c r="E88" i="17"/>
  <c r="F88" i="17"/>
  <c r="D89" i="17"/>
  <c r="E89" i="17"/>
  <c r="F89" i="17"/>
  <c r="D90" i="17"/>
  <c r="E90" i="17"/>
  <c r="F90" i="17"/>
  <c r="D91" i="17"/>
  <c r="E91" i="17"/>
  <c r="F91" i="17"/>
  <c r="D92" i="17"/>
  <c r="E92" i="17"/>
  <c r="F92" i="17"/>
  <c r="D93" i="17"/>
  <c r="E93" i="17"/>
  <c r="F93" i="17"/>
  <c r="D94" i="17"/>
  <c r="E94" i="17"/>
  <c r="F94" i="17"/>
  <c r="D95" i="17"/>
  <c r="E95" i="17"/>
  <c r="F95" i="17"/>
  <c r="D96" i="17"/>
  <c r="E96" i="17"/>
  <c r="F96" i="17"/>
  <c r="D97" i="17"/>
  <c r="E97" i="17"/>
  <c r="F97" i="17"/>
  <c r="D98" i="17"/>
  <c r="E98" i="17"/>
  <c r="F98" i="17"/>
  <c r="D99" i="17"/>
  <c r="E99" i="17"/>
  <c r="F99" i="17"/>
  <c r="D100" i="17"/>
  <c r="E100" i="17"/>
  <c r="F100" i="17"/>
  <c r="D65" i="17"/>
  <c r="E65" i="17"/>
  <c r="F65" i="17"/>
  <c r="D54" i="17"/>
  <c r="E54" i="17"/>
  <c r="F54" i="17"/>
  <c r="D55" i="17"/>
  <c r="E55" i="17"/>
  <c r="F55" i="17"/>
  <c r="D56" i="17"/>
  <c r="E56" i="17"/>
  <c r="F56" i="17"/>
  <c r="D57" i="17"/>
  <c r="E57" i="17"/>
  <c r="F57" i="17"/>
  <c r="D58" i="17"/>
  <c r="E58" i="17"/>
  <c r="F58" i="17"/>
  <c r="D59" i="17"/>
  <c r="E59" i="17"/>
  <c r="F59" i="17"/>
  <c r="D60" i="17"/>
  <c r="E60" i="17"/>
  <c r="F60" i="17"/>
  <c r="D61" i="17"/>
  <c r="E61" i="17"/>
  <c r="F61" i="17"/>
  <c r="D62" i="17"/>
  <c r="E62" i="17"/>
  <c r="F62" i="17"/>
  <c r="D63" i="17"/>
  <c r="E63" i="17"/>
  <c r="F63" i="17"/>
  <c r="D64" i="17"/>
  <c r="E64" i="17"/>
  <c r="F64" i="17"/>
  <c r="D53" i="17"/>
  <c r="E53" i="17"/>
  <c r="F53" i="17"/>
  <c r="D42" i="17"/>
  <c r="E42" i="17"/>
  <c r="F42" i="17"/>
  <c r="D43" i="17"/>
  <c r="E43" i="17"/>
  <c r="F43" i="17"/>
  <c r="D44" i="17"/>
  <c r="E44" i="17"/>
  <c r="F44" i="17"/>
  <c r="D45" i="17"/>
  <c r="E45" i="17"/>
  <c r="F45" i="17"/>
  <c r="D46" i="17"/>
  <c r="E46" i="17"/>
  <c r="F46" i="17"/>
  <c r="D47" i="17"/>
  <c r="E47" i="17"/>
  <c r="F47" i="17"/>
  <c r="D48" i="17"/>
  <c r="E48" i="17"/>
  <c r="F48" i="17"/>
  <c r="D49" i="17"/>
  <c r="E49" i="17"/>
  <c r="F49" i="17"/>
  <c r="D50" i="17"/>
  <c r="E50" i="17"/>
  <c r="F50" i="17"/>
  <c r="D51" i="17"/>
  <c r="E51" i="17"/>
  <c r="F51" i="17"/>
  <c r="D52" i="17"/>
  <c r="E52" i="17"/>
  <c r="F52" i="17"/>
  <c r="D41" i="17"/>
  <c r="E41" i="17"/>
  <c r="F41" i="17"/>
  <c r="D40" i="17"/>
  <c r="E40" i="17"/>
  <c r="F40" i="17"/>
  <c r="D39" i="17"/>
  <c r="E39" i="17"/>
  <c r="F39" i="17"/>
  <c r="D37" i="17"/>
  <c r="E37" i="17"/>
  <c r="F37" i="17"/>
  <c r="D38" i="17"/>
  <c r="E38" i="17"/>
  <c r="F38" i="17"/>
  <c r="D36" i="17"/>
  <c r="E36" i="17"/>
  <c r="F36" i="17"/>
  <c r="D34" i="17"/>
  <c r="E34" i="17"/>
  <c r="F34" i="17"/>
  <c r="D35" i="17"/>
  <c r="E35" i="17"/>
  <c r="F35" i="17"/>
  <c r="D33" i="17"/>
  <c r="E33" i="17"/>
  <c r="F33" i="17"/>
  <c r="D32" i="17"/>
  <c r="E32" i="17"/>
  <c r="F32" i="17"/>
  <c r="D31" i="17"/>
  <c r="E31" i="17"/>
  <c r="F31" i="17"/>
  <c r="D29" i="17"/>
  <c r="E29" i="17"/>
  <c r="F29" i="17"/>
  <c r="D30" i="17"/>
  <c r="E30" i="17"/>
  <c r="F30" i="17"/>
  <c r="D28" i="17"/>
  <c r="E28" i="17"/>
  <c r="F28" i="17"/>
  <c r="D26" i="17"/>
  <c r="E26" i="17"/>
  <c r="F26" i="17"/>
  <c r="D27" i="17"/>
  <c r="E27" i="17"/>
  <c r="F27" i="17"/>
  <c r="D25" i="17"/>
  <c r="E25" i="17"/>
  <c r="F25" i="17"/>
  <c r="D24" i="17"/>
  <c r="E24" i="17"/>
  <c r="F24" i="17"/>
  <c r="D23" i="17"/>
  <c r="E23" i="17"/>
  <c r="F23" i="17"/>
  <c r="D21" i="17"/>
  <c r="E21" i="17"/>
  <c r="F21" i="17"/>
  <c r="D22" i="17"/>
  <c r="E22" i="17"/>
  <c r="F22" i="17"/>
  <c r="D20" i="17"/>
  <c r="E20" i="17"/>
  <c r="F20" i="17"/>
  <c r="D18" i="17"/>
  <c r="E18" i="17"/>
  <c r="F18" i="17"/>
  <c r="D19" i="17"/>
  <c r="E19" i="17"/>
  <c r="F19" i="17"/>
  <c r="D17" i="17"/>
  <c r="E17" i="17"/>
  <c r="F17" i="17"/>
  <c r="D16" i="17"/>
  <c r="E16" i="17"/>
  <c r="F16" i="17"/>
  <c r="D15" i="17"/>
  <c r="E15" i="17"/>
  <c r="F15" i="17"/>
  <c r="D13" i="17"/>
  <c r="E13" i="17"/>
  <c r="F13" i="17"/>
  <c r="D14" i="17"/>
  <c r="E14" i="17"/>
  <c r="F14" i="17"/>
  <c r="D12" i="17"/>
  <c r="E12" i="17"/>
  <c r="F12" i="17"/>
  <c r="D10" i="17"/>
  <c r="E10" i="17"/>
  <c r="F10" i="17"/>
  <c r="D11" i="17"/>
  <c r="E11" i="17"/>
  <c r="F11" i="17"/>
  <c r="D9" i="17"/>
  <c r="E9" i="17"/>
  <c r="F9" i="17"/>
  <c r="D6" i="17"/>
  <c r="E6" i="17"/>
  <c r="F6" i="17"/>
  <c r="D7" i="17"/>
  <c r="E7" i="17"/>
  <c r="F7" i="17"/>
  <c r="D8" i="17"/>
  <c r="E8" i="17"/>
  <c r="F8" i="17"/>
  <c r="I18" i="4"/>
  <c r="I19" i="4"/>
  <c r="I10" i="4"/>
  <c r="J10" i="4"/>
  <c r="I11" i="4"/>
  <c r="J11" i="4"/>
  <c r="I12" i="4"/>
  <c r="J12" i="4"/>
  <c r="I13" i="4"/>
  <c r="J13" i="4"/>
  <c r="I14" i="4"/>
  <c r="J14" i="4"/>
  <c r="I15" i="4"/>
  <c r="J15" i="4"/>
  <c r="I16" i="4"/>
  <c r="J16" i="4"/>
  <c r="I17" i="4"/>
  <c r="J17" i="4"/>
  <c r="J18" i="4"/>
  <c r="J19" i="4"/>
  <c r="I20" i="4"/>
  <c r="J20" i="4"/>
  <c r="D5" i="17"/>
  <c r="E5" i="17"/>
  <c r="F5" i="17"/>
  <c r="G5" i="17"/>
  <c r="G6" i="17"/>
  <c r="G7" i="17"/>
  <c r="G8" i="17"/>
  <c r="G9" i="17"/>
  <c r="G10" i="17"/>
  <c r="G11" i="17"/>
  <c r="G12" i="17"/>
  <c r="G13" i="17"/>
  <c r="G14" i="17"/>
  <c r="G15" i="17"/>
  <c r="G16" i="17"/>
  <c r="G17" i="17"/>
  <c r="G18" i="17"/>
  <c r="G19" i="17"/>
  <c r="G20" i="17"/>
  <c r="G21" i="17"/>
  <c r="G22" i="17"/>
  <c r="G23" i="17"/>
  <c r="G24" i="17"/>
  <c r="G25" i="17"/>
  <c r="G26" i="17"/>
  <c r="G27" i="17"/>
  <c r="G28" i="17"/>
  <c r="G29" i="17"/>
  <c r="G30" i="17"/>
  <c r="G31" i="17"/>
  <c r="G32" i="17"/>
  <c r="G33" i="17"/>
  <c r="G34" i="17"/>
  <c r="G35" i="17"/>
  <c r="G36" i="17"/>
  <c r="G37" i="17"/>
  <c r="G38" i="17"/>
  <c r="G39" i="17"/>
  <c r="G40" i="17"/>
  <c r="G41" i="17"/>
  <c r="G42" i="17"/>
  <c r="G43" i="17"/>
  <c r="G44" i="17"/>
  <c r="G45" i="17"/>
  <c r="G46" i="17"/>
  <c r="G47" i="17"/>
  <c r="G48" i="17"/>
  <c r="G49" i="17"/>
  <c r="G50" i="17"/>
  <c r="G51" i="17"/>
  <c r="G52" i="17"/>
  <c r="G53" i="17"/>
  <c r="G54" i="17"/>
  <c r="G55" i="17"/>
  <c r="G56" i="17"/>
  <c r="G57" i="17"/>
  <c r="G58" i="17"/>
  <c r="G59" i="17"/>
  <c r="G60" i="17"/>
  <c r="G61" i="17"/>
  <c r="G62" i="17"/>
  <c r="G63" i="17"/>
  <c r="G64" i="17"/>
  <c r="G65" i="17"/>
  <c r="G66" i="17"/>
  <c r="G67" i="17"/>
  <c r="G68" i="17"/>
  <c r="G69" i="17"/>
  <c r="G70" i="17"/>
  <c r="G71" i="17"/>
  <c r="G72" i="17"/>
  <c r="G73" i="17"/>
  <c r="G74" i="17"/>
  <c r="G75" i="17"/>
  <c r="G76" i="17"/>
  <c r="G77" i="17"/>
  <c r="G78" i="17"/>
  <c r="G79" i="17"/>
  <c r="G80" i="17"/>
  <c r="G81" i="17"/>
  <c r="G82" i="17"/>
  <c r="G83" i="17"/>
  <c r="G84" i="17"/>
  <c r="G85" i="17"/>
  <c r="G86" i="17"/>
  <c r="G87" i="17"/>
  <c r="G88" i="17"/>
  <c r="G89" i="17"/>
  <c r="G90" i="17"/>
  <c r="G91" i="17"/>
  <c r="G92" i="17"/>
  <c r="G93" i="17"/>
  <c r="G94" i="17"/>
  <c r="G95" i="17"/>
  <c r="G96" i="17"/>
  <c r="G97" i="17"/>
  <c r="G98" i="17"/>
  <c r="G99" i="17"/>
  <c r="G100" i="17"/>
  <c r="G101" i="17"/>
  <c r="B7" i="23"/>
  <c r="D25" i="23"/>
  <c r="C15" i="23"/>
  <c r="C16" i="23"/>
  <c r="C17" i="23"/>
  <c r="C20" i="23"/>
  <c r="C21" i="23"/>
  <c r="C24" i="23"/>
  <c r="C18" i="23"/>
  <c r="C25" i="23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C3" i="5"/>
  <c r="D3" i="5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C3" i="4"/>
  <c r="D3" i="4"/>
  <c r="C4" i="22"/>
  <c r="C5" i="22"/>
  <c r="C6" i="22"/>
  <c r="C7" i="22"/>
  <c r="C8" i="22"/>
  <c r="C9" i="22"/>
  <c r="C10" i="22"/>
  <c r="C11" i="22"/>
  <c r="C12" i="22"/>
  <c r="C13" i="22"/>
  <c r="C14" i="22"/>
  <c r="C15" i="22"/>
  <c r="C16" i="22"/>
  <c r="C17" i="22"/>
  <c r="C18" i="22"/>
  <c r="C19" i="22"/>
  <c r="C20" i="22"/>
  <c r="D20" i="22"/>
  <c r="D19" i="22"/>
  <c r="D18" i="22"/>
  <c r="D17" i="22"/>
  <c r="D16" i="22"/>
  <c r="D15" i="22"/>
  <c r="D14" i="22"/>
  <c r="D13" i="22"/>
  <c r="D12" i="22"/>
  <c r="D11" i="22"/>
  <c r="D10" i="22"/>
  <c r="D9" i="22"/>
  <c r="D8" i="22"/>
  <c r="D7" i="22"/>
  <c r="D6" i="22"/>
  <c r="D5" i="22"/>
  <c r="D4" i="22"/>
  <c r="C3" i="22"/>
  <c r="D3" i="22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C3" i="3"/>
  <c r="D3" i="3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H5" i="22"/>
  <c r="U5" i="22"/>
  <c r="L5" i="22"/>
  <c r="V5" i="22"/>
  <c r="X5" i="22"/>
  <c r="H6" i="22"/>
  <c r="U6" i="22"/>
  <c r="L6" i="22"/>
  <c r="V6" i="22"/>
  <c r="X6" i="22"/>
  <c r="H7" i="22"/>
  <c r="U7" i="22"/>
  <c r="L7" i="22"/>
  <c r="V7" i="22"/>
  <c r="X7" i="22"/>
  <c r="H8" i="22"/>
  <c r="U8" i="22"/>
  <c r="L8" i="22"/>
  <c r="V8" i="22"/>
  <c r="X8" i="22"/>
  <c r="H9" i="22"/>
  <c r="U9" i="22"/>
  <c r="L9" i="22"/>
  <c r="V9" i="22"/>
  <c r="X9" i="22"/>
  <c r="H10" i="22"/>
  <c r="U10" i="22"/>
  <c r="L10" i="22"/>
  <c r="V10" i="22"/>
  <c r="X10" i="22"/>
  <c r="H11" i="22"/>
  <c r="U11" i="22"/>
  <c r="L11" i="22"/>
  <c r="V11" i="22"/>
  <c r="X11" i="22"/>
  <c r="H12" i="22"/>
  <c r="U12" i="22"/>
  <c r="L12" i="22"/>
  <c r="V12" i="22"/>
  <c r="X12" i="22"/>
  <c r="H13" i="22"/>
  <c r="U13" i="22"/>
  <c r="L13" i="22"/>
  <c r="V13" i="22"/>
  <c r="X13" i="22"/>
  <c r="H14" i="22"/>
  <c r="U14" i="22"/>
  <c r="L14" i="22"/>
  <c r="V14" i="22"/>
  <c r="X14" i="22"/>
  <c r="H15" i="22"/>
  <c r="U15" i="22"/>
  <c r="L15" i="22"/>
  <c r="V15" i="22"/>
  <c r="X15" i="22"/>
  <c r="H16" i="22"/>
  <c r="U16" i="22"/>
  <c r="L16" i="22"/>
  <c r="V16" i="22"/>
  <c r="X16" i="22"/>
  <c r="H17" i="22"/>
  <c r="U17" i="22"/>
  <c r="L17" i="22"/>
  <c r="V17" i="22"/>
  <c r="X17" i="22"/>
  <c r="H18" i="22"/>
  <c r="U18" i="22"/>
  <c r="L18" i="22"/>
  <c r="V18" i="22"/>
  <c r="X18" i="22"/>
  <c r="H19" i="22"/>
  <c r="U19" i="22"/>
  <c r="L19" i="22"/>
  <c r="V19" i="22"/>
  <c r="X19" i="22"/>
  <c r="H20" i="22"/>
  <c r="U20" i="22"/>
  <c r="L20" i="22"/>
  <c r="V20" i="22"/>
  <c r="X20" i="22"/>
  <c r="H4" i="22"/>
  <c r="U4" i="22"/>
  <c r="L4" i="22"/>
  <c r="V4" i="22"/>
  <c r="X4" i="22"/>
  <c r="R4" i="22"/>
  <c r="B10" i="23"/>
  <c r="B9" i="23"/>
  <c r="M41" i="8"/>
  <c r="M25" i="8"/>
  <c r="C6" i="23"/>
  <c r="M20" i="8"/>
  <c r="M4" i="8"/>
  <c r="C5" i="23"/>
  <c r="U4" i="8"/>
  <c r="U20" i="8"/>
  <c r="C4" i="23"/>
  <c r="Q4" i="8"/>
  <c r="Q20" i="8"/>
  <c r="C3" i="23"/>
  <c r="I4" i="8"/>
  <c r="I20" i="8"/>
  <c r="C2" i="23"/>
  <c r="C19" i="2"/>
  <c r="C4" i="2"/>
  <c r="C5" i="2"/>
  <c r="C6" i="2"/>
  <c r="C7" i="2"/>
  <c r="C8" i="2"/>
  <c r="C9" i="2"/>
  <c r="C10" i="2"/>
  <c r="C11" i="2"/>
  <c r="C12" i="2"/>
  <c r="C13" i="2"/>
  <c r="F20" i="2"/>
  <c r="I24" i="8"/>
  <c r="G24" i="16"/>
  <c r="H24" i="16"/>
  <c r="G24" i="14"/>
  <c r="H24" i="14"/>
  <c r="G24" i="21"/>
  <c r="H24" i="21"/>
  <c r="G24" i="20"/>
  <c r="H24" i="20"/>
  <c r="G24" i="15"/>
  <c r="H24" i="15"/>
  <c r="G24" i="18"/>
  <c r="H24" i="18"/>
  <c r="G24" i="19"/>
  <c r="H24" i="19"/>
  <c r="H41" i="8"/>
  <c r="I41" i="8"/>
  <c r="P41" i="8"/>
  <c r="Q41" i="8"/>
  <c r="G20" i="5"/>
  <c r="Q20" i="22"/>
  <c r="R20" i="22"/>
  <c r="S20" i="22"/>
  <c r="T20" i="22"/>
  <c r="Q20" i="3"/>
  <c r="R20" i="3"/>
  <c r="S20" i="3"/>
  <c r="C14" i="2"/>
  <c r="C15" i="2"/>
  <c r="C16" i="2"/>
  <c r="C17" i="2"/>
  <c r="C18" i="2"/>
  <c r="C20" i="2"/>
  <c r="C3" i="2"/>
  <c r="H19" i="8"/>
  <c r="L40" i="8"/>
  <c r="D22" i="23"/>
  <c r="L19" i="8"/>
  <c r="T19" i="8"/>
  <c r="P19" i="8"/>
  <c r="Q5" i="22"/>
  <c r="Q6" i="22"/>
  <c r="Q7" i="22"/>
  <c r="Q8" i="22"/>
  <c r="Q9" i="22"/>
  <c r="Q10" i="22"/>
  <c r="Q11" i="22"/>
  <c r="Q12" i="22"/>
  <c r="Q13" i="22"/>
  <c r="Q14" i="22"/>
  <c r="Q15" i="22"/>
  <c r="Q16" i="22"/>
  <c r="Q17" i="22"/>
  <c r="Q18" i="22"/>
  <c r="Q19" i="22"/>
  <c r="Q4" i="22"/>
  <c r="T5" i="22"/>
  <c r="T6" i="22"/>
  <c r="T7" i="22"/>
  <c r="T8" i="22"/>
  <c r="T9" i="22"/>
  <c r="T10" i="22"/>
  <c r="T11" i="22"/>
  <c r="T12" i="22"/>
  <c r="T13" i="22"/>
  <c r="T14" i="22"/>
  <c r="T15" i="22"/>
  <c r="T16" i="22"/>
  <c r="T17" i="22"/>
  <c r="T18" i="22"/>
  <c r="T19" i="22"/>
  <c r="T4" i="22"/>
  <c r="S5" i="22"/>
  <c r="S6" i="22"/>
  <c r="S7" i="22"/>
  <c r="S8" i="22"/>
  <c r="S9" i="22"/>
  <c r="S10" i="22"/>
  <c r="S11" i="22"/>
  <c r="S12" i="22"/>
  <c r="S13" i="22"/>
  <c r="S14" i="22"/>
  <c r="S15" i="22"/>
  <c r="S16" i="22"/>
  <c r="S17" i="22"/>
  <c r="S18" i="22"/>
  <c r="S19" i="22"/>
  <c r="S4" i="22"/>
  <c r="R5" i="22"/>
  <c r="R6" i="22"/>
  <c r="R7" i="22"/>
  <c r="R8" i="22"/>
  <c r="R9" i="22"/>
  <c r="R10" i="22"/>
  <c r="R11" i="22"/>
  <c r="R12" i="22"/>
  <c r="R13" i="22"/>
  <c r="R14" i="22"/>
  <c r="R15" i="22"/>
  <c r="R16" i="22"/>
  <c r="R17" i="22"/>
  <c r="R18" i="22"/>
  <c r="R19" i="22"/>
  <c r="G10" i="18"/>
  <c r="H10" i="18"/>
  <c r="G11" i="18"/>
  <c r="H11" i="18"/>
  <c r="G12" i="18"/>
  <c r="H12" i="18"/>
  <c r="G13" i="18"/>
  <c r="H13" i="18"/>
  <c r="G14" i="18"/>
  <c r="H14" i="18"/>
  <c r="G15" i="18"/>
  <c r="H15" i="18"/>
  <c r="G16" i="18"/>
  <c r="H16" i="18"/>
  <c r="G17" i="18"/>
  <c r="H17" i="18"/>
  <c r="G18" i="18"/>
  <c r="H18" i="18"/>
  <c r="G19" i="18"/>
  <c r="H19" i="18"/>
  <c r="G20" i="18"/>
  <c r="H20" i="18"/>
  <c r="G21" i="18"/>
  <c r="H21" i="18"/>
  <c r="G22" i="18"/>
  <c r="H22" i="18"/>
  <c r="G23" i="18"/>
  <c r="H23" i="18"/>
  <c r="G7" i="18"/>
  <c r="H7" i="18"/>
  <c r="G8" i="18"/>
  <c r="H8" i="18"/>
  <c r="G9" i="18"/>
  <c r="H9" i="18"/>
  <c r="D23" i="23"/>
  <c r="D19" i="23"/>
  <c r="D18" i="23"/>
  <c r="D17" i="23"/>
  <c r="G8" i="14"/>
  <c r="H8" i="14"/>
  <c r="G9" i="14"/>
  <c r="H9" i="14"/>
  <c r="G10" i="14"/>
  <c r="H10" i="14"/>
  <c r="G11" i="14"/>
  <c r="H11" i="14"/>
  <c r="G12" i="14"/>
  <c r="H12" i="14"/>
  <c r="G13" i="14"/>
  <c r="H13" i="14"/>
  <c r="G14" i="14"/>
  <c r="H14" i="14"/>
  <c r="G15" i="14"/>
  <c r="H15" i="14"/>
  <c r="G16" i="14"/>
  <c r="H16" i="14"/>
  <c r="G17" i="14"/>
  <c r="H17" i="14"/>
  <c r="G18" i="14"/>
  <c r="H18" i="14"/>
  <c r="G19" i="14"/>
  <c r="H19" i="14"/>
  <c r="G20" i="14"/>
  <c r="H20" i="14"/>
  <c r="G21" i="14"/>
  <c r="H21" i="14"/>
  <c r="G22" i="14"/>
  <c r="H22" i="14"/>
  <c r="G23" i="14"/>
  <c r="H23" i="14"/>
  <c r="H7" i="14"/>
  <c r="G7" i="14"/>
  <c r="J4" i="4"/>
  <c r="J5" i="4"/>
  <c r="J6" i="4"/>
  <c r="J7" i="4"/>
  <c r="J8" i="4"/>
  <c r="J9" i="4"/>
  <c r="J3" i="4"/>
  <c r="M40" i="8"/>
  <c r="M19" i="8"/>
  <c r="U19" i="8"/>
  <c r="Q19" i="8"/>
  <c r="I19" i="8"/>
  <c r="L24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T13" i="8"/>
  <c r="H7" i="21"/>
  <c r="G7" i="21"/>
  <c r="G8" i="21"/>
  <c r="I4" i="4"/>
  <c r="I5" i="4"/>
  <c r="I6" i="4"/>
  <c r="I7" i="4"/>
  <c r="I8" i="4"/>
  <c r="I9" i="4"/>
  <c r="I3" i="4"/>
  <c r="Q19" i="3"/>
  <c r="S19" i="3"/>
  <c r="R19" i="3"/>
  <c r="Q18" i="3"/>
  <c r="S18" i="3"/>
  <c r="R18" i="3"/>
  <c r="Q17" i="3"/>
  <c r="S17" i="3"/>
  <c r="R17" i="3"/>
  <c r="Q16" i="3"/>
  <c r="S16" i="3"/>
  <c r="R16" i="3"/>
  <c r="Q15" i="3"/>
  <c r="S15" i="3"/>
  <c r="R15" i="3"/>
  <c r="Q14" i="3"/>
  <c r="S14" i="3"/>
  <c r="R14" i="3"/>
  <c r="Q13" i="3"/>
  <c r="S13" i="3"/>
  <c r="R13" i="3"/>
  <c r="Q12" i="3"/>
  <c r="S12" i="3"/>
  <c r="R12" i="3"/>
  <c r="Q11" i="3"/>
  <c r="S11" i="3"/>
  <c r="R11" i="3"/>
  <c r="Q10" i="3"/>
  <c r="S10" i="3"/>
  <c r="R10" i="3"/>
  <c r="Q9" i="3"/>
  <c r="S9" i="3"/>
  <c r="R9" i="3"/>
  <c r="Q8" i="3"/>
  <c r="S8" i="3"/>
  <c r="R8" i="3"/>
  <c r="Q7" i="3"/>
  <c r="S7" i="3"/>
  <c r="R7" i="3"/>
  <c r="Q6" i="3"/>
  <c r="S6" i="3"/>
  <c r="R6" i="3"/>
  <c r="Q5" i="3"/>
  <c r="S5" i="3"/>
  <c r="R5" i="3"/>
  <c r="Q4" i="3"/>
  <c r="S4" i="3"/>
  <c r="R4" i="3"/>
  <c r="G19" i="5"/>
  <c r="D4" i="2"/>
  <c r="D3" i="2"/>
  <c r="G18" i="16"/>
  <c r="H18" i="16"/>
  <c r="G19" i="16"/>
  <c r="H19" i="16"/>
  <c r="G20" i="16"/>
  <c r="H20" i="16"/>
  <c r="G21" i="16"/>
  <c r="H21" i="16"/>
  <c r="G22" i="16"/>
  <c r="H22" i="16"/>
  <c r="G23" i="16"/>
  <c r="H23" i="16"/>
  <c r="G18" i="21"/>
  <c r="H18" i="21"/>
  <c r="G19" i="21"/>
  <c r="H19" i="21"/>
  <c r="G20" i="21"/>
  <c r="H20" i="21"/>
  <c r="G21" i="21"/>
  <c r="H21" i="21"/>
  <c r="G22" i="21"/>
  <c r="H22" i="21"/>
  <c r="G23" i="21"/>
  <c r="H23" i="21"/>
  <c r="G18" i="20"/>
  <c r="H18" i="20"/>
  <c r="G19" i="20"/>
  <c r="H19" i="20"/>
  <c r="G20" i="20"/>
  <c r="H20" i="20"/>
  <c r="G21" i="20"/>
  <c r="H21" i="20"/>
  <c r="G22" i="20"/>
  <c r="H22" i="20"/>
  <c r="G23" i="20"/>
  <c r="H23" i="20"/>
  <c r="G18" i="15"/>
  <c r="H18" i="15"/>
  <c r="G19" i="15"/>
  <c r="H19" i="15"/>
  <c r="G20" i="15"/>
  <c r="H20" i="15"/>
  <c r="G21" i="15"/>
  <c r="H21" i="15"/>
  <c r="G22" i="15"/>
  <c r="H22" i="15"/>
  <c r="G23" i="15"/>
  <c r="H23" i="15"/>
  <c r="H35" i="8"/>
  <c r="I35" i="8"/>
  <c r="M35" i="8"/>
  <c r="P35" i="8"/>
  <c r="Q35" i="8"/>
  <c r="H36" i="8"/>
  <c r="I36" i="8"/>
  <c r="M36" i="8"/>
  <c r="P36" i="8"/>
  <c r="Q36" i="8"/>
  <c r="H37" i="8"/>
  <c r="I37" i="8"/>
  <c r="M37" i="8"/>
  <c r="P37" i="8"/>
  <c r="Q37" i="8"/>
  <c r="H38" i="8"/>
  <c r="I38" i="8"/>
  <c r="M38" i="8"/>
  <c r="P38" i="8"/>
  <c r="Q38" i="8"/>
  <c r="H39" i="8"/>
  <c r="I39" i="8"/>
  <c r="M39" i="8"/>
  <c r="P39" i="8"/>
  <c r="Q39" i="8"/>
  <c r="H40" i="8"/>
  <c r="I40" i="8"/>
  <c r="P40" i="8"/>
  <c r="Q40" i="8"/>
  <c r="H14" i="8"/>
  <c r="I14" i="8"/>
  <c r="L14" i="8"/>
  <c r="M14" i="8"/>
  <c r="P14" i="8"/>
  <c r="Q14" i="8"/>
  <c r="T14" i="8"/>
  <c r="U14" i="8"/>
  <c r="H15" i="8"/>
  <c r="I15" i="8"/>
  <c r="L15" i="8"/>
  <c r="M15" i="8"/>
  <c r="P15" i="8"/>
  <c r="Q15" i="8"/>
  <c r="T15" i="8"/>
  <c r="U15" i="8"/>
  <c r="H16" i="8"/>
  <c r="I16" i="8"/>
  <c r="L16" i="8"/>
  <c r="M16" i="8"/>
  <c r="P16" i="8"/>
  <c r="Q16" i="8"/>
  <c r="T16" i="8"/>
  <c r="U16" i="8"/>
  <c r="H17" i="8"/>
  <c r="I17" i="8"/>
  <c r="L17" i="8"/>
  <c r="M17" i="8"/>
  <c r="P17" i="8"/>
  <c r="Q17" i="8"/>
  <c r="T17" i="8"/>
  <c r="U17" i="8"/>
  <c r="H18" i="8"/>
  <c r="I18" i="8"/>
  <c r="L18" i="8"/>
  <c r="M18" i="8"/>
  <c r="P18" i="8"/>
  <c r="Q18" i="8"/>
  <c r="T18" i="8"/>
  <c r="U18" i="8"/>
  <c r="G18" i="19"/>
  <c r="H18" i="19"/>
  <c r="G19" i="19"/>
  <c r="H19" i="19"/>
  <c r="G20" i="19"/>
  <c r="H20" i="19"/>
  <c r="G21" i="19"/>
  <c r="H21" i="19"/>
  <c r="G22" i="19"/>
  <c r="H22" i="19"/>
  <c r="G23" i="19"/>
  <c r="H23" i="19"/>
  <c r="G13" i="5"/>
  <c r="G14" i="5"/>
  <c r="G15" i="5"/>
  <c r="G16" i="5"/>
  <c r="G17" i="5"/>
  <c r="G18" i="5"/>
  <c r="H7" i="19"/>
  <c r="G7" i="19"/>
  <c r="I3" i="8"/>
  <c r="H3" i="8"/>
  <c r="H17" i="21"/>
  <c r="G17" i="21"/>
  <c r="H16" i="21"/>
  <c r="G16" i="21"/>
  <c r="H15" i="21"/>
  <c r="G15" i="21"/>
  <c r="H14" i="21"/>
  <c r="G14" i="21"/>
  <c r="H13" i="21"/>
  <c r="G13" i="21"/>
  <c r="H12" i="21"/>
  <c r="G12" i="21"/>
  <c r="H11" i="21"/>
  <c r="G11" i="21"/>
  <c r="H10" i="21"/>
  <c r="G10" i="21"/>
  <c r="H9" i="21"/>
  <c r="G9" i="21"/>
  <c r="H8" i="21"/>
  <c r="H17" i="20"/>
  <c r="G17" i="20"/>
  <c r="H16" i="20"/>
  <c r="G16" i="20"/>
  <c r="H15" i="20"/>
  <c r="G15" i="20"/>
  <c r="H14" i="20"/>
  <c r="G14" i="20"/>
  <c r="H13" i="20"/>
  <c r="G13" i="20"/>
  <c r="H12" i="20"/>
  <c r="G12" i="20"/>
  <c r="H11" i="20"/>
  <c r="G11" i="20"/>
  <c r="H10" i="20"/>
  <c r="G10" i="20"/>
  <c r="H9" i="20"/>
  <c r="G9" i="20"/>
  <c r="H8" i="20"/>
  <c r="G8" i="20"/>
  <c r="H7" i="20"/>
  <c r="G7" i="20"/>
  <c r="H17" i="19"/>
  <c r="G17" i="19"/>
  <c r="H16" i="19"/>
  <c r="G16" i="19"/>
  <c r="H15" i="19"/>
  <c r="G15" i="19"/>
  <c r="H14" i="19"/>
  <c r="G14" i="19"/>
  <c r="H13" i="19"/>
  <c r="G13" i="19"/>
  <c r="H12" i="19"/>
  <c r="G12" i="19"/>
  <c r="H11" i="19"/>
  <c r="G11" i="19"/>
  <c r="H10" i="19"/>
  <c r="G10" i="19"/>
  <c r="H9" i="19"/>
  <c r="G9" i="19"/>
  <c r="H8" i="19"/>
  <c r="G8" i="19"/>
  <c r="K8" i="7"/>
  <c r="L8" i="7"/>
  <c r="H8" i="16"/>
  <c r="H9" i="16"/>
  <c r="H10" i="16"/>
  <c r="H11" i="16"/>
  <c r="H12" i="16"/>
  <c r="H13" i="16"/>
  <c r="H14" i="16"/>
  <c r="H15" i="16"/>
  <c r="H16" i="16"/>
  <c r="H17" i="16"/>
  <c r="H7" i="16"/>
  <c r="G8" i="16"/>
  <c r="G9" i="16"/>
  <c r="G10" i="16"/>
  <c r="G11" i="16"/>
  <c r="G12" i="16"/>
  <c r="G13" i="16"/>
  <c r="G14" i="16"/>
  <c r="G15" i="16"/>
  <c r="G16" i="16"/>
  <c r="G17" i="16"/>
  <c r="G7" i="16"/>
  <c r="H8" i="15"/>
  <c r="H9" i="15"/>
  <c r="H10" i="15"/>
  <c r="H11" i="15"/>
  <c r="H12" i="15"/>
  <c r="H13" i="15"/>
  <c r="H14" i="15"/>
  <c r="H15" i="15"/>
  <c r="H16" i="15"/>
  <c r="H17" i="15"/>
  <c r="H7" i="15"/>
  <c r="G8" i="15"/>
  <c r="G9" i="15"/>
  <c r="G10" i="15"/>
  <c r="G11" i="15"/>
  <c r="G12" i="15"/>
  <c r="G13" i="15"/>
  <c r="G14" i="15"/>
  <c r="G15" i="15"/>
  <c r="G16" i="15"/>
  <c r="G17" i="15"/>
  <c r="G7" i="15"/>
  <c r="P24" i="8"/>
  <c r="H24" i="8"/>
  <c r="U3" i="8"/>
  <c r="Q3" i="8"/>
  <c r="M3" i="8"/>
  <c r="Q24" i="8"/>
  <c r="M24" i="8"/>
  <c r="T3" i="8"/>
  <c r="P3" i="8"/>
  <c r="L3" i="8"/>
  <c r="G3" i="5"/>
  <c r="P25" i="8"/>
  <c r="I25" i="8"/>
  <c r="Q25" i="8"/>
  <c r="H25" i="8"/>
  <c r="G4" i="5"/>
  <c r="P5" i="8"/>
  <c r="I5" i="8"/>
  <c r="H5" i="8"/>
  <c r="T5" i="8"/>
  <c r="Q26" i="8"/>
  <c r="Q5" i="8"/>
  <c r="P26" i="8"/>
  <c r="H26" i="8"/>
  <c r="L5" i="8"/>
  <c r="M26" i="8"/>
  <c r="U5" i="8"/>
  <c r="I26" i="8"/>
  <c r="M5" i="8"/>
  <c r="L7" i="8"/>
  <c r="G5" i="5"/>
  <c r="I6" i="8"/>
  <c r="M27" i="8"/>
  <c r="I27" i="8"/>
  <c r="Q27" i="8"/>
  <c r="P6" i="8"/>
  <c r="P27" i="8"/>
  <c r="H27" i="8"/>
  <c r="H6" i="8"/>
  <c r="L6" i="8"/>
  <c r="U6" i="8"/>
  <c r="Q6" i="8"/>
  <c r="T6" i="8"/>
  <c r="M6" i="8"/>
  <c r="P28" i="8"/>
  <c r="Q28" i="8"/>
  <c r="I28" i="8"/>
  <c r="M7" i="8"/>
  <c r="H28" i="8"/>
  <c r="I7" i="8"/>
  <c r="T7" i="8"/>
  <c r="U7" i="8"/>
  <c r="M28" i="8"/>
  <c r="Q7" i="8"/>
  <c r="H7" i="8"/>
  <c r="P7" i="8"/>
  <c r="G6" i="5"/>
  <c r="U8" i="8"/>
  <c r="M8" i="8"/>
  <c r="I29" i="8"/>
  <c r="P29" i="8"/>
  <c r="H8" i="8"/>
  <c r="H29" i="8"/>
  <c r="G7" i="5"/>
  <c r="T8" i="8"/>
  <c r="Q8" i="8"/>
  <c r="M29" i="8"/>
  <c r="T9" i="8"/>
  <c r="L8" i="8"/>
  <c r="I8" i="8"/>
  <c r="P8" i="8"/>
  <c r="Q29" i="8"/>
  <c r="L9" i="8"/>
  <c r="M30" i="8"/>
  <c r="U9" i="8"/>
  <c r="M9" i="8"/>
  <c r="H30" i="8"/>
  <c r="I30" i="8"/>
  <c r="P30" i="8"/>
  <c r="H9" i="8"/>
  <c r="P9" i="8"/>
  <c r="Q9" i="8"/>
  <c r="G8" i="5"/>
  <c r="Q30" i="8"/>
  <c r="I9" i="8"/>
  <c r="Q31" i="8"/>
  <c r="U10" i="8"/>
  <c r="M31" i="8"/>
  <c r="H31" i="8"/>
  <c r="Q10" i="8"/>
  <c r="I10" i="8"/>
  <c r="T10" i="8"/>
  <c r="L10" i="8"/>
  <c r="G9" i="5"/>
  <c r="P31" i="8"/>
  <c r="P10" i="8"/>
  <c r="M10" i="8"/>
  <c r="I31" i="8"/>
  <c r="H10" i="8"/>
  <c r="P32" i="8"/>
  <c r="T11" i="8"/>
  <c r="L11" i="8"/>
  <c r="I32" i="8"/>
  <c r="Q11" i="8"/>
  <c r="I11" i="8"/>
  <c r="G10" i="5"/>
  <c r="M32" i="8"/>
  <c r="H32" i="8"/>
  <c r="P11" i="8"/>
  <c r="Q32" i="8"/>
  <c r="U11" i="8"/>
  <c r="M11" i="8"/>
  <c r="H11" i="8"/>
  <c r="Q33" i="8"/>
  <c r="U12" i="8"/>
  <c r="M12" i="8"/>
  <c r="H12" i="8"/>
  <c r="M33" i="8"/>
  <c r="H33" i="8"/>
  <c r="P12" i="8"/>
  <c r="G11" i="5"/>
  <c r="I33" i="8"/>
  <c r="Q12" i="8"/>
  <c r="I12" i="8"/>
  <c r="P33" i="8"/>
  <c r="T12" i="8"/>
  <c r="L12" i="8"/>
  <c r="G12" i="5"/>
  <c r="H34" i="8"/>
  <c r="H13" i="8"/>
  <c r="U13" i="8"/>
  <c r="L13" i="8"/>
  <c r="Q34" i="8"/>
  <c r="I34" i="8"/>
  <c r="Q13" i="8"/>
  <c r="I13" i="8"/>
  <c r="P34" i="8"/>
  <c r="P13" i="8"/>
  <c r="M34" i="8"/>
  <c r="M13" i="8"/>
  <c r="D21" i="23"/>
  <c r="D15" i="23"/>
  <c r="D16" i="23"/>
  <c r="C19" i="23"/>
  <c r="C22" i="23"/>
  <c r="C23" i="23"/>
</calcChain>
</file>

<file path=xl/connections.xml><?xml version="1.0" encoding="utf-8"?>
<connections xmlns="http://schemas.openxmlformats.org/spreadsheetml/2006/main">
  <connection id="1" name="2012_05_10_FPRAU_fruc1" type="6" refreshedVersion="3" background="1" saveData="1">
    <textPr codePage="850" firstRow="50" sourceFile="C:\Users\Lonne\Documents\VUB\5-2de Master\Thesis\Experimenten\CompactGC_colon\2012_05_10_FPRAU_fruc1.txt" decimal="," thousands=".">
      <textFields count="4">
        <textField type="skip"/>
        <textField type="skip"/>
        <textField/>
        <textField type="skip"/>
      </textFields>
    </textPr>
  </connection>
  <connection id="2" name="2012_06_08_BIF_REC_OLI_1" type="6" refreshedVersion="3" background="1" saveData="1">
    <textPr codePage="850" firstRow="7" sourceFile="C:\Users\Lonne\Documents\VUB\5-2de Master\Thesis\Experimenten\CompactGC_colon\2012_06_08_BIF_REC_OLI_1.txt" decimal="," thousands=".">
      <textFields count="4">
        <textField type="skip"/>
        <textField/>
        <textField type="skip"/>
        <textField type="skip"/>
      </textFields>
    </textPr>
  </connection>
  <connection id="3" name="2012_06_08_BIF_REC_OLI_11" type="6" refreshedVersion="3" background="1" saveData="1">
    <textPr codePage="850" firstRow="50" sourceFile="C:\Users\Lonne\Documents\VUB\5-2de Master\Thesis\Experimenten\CompactGC_colon\2012_06_08_BIF_REC_OLI_1.txt" decimal="," thousands=".">
      <textFields count="4">
        <textField type="skip"/>
        <textField type="skip"/>
        <textField/>
        <textField type="skip"/>
      </textFields>
    </textPr>
  </connection>
</connections>
</file>

<file path=xl/sharedStrings.xml><?xml version="1.0" encoding="utf-8"?>
<sst xmlns="http://schemas.openxmlformats.org/spreadsheetml/2006/main" count="925" uniqueCount="368">
  <si>
    <t>Fermentation:</t>
  </si>
  <si>
    <t>Strain:</t>
  </si>
  <si>
    <t>Mass Filter</t>
  </si>
  <si>
    <t>Mass Filter (g)</t>
  </si>
  <si>
    <t>Sample</t>
  </si>
  <si>
    <t>Time (h)</t>
  </si>
  <si>
    <t>0'</t>
  </si>
  <si>
    <t>Mass Sample</t>
  </si>
  <si>
    <t>(g)</t>
  </si>
  <si>
    <t>Total Mass</t>
  </si>
  <si>
    <t>Samples (g)</t>
  </si>
  <si>
    <t>Base (mL)</t>
  </si>
  <si>
    <t>Acid (mL)</t>
  </si>
  <si>
    <t xml:space="preserve">Volume </t>
  </si>
  <si>
    <t>Fermentor (mL)</t>
  </si>
  <si>
    <t>Initial Volume Fermentor (mL)</t>
  </si>
  <si>
    <t>Medium</t>
  </si>
  <si>
    <t>Taken (mL)</t>
  </si>
  <si>
    <t>PC 1</t>
  </si>
  <si>
    <t>Dilution</t>
  </si>
  <si>
    <t>PC 2</t>
  </si>
  <si>
    <t>PC 3</t>
  </si>
  <si>
    <t>PC</t>
  </si>
  <si>
    <t>STDEV</t>
  </si>
  <si>
    <t>OD1</t>
  </si>
  <si>
    <t>OD2</t>
  </si>
  <si>
    <t>OD3</t>
  </si>
  <si>
    <t xml:space="preserve">OD </t>
  </si>
  <si>
    <t>average</t>
  </si>
  <si>
    <t>Mass</t>
  </si>
  <si>
    <t>Filtered (g)</t>
  </si>
  <si>
    <t>plus CDM (g)</t>
  </si>
  <si>
    <t>CDM</t>
  </si>
  <si>
    <t>(g/L)</t>
  </si>
  <si>
    <t>CPSM</t>
  </si>
  <si>
    <t>Component</t>
  </si>
  <si>
    <t>Concentration</t>
  </si>
  <si>
    <t>Glucose</t>
  </si>
  <si>
    <t>MM</t>
  </si>
  <si>
    <t>g/mol</t>
  </si>
  <si>
    <t>Fructose</t>
  </si>
  <si>
    <t>Standard addition</t>
  </si>
  <si>
    <t>Lactic acid</t>
  </si>
  <si>
    <t>Acetic acid</t>
  </si>
  <si>
    <t>Ethanol</t>
  </si>
  <si>
    <t>A</t>
  </si>
  <si>
    <t>B</t>
  </si>
  <si>
    <t>C</t>
  </si>
  <si>
    <t>mM</t>
  </si>
  <si>
    <t>Temperature</t>
  </si>
  <si>
    <t>Flow:</t>
  </si>
  <si>
    <t>mL/min</t>
  </si>
  <si>
    <t>Production</t>
  </si>
  <si>
    <t>Sum</t>
  </si>
  <si>
    <t>(ppm)</t>
  </si>
  <si>
    <t>mL/L</t>
  </si>
  <si>
    <t>(mL/min)</t>
  </si>
  <si>
    <t>(mmol/min/fermentor)</t>
  </si>
  <si>
    <t>(mmol/min/L)</t>
  </si>
  <si>
    <t>(mM)</t>
  </si>
  <si>
    <t>Time</t>
  </si>
  <si>
    <t>MW</t>
  </si>
  <si>
    <t>Concentration (g/l)</t>
  </si>
  <si>
    <t>Concentration (mM)</t>
  </si>
  <si>
    <t>STDEV (mM)</t>
  </si>
  <si>
    <t>Formic acid</t>
  </si>
  <si>
    <t>Butyric acid</t>
  </si>
  <si>
    <t>Propionic acid</t>
  </si>
  <si>
    <t>Count</t>
  </si>
  <si>
    <t>Volume</t>
  </si>
  <si>
    <t>Count/mL</t>
  </si>
  <si>
    <t>Count/ml</t>
  </si>
  <si>
    <t>LOG(Count/mL)</t>
  </si>
  <si>
    <t>NaCl</t>
  </si>
  <si>
    <t>Resazurin</t>
  </si>
  <si>
    <r>
      <t>NaHCO</t>
    </r>
    <r>
      <rPr>
        <vertAlign val="subscript"/>
        <sz val="11"/>
        <color theme="1"/>
        <rFont val="Calibri"/>
        <family val="2"/>
        <scheme val="minor"/>
      </rPr>
      <t>3</t>
    </r>
  </si>
  <si>
    <r>
      <t>KH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PO</t>
    </r>
    <r>
      <rPr>
        <vertAlign val="subscript"/>
        <sz val="11"/>
        <color theme="1"/>
        <rFont val="Calibri"/>
        <family val="2"/>
        <scheme val="minor"/>
      </rPr>
      <t>4</t>
    </r>
  </si>
  <si>
    <r>
      <t>K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HPO</t>
    </r>
    <r>
      <rPr>
        <vertAlign val="subscript"/>
        <sz val="11"/>
        <color theme="1"/>
        <rFont val="Calibri"/>
        <family val="2"/>
        <scheme val="minor"/>
      </rPr>
      <t>4</t>
    </r>
  </si>
  <si>
    <t>amount</t>
  </si>
  <si>
    <t>STDVE</t>
  </si>
  <si>
    <t>Hydrogen produced</t>
  </si>
  <si>
    <t>Carbon dioxide produced</t>
  </si>
  <si>
    <t>Carbon recovery</t>
  </si>
  <si>
    <t>Compound</t>
  </si>
  <si>
    <t>Mass (g/l mMCB)</t>
  </si>
  <si>
    <t>Bacteriological pepton</t>
  </si>
  <si>
    <t>6.50</t>
  </si>
  <si>
    <t>Neutralised soy pepton</t>
  </si>
  <si>
    <t>5.00</t>
  </si>
  <si>
    <t>Trypton</t>
  </si>
  <si>
    <t>2.50</t>
  </si>
  <si>
    <t>Granulated yeast extract</t>
  </si>
  <si>
    <t>3.00</t>
  </si>
  <si>
    <t>4.50</t>
  </si>
  <si>
    <t>1.00</t>
  </si>
  <si>
    <t>2.00</t>
  </si>
  <si>
    <t>0.10</t>
  </si>
  <si>
    <t>0.05</t>
  </si>
  <si>
    <t>0.005</t>
  </si>
  <si>
    <t>Hemine</t>
  </si>
  <si>
    <t>Menadione</t>
  </si>
  <si>
    <t>/</t>
  </si>
  <si>
    <t>0.001</t>
  </si>
  <si>
    <t>10 ml of a 0.1 g/l stock solution</t>
  </si>
  <si>
    <t>Selenite and tungsten</t>
  </si>
  <si>
    <t>Trace element solution SL-10</t>
  </si>
  <si>
    <t>1.0 ml of a 1000x stock solution</t>
  </si>
  <si>
    <t>37°C</t>
  </si>
  <si>
    <r>
      <t>MgSO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x7H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</si>
  <si>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r>
      <t>Na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SO</t>
    </r>
    <r>
      <rPr>
        <vertAlign val="subscript"/>
        <sz val="11"/>
        <color theme="1"/>
        <rFont val="Calibri"/>
        <family val="2"/>
        <scheme val="minor"/>
      </rPr>
      <t>4</t>
    </r>
  </si>
  <si>
    <r>
      <t>NH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Cl</t>
    </r>
  </si>
  <si>
    <r>
      <t>Cysteine HCl x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0</t>
    </r>
  </si>
  <si>
    <r>
      <t>CaCl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xH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</si>
  <si>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r>
      <t>MnSO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xH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</si>
  <si>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r>
      <t>FeSO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x7H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</si>
  <si>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r>
      <t>ZnSO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x7H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</si>
  <si>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t>Formic Acid</t>
  </si>
  <si>
    <t>Time (min)</t>
  </si>
  <si>
    <t>Volume (microl)</t>
  </si>
  <si>
    <t>FC 1</t>
  </si>
  <si>
    <t>FC 2</t>
  </si>
  <si>
    <t>FC 3</t>
  </si>
  <si>
    <t>FC</t>
  </si>
  <si>
    <t>Lactic acid produced</t>
  </si>
  <si>
    <t>Butyric acid produced</t>
  </si>
  <si>
    <t>1,5 M NaOH added</t>
  </si>
  <si>
    <r>
      <t>1,5 M H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PO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added</t>
    </r>
  </si>
  <si>
    <t>Theoretical</t>
  </si>
  <si>
    <t>Experimental</t>
  </si>
  <si>
    <t>x</t>
  </si>
  <si>
    <t>2x mol pyruvate produced</t>
  </si>
  <si>
    <t>2x</t>
  </si>
  <si>
    <t>z mol lactate produced</t>
  </si>
  <si>
    <t>z</t>
  </si>
  <si>
    <t>f mol formate produced</t>
  </si>
  <si>
    <t>f</t>
  </si>
  <si>
    <t>2x-z-f</t>
  </si>
  <si>
    <t>y</t>
  </si>
  <si>
    <t>LN(Count/mL)</t>
  </si>
  <si>
    <t>2x-z+y</t>
  </si>
  <si>
    <t>(2x-2+Y)/2</t>
  </si>
  <si>
    <t>Left (mL) after inoculation</t>
  </si>
  <si>
    <t>D-Fructose</t>
  </si>
  <si>
    <t>D - Fructose</t>
  </si>
  <si>
    <t>D-Fructose consumed</t>
  </si>
  <si>
    <t>D -Fructose (50 mM)</t>
  </si>
  <si>
    <t>9.00</t>
  </si>
  <si>
    <r>
      <t>9.00 g in 100 ml MilliQ.H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0 per l</t>
    </r>
  </si>
  <si>
    <t>LOG</t>
  </si>
  <si>
    <t>STDEV LOG(Count/mL)</t>
  </si>
  <si>
    <t>0.40</t>
  </si>
  <si>
    <t>0.20</t>
  </si>
  <si>
    <t xml:space="preserve">2x-z-y </t>
  </si>
  <si>
    <t>2x-z-y</t>
  </si>
  <si>
    <t>2x-z-y-f mol H2</t>
  </si>
  <si>
    <t>2x-z-y-f</t>
  </si>
  <si>
    <t>2x-z</t>
  </si>
  <si>
    <t>x mol D-fructose consumed</t>
  </si>
  <si>
    <t>2x-z-f mol CO2produced</t>
  </si>
  <si>
    <t>y mol acetate consumed</t>
  </si>
  <si>
    <t>2x-z+y mol acetyl-CoA produced</t>
  </si>
  <si>
    <t>(2x-2+y)/2 mol butyrate produced</t>
  </si>
  <si>
    <t>K3</t>
  </si>
  <si>
    <t>K4</t>
  </si>
  <si>
    <t>K5</t>
  </si>
  <si>
    <t>K6</t>
  </si>
  <si>
    <t>K7</t>
  </si>
  <si>
    <t>K8</t>
  </si>
  <si>
    <t>K9</t>
  </si>
  <si>
    <t>K10</t>
  </si>
  <si>
    <t>K11</t>
  </si>
  <si>
    <t>K12</t>
  </si>
  <si>
    <t>K13</t>
  </si>
  <si>
    <t>K14</t>
  </si>
  <si>
    <t>K15</t>
  </si>
  <si>
    <t>K16</t>
  </si>
  <si>
    <t>K17</t>
  </si>
  <si>
    <t>K18</t>
  </si>
  <si>
    <t>K19</t>
  </si>
  <si>
    <t>K20</t>
  </si>
  <si>
    <r>
      <rPr>
        <i/>
        <sz val="11"/>
        <color theme="1"/>
        <rFont val="Calibri"/>
        <family val="2"/>
        <scheme val="minor"/>
      </rPr>
      <t>Roseburia intestinalis</t>
    </r>
    <r>
      <rPr>
        <sz val="11"/>
        <color theme="1"/>
        <rFont val="Calibri"/>
        <family val="2"/>
        <scheme val="minor"/>
      </rPr>
      <t>DSM 14610</t>
    </r>
    <r>
      <rPr>
        <vertAlign val="superscript"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>,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Faecalibacterium prausnitzii</t>
    </r>
    <r>
      <rPr>
        <sz val="11"/>
        <color theme="1"/>
        <rFont val="Calibri"/>
        <family val="2"/>
        <scheme val="minor"/>
      </rPr>
      <t xml:space="preserve"> DSM 17677</t>
    </r>
    <r>
      <rPr>
        <vertAlign val="superscript"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 xml:space="preserve"> and </t>
    </r>
    <r>
      <rPr>
        <i/>
        <sz val="11"/>
        <color theme="1"/>
        <rFont val="Calibri"/>
        <family val="2"/>
        <scheme val="minor"/>
      </rPr>
      <t>Blautia hydrogenotrophica</t>
    </r>
    <r>
      <rPr>
        <sz val="11"/>
        <color theme="1"/>
        <rFont val="Calibri"/>
        <family val="2"/>
        <scheme val="minor"/>
      </rPr>
      <t xml:space="preserve"> DSM 10507</t>
    </r>
    <r>
      <rPr>
        <vertAlign val="superscript"/>
        <sz val="11"/>
        <color theme="1"/>
        <rFont val="Calibri"/>
        <family val="2"/>
        <scheme val="minor"/>
      </rPr>
      <t>T</t>
    </r>
  </si>
  <si>
    <t>Na-acetate trihydrate (0 mM)</t>
  </si>
  <si>
    <t>0.00</t>
  </si>
  <si>
    <t>Acetic acid produced</t>
  </si>
  <si>
    <t>Formic acid consumed</t>
  </si>
  <si>
    <t xml:space="preserve">Volume (ul) </t>
  </si>
  <si>
    <t>10_0</t>
  </si>
  <si>
    <t>10_1</t>
  </si>
  <si>
    <t>10_2</t>
  </si>
  <si>
    <t>10_3</t>
  </si>
  <si>
    <t>10_4</t>
  </si>
  <si>
    <t>2_0</t>
  </si>
  <si>
    <t>2_1</t>
  </si>
  <si>
    <t>2_2</t>
  </si>
  <si>
    <t>2_3</t>
  </si>
  <si>
    <t>2_4</t>
  </si>
  <si>
    <t>2_5</t>
  </si>
  <si>
    <t>2_6</t>
  </si>
  <si>
    <t>2_7</t>
  </si>
  <si>
    <t>2_8</t>
  </si>
  <si>
    <t>2_9</t>
  </si>
  <si>
    <t>2_10</t>
  </si>
  <si>
    <t>CT1</t>
  </si>
  <si>
    <t>CT2</t>
  </si>
  <si>
    <t>CT3</t>
  </si>
  <si>
    <t>Average CT</t>
  </si>
  <si>
    <t>Dilution for 1 ml</t>
  </si>
  <si>
    <t>Log Dilution for 1 ml</t>
  </si>
  <si>
    <t>CT1 normalized</t>
  </si>
  <si>
    <t>CT2 normalized</t>
  </si>
  <si>
    <t>CT3 normalized</t>
  </si>
  <si>
    <t>Average CT normalized</t>
  </si>
  <si>
    <t>outliers</t>
  </si>
  <si>
    <t>IPC RI10 epp</t>
  </si>
  <si>
    <t>Threshold</t>
  </si>
  <si>
    <t>AUTO</t>
  </si>
  <si>
    <t>Baseline</t>
  </si>
  <si>
    <t>Rico</t>
  </si>
  <si>
    <t>intercept</t>
  </si>
  <si>
    <t>Efficiency E (%)</t>
  </si>
  <si>
    <t>R. intestinalis</t>
  </si>
  <si>
    <t>Ct1</t>
  </si>
  <si>
    <t>Ct2</t>
  </si>
  <si>
    <t>Ct3</t>
  </si>
  <si>
    <t>Ct1 IPC corrected</t>
  </si>
  <si>
    <t>Ct2 IPC corrected</t>
  </si>
  <si>
    <t>Ct3 IPC corrected</t>
  </si>
  <si>
    <t>Log (cells/ml) 1</t>
  </si>
  <si>
    <t>Log (cells/ml) 2</t>
  </si>
  <si>
    <t>Log (cells/ml) 3</t>
  </si>
  <si>
    <t>Log (cells/ml)</t>
  </si>
  <si>
    <t>STDV Log (cells/ml)</t>
  </si>
  <si>
    <t>cells/ml medium</t>
  </si>
  <si>
    <t>STDV(cells/ml medium)</t>
  </si>
  <si>
    <t>Log (cells/ml medium)</t>
  </si>
  <si>
    <t>STDV Log (cells/ml medium)</t>
  </si>
  <si>
    <t>Dilution log (10x)</t>
  </si>
  <si>
    <t xml:space="preserve">Dilution </t>
  </si>
  <si>
    <t>IPC value epp 10</t>
  </si>
  <si>
    <t>plate 20150701</t>
  </si>
  <si>
    <t>plate 20150630</t>
  </si>
  <si>
    <t>plate 20150629</t>
  </si>
  <si>
    <t>plate 20150708</t>
  </si>
  <si>
    <t>IPC value epp 9</t>
  </si>
  <si>
    <t>plate 20150727</t>
  </si>
  <si>
    <t>plate 20150729</t>
  </si>
  <si>
    <t>plate 20150730</t>
  </si>
  <si>
    <t>IPC value epp 8</t>
  </si>
  <si>
    <t>plate 20150804</t>
  </si>
  <si>
    <t>IPC value epp 7</t>
  </si>
  <si>
    <t>plate 20150807</t>
  </si>
  <si>
    <t>plate 20150831</t>
  </si>
  <si>
    <t>plate 20150902</t>
  </si>
  <si>
    <t>IPC value epp 6</t>
  </si>
  <si>
    <t>plate 20150903</t>
  </si>
  <si>
    <t>plate 20150908</t>
  </si>
  <si>
    <t>Total average</t>
  </si>
  <si>
    <t>Outliers</t>
  </si>
  <si>
    <t>CT1 normalized per mL</t>
  </si>
  <si>
    <t>CT2 normalized per mL</t>
  </si>
  <si>
    <t>CT3 normalized per mL</t>
  </si>
  <si>
    <t>Average CT normalized per mL</t>
  </si>
  <si>
    <t>IPC BH10 epp</t>
  </si>
  <si>
    <t>Ct Threshold</t>
  </si>
  <si>
    <t>baseline</t>
  </si>
  <si>
    <t>Taqman probe BH4O</t>
  </si>
  <si>
    <t>B. hydrogenotrophica</t>
  </si>
  <si>
    <t>STDV  (cells/ml medium)</t>
  </si>
  <si>
    <t xml:space="preserve">Dilution per ml </t>
  </si>
  <si>
    <t>IPC value  epp 10 plate  20150724</t>
  </si>
  <si>
    <t>IPC value  epp 10 plate  20150821</t>
  </si>
  <si>
    <t>IPC value  epp 9 plate  20150901</t>
  </si>
  <si>
    <t>IPC value  epp 9 plate  20150902</t>
  </si>
  <si>
    <t>IPC value  epp 8 plate  20150902</t>
  </si>
  <si>
    <t>IPC value  epp 8 plate  20150903</t>
  </si>
  <si>
    <t>IPC value  epp 8 plate  20150907</t>
  </si>
  <si>
    <t>IPC value  epp 8 plate  20150908</t>
  </si>
  <si>
    <t>Total Average</t>
  </si>
  <si>
    <t>IPC FP10 epp</t>
  </si>
  <si>
    <t>F. prausnitzii</t>
  </si>
  <si>
    <t>IPC value epp 10 plate 20150707</t>
  </si>
  <si>
    <t>IPC value  epp 10 plate 20150702</t>
  </si>
  <si>
    <t>IPC value epp 10 plate 20150708</t>
  </si>
  <si>
    <t>IPC value epp 10 plate 20150709</t>
  </si>
  <si>
    <t>IPC value epp 9 plate 20150714</t>
  </si>
  <si>
    <t>IPC value epp 9 plate 20150715</t>
  </si>
  <si>
    <t>IPC value epp 9 plate 20150717</t>
  </si>
  <si>
    <t>IPC value epp 9 plate 201507120</t>
  </si>
  <si>
    <t>IPC value epp 8 plate 20150722</t>
  </si>
  <si>
    <t>IPC value epp 8 plate 20150729</t>
  </si>
  <si>
    <t>IPC value epp 7 plate 20150730</t>
  </si>
  <si>
    <t>IPC value epp 7 plate 20150804</t>
  </si>
  <si>
    <t>IPC value epp 6 plate 20150804</t>
  </si>
  <si>
    <t>IPC value epp 6 plate 20150807</t>
  </si>
  <si>
    <t>IPC value epp 6 plate 20150820</t>
  </si>
  <si>
    <t>IPC value epp 6 plate 20150902</t>
  </si>
  <si>
    <t xml:space="preserve">Total cell count </t>
  </si>
  <si>
    <t>plate 20150910</t>
  </si>
  <si>
    <t>IPC value epp 5 plate 20150910</t>
  </si>
  <si>
    <t>IPC value  epp 7 plate  20150910</t>
  </si>
  <si>
    <t>plate 20150911</t>
  </si>
  <si>
    <t>IPC value epp 5</t>
  </si>
  <si>
    <t>plate 20150922</t>
  </si>
  <si>
    <t>plate 20151007</t>
  </si>
  <si>
    <t>plate 20151009</t>
  </si>
  <si>
    <t>plate 20151013</t>
  </si>
  <si>
    <t>IPC value epp 4</t>
  </si>
  <si>
    <t>plate 20151019</t>
  </si>
  <si>
    <t>plate 20151111</t>
  </si>
  <si>
    <t>plate 20151112</t>
  </si>
  <si>
    <t>IPC value epp 3</t>
  </si>
  <si>
    <t>plate 20151204</t>
  </si>
  <si>
    <t>plate 20160126</t>
  </si>
  <si>
    <t>IPC value epp 2</t>
  </si>
  <si>
    <t>plate 20160208</t>
  </si>
  <si>
    <t>IPC value  epp 7 plate  20150914</t>
  </si>
  <si>
    <t>IPC value  epp 6 plate  20150910</t>
  </si>
  <si>
    <t>IPC value  epp 6 plate  20150929</t>
  </si>
  <si>
    <t>IPC value  epp 6 plate  20151002</t>
  </si>
  <si>
    <t>IPC value  epp 5 plate  20151009</t>
  </si>
  <si>
    <t>IPC value  epp 5 plate  20151111</t>
  </si>
  <si>
    <t>IPC value  epp 4 plate  20151112</t>
  </si>
  <si>
    <t>IPC value  epp 4 plate  20151125</t>
  </si>
  <si>
    <t>IPC value  epp 4 plate  20160126</t>
  </si>
  <si>
    <t>IPC value  epp 3 plate  20160126</t>
  </si>
  <si>
    <t>IPC value  epp 3 plate  20160209</t>
  </si>
  <si>
    <t xml:space="preserve">Total Average </t>
  </si>
  <si>
    <t>IPC value epp 5 plate 20150911</t>
  </si>
  <si>
    <t>IPC value epp 5 plate 20150922</t>
  </si>
  <si>
    <t>IPC value epp 4 plate 20150929</t>
  </si>
  <si>
    <t>IPC value epp 4 plate 20151002</t>
  </si>
  <si>
    <t>IPC value epp 4 plate 20151007</t>
  </si>
  <si>
    <t>IPC value epp 4 plate 20151009</t>
  </si>
  <si>
    <t>IPC value epp 3 plate 20151020</t>
  </si>
  <si>
    <t>IPC value epp 3 plate 20151111</t>
  </si>
  <si>
    <t>IPC value epp 2 plate 20151111</t>
  </si>
  <si>
    <t>IPC value epp 2 plate 20151112</t>
  </si>
  <si>
    <t>IPC value epp 2 plate 20151204</t>
  </si>
  <si>
    <t>IPC value epp 1 plate 20160119</t>
  </si>
  <si>
    <t>IPC value epp 1 plate 20160208</t>
  </si>
  <si>
    <t>plate 20160222</t>
  </si>
  <si>
    <t>plate 20160223</t>
  </si>
  <si>
    <t>IPC value epp 1</t>
  </si>
  <si>
    <t>plate 20160225</t>
  </si>
  <si>
    <t>plate 20160308</t>
  </si>
  <si>
    <t>IPC value epp 1 plate 20160222</t>
  </si>
  <si>
    <t>IPC value epp 1 plate 20160223</t>
  </si>
  <si>
    <t>IPC value epp 9 plate 20160223</t>
  </si>
  <si>
    <t>IPC value epp 9 plate 20160225</t>
  </si>
  <si>
    <t>IPC value epp 9 plate 20160308</t>
  </si>
  <si>
    <t>IPC value  epp 3 plate  20160222</t>
  </si>
  <si>
    <t>IPC value  epp 2 plate  20160223</t>
  </si>
  <si>
    <t>IPC value  epp 2 plate  20160224</t>
  </si>
  <si>
    <t>IPC value  epp 2 plate  20160308</t>
  </si>
  <si>
    <t>plate 20160310</t>
  </si>
  <si>
    <t>plate 20160311</t>
  </si>
  <si>
    <t>plate 20160318</t>
  </si>
  <si>
    <t>plate 20160405</t>
  </si>
  <si>
    <t>IPC value epp 9 plate 20160310</t>
  </si>
  <si>
    <t>IPC value epp 8 plate 20160325</t>
  </si>
  <si>
    <t>IPC value epp 8 plate 20160405</t>
  </si>
  <si>
    <t>IPC value  epp 1 plate  20160310</t>
  </si>
  <si>
    <t>IPC value  epp 2 plate  20160310</t>
  </si>
  <si>
    <t>IPC value  epp 2 plate  20160311</t>
  </si>
  <si>
    <t>IPC value  epp 1 plate  20160318</t>
  </si>
  <si>
    <t>IPC value  epp 1 plate  20160325</t>
  </si>
  <si>
    <t>IPC value  epp 1 plate  20160405</t>
  </si>
  <si>
    <t>IPC value  epp 9 plate  20160411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</si>
</sst>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32" x14ac:knownFonts="1">
    <font>
      <sz val="11"/>
      <color theme="1"/>
      <name val="Calibri"/>
      <family val="2"/>
      <scheme val="minor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name val="Verdana"/>
      <family val="2"/>
    </font>
    <font>
      <b/>
      <sz val="11"/>
      <color indexed="63"/>
      <name val="Calibri"/>
      <family val="2"/>
    </font>
    <font>
      <sz val="10"/>
      <name val="Arial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FF0000"/>
      <name val="Calibri"/>
      <scheme val="minor"/>
    </font>
    <font>
      <sz val="11"/>
      <color rgb="FF000000"/>
      <name val="Calibri"/>
      <family val="2"/>
      <scheme val="minor"/>
    </font>
    <font>
      <b/>
      <sz val="11"/>
      <name val="Calibri"/>
      <scheme val="minor"/>
    </font>
    <font>
      <b/>
      <sz val="11"/>
      <color rgb="FF008000"/>
      <name val="Calibri"/>
      <scheme val="minor"/>
    </font>
    <font>
      <sz val="11"/>
      <color theme="1"/>
      <name val="Calibri"/>
      <family val="2"/>
      <scheme val="minor"/>
    </font>
    <font>
      <i/>
      <sz val="11"/>
      <name val="Calibri"/>
      <scheme val="minor"/>
    </font>
    <font>
      <b/>
      <sz val="11"/>
      <color theme="1"/>
      <name val="Calibri"/>
      <scheme val="minor"/>
    </font>
    <font>
      <sz val="11"/>
      <color theme="1"/>
      <name val="Calibri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47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92D050"/>
        <bgColor indexed="64"/>
      </patternFill>
    </fill>
    <fill>
      <patternFill patternType="solid">
        <fgColor rgb="FF22F40D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rgb="FF000000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rgb="FF000000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430">
    <xf numFmtId="0" fontId="0" fillId="0" borderId="0"/>
    <xf numFmtId="0" fontId="1" fillId="3" borderId="0" applyNumberFormat="0" applyBorder="0" applyAlignment="0" applyProtection="0"/>
    <xf numFmtId="0" fontId="2" fillId="4" borderId="7" applyNumberFormat="0" applyAlignment="0" applyProtection="0"/>
    <xf numFmtId="0" fontId="3" fillId="5" borderId="8" applyNumberFormat="0" applyAlignment="0" applyProtection="0"/>
    <xf numFmtId="0" fontId="4" fillId="0" borderId="0" applyNumberFormat="0" applyFill="0" applyBorder="0" applyAlignment="0" applyProtection="0"/>
    <xf numFmtId="0" fontId="5" fillId="6" borderId="0" applyNumberFormat="0" applyBorder="0" applyAlignment="0" applyProtection="0"/>
    <xf numFmtId="0" fontId="6" fillId="0" borderId="9" applyNumberFormat="0" applyFill="0" applyAlignment="0" applyProtection="0"/>
    <xf numFmtId="0" fontId="7" fillId="0" borderId="10" applyNumberFormat="0" applyFill="0" applyAlignment="0" applyProtection="0"/>
    <xf numFmtId="0" fontId="8" fillId="0" borderId="11" applyNumberFormat="0" applyFill="0" applyAlignment="0" applyProtection="0"/>
    <xf numFmtId="0" fontId="8" fillId="0" borderId="0" applyNumberFormat="0" applyFill="0" applyBorder="0" applyAlignment="0" applyProtection="0"/>
    <xf numFmtId="0" fontId="9" fillId="7" borderId="7" applyNumberFormat="0" applyAlignment="0" applyProtection="0"/>
    <xf numFmtId="0" fontId="10" fillId="0" borderId="12" applyNumberFormat="0" applyFill="0" applyAlignment="0" applyProtection="0"/>
    <xf numFmtId="0" fontId="11" fillId="8" borderId="0" applyNumberFormat="0" applyBorder="0" applyAlignment="0" applyProtection="0"/>
    <xf numFmtId="0" fontId="12" fillId="9" borderId="13" applyNumberFormat="0" applyFont="0" applyAlignment="0" applyProtection="0"/>
    <xf numFmtId="0" fontId="13" fillId="4" borderId="14" applyNumberFormat="0" applyAlignment="0" applyProtection="0"/>
    <xf numFmtId="0" fontId="14" fillId="0" borderId="0"/>
    <xf numFmtId="0" fontId="15" fillId="0" borderId="0" applyNumberFormat="0" applyFill="0" applyBorder="0" applyAlignment="0" applyProtection="0"/>
    <xf numFmtId="0" fontId="16" fillId="0" borderId="15" applyNumberFormat="0" applyFill="0" applyAlignment="0" applyProtection="0"/>
    <xf numFmtId="0" fontId="17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8" fillId="0" borderId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</cellStyleXfs>
  <cellXfs count="169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164" fontId="18" fillId="0" borderId="1" xfId="0" applyNumberFormat="1" applyFont="1" applyFill="1" applyBorder="1" applyAlignment="1" applyProtection="1">
      <alignment horizontal="center" vertical="center"/>
    </xf>
    <xf numFmtId="164" fontId="0" fillId="0" borderId="1" xfId="0" applyNumberFormat="1" applyFont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/>
    </xf>
    <xf numFmtId="0" fontId="0" fillId="10" borderId="1" xfId="0" applyFill="1" applyBorder="1" applyAlignment="1">
      <alignment horizontal="center" vertical="center"/>
    </xf>
    <xf numFmtId="0" fontId="0" fillId="2" borderId="16" xfId="0" applyFill="1" applyBorder="1"/>
    <xf numFmtId="1" fontId="0" fillId="0" borderId="0" xfId="0" applyNumberFormat="1"/>
    <xf numFmtId="0" fontId="0" fillId="0" borderId="1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65" fontId="0" fillId="0" borderId="17" xfId="0" applyNumberFormat="1" applyBorder="1" applyAlignment="1">
      <alignment horizontal="center" vertical="center"/>
    </xf>
    <xf numFmtId="165" fontId="0" fillId="0" borderId="18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164" fontId="24" fillId="0" borderId="1" xfId="0" applyNumberFormat="1" applyFont="1" applyFill="1" applyBorder="1" applyAlignment="1" applyProtection="1">
      <alignment horizontal="center" vertical="center"/>
    </xf>
    <xf numFmtId="0" fontId="0" fillId="0" borderId="16" xfId="0" applyFill="1" applyBorder="1" applyAlignment="1">
      <alignment horizontal="center" vertical="center"/>
    </xf>
    <xf numFmtId="11" fontId="0" fillId="0" borderId="16" xfId="0" applyNumberFormat="1" applyFill="1" applyBorder="1" applyAlignment="1">
      <alignment horizontal="center" vertical="center"/>
    </xf>
    <xf numFmtId="11" fontId="0" fillId="0" borderId="16" xfId="0" applyNumberFormat="1" applyBorder="1" applyAlignment="1">
      <alignment horizontal="center" vertical="center"/>
    </xf>
    <xf numFmtId="2" fontId="0" fillId="0" borderId="16" xfId="0" applyNumberFormat="1" applyBorder="1" applyAlignment="1">
      <alignment horizontal="center" vertical="center"/>
    </xf>
    <xf numFmtId="11" fontId="25" fillId="0" borderId="3" xfId="0" applyNumberFormat="1" applyFont="1" applyBorder="1" applyAlignment="1">
      <alignment horizontal="center" vertical="center"/>
    </xf>
    <xf numFmtId="11" fontId="25" fillId="0" borderId="20" xfId="0" applyNumberFormat="1" applyFont="1" applyBorder="1" applyAlignment="1">
      <alignment horizontal="center" vertical="center"/>
    </xf>
    <xf numFmtId="2" fontId="25" fillId="0" borderId="20" xfId="0" applyNumberFormat="1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" fontId="0" fillId="0" borderId="1" xfId="0" applyNumberFormat="1" applyFont="1" applyFill="1" applyBorder="1" applyAlignment="1">
      <alignment horizontal="center"/>
    </xf>
    <xf numFmtId="0" fontId="0" fillId="2" borderId="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164" fontId="24" fillId="0" borderId="16" xfId="0" applyNumberFormat="1" applyFont="1" applyBorder="1" applyAlignment="1">
      <alignment horizontal="center"/>
    </xf>
    <xf numFmtId="164" fontId="24" fillId="0" borderId="3" xfId="0" applyNumberFormat="1" applyFont="1" applyBorder="1" applyAlignment="1">
      <alignment horizontal="center" vertical="center"/>
    </xf>
    <xf numFmtId="164" fontId="24" fillId="0" borderId="20" xfId="0" applyNumberFormat="1" applyFont="1" applyBorder="1" applyAlignment="1">
      <alignment horizontal="center" vertical="center"/>
    </xf>
    <xf numFmtId="164" fontId="18" fillId="0" borderId="16" xfId="0" applyNumberFormat="1" applyFont="1" applyBorder="1" applyAlignment="1">
      <alignment horizontal="center"/>
    </xf>
    <xf numFmtId="0" fontId="0" fillId="2" borderId="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25" fillId="0" borderId="0" xfId="0" applyFont="1"/>
    <xf numFmtId="1" fontId="25" fillId="0" borderId="0" xfId="0" applyNumberFormat="1" applyFont="1"/>
    <xf numFmtId="0" fontId="25" fillId="0" borderId="16" xfId="0" applyFont="1" applyBorder="1" applyAlignment="1">
      <alignment horizontal="center" vertical="center"/>
    </xf>
    <xf numFmtId="1" fontId="25" fillId="0" borderId="18" xfId="0" applyNumberFormat="1" applyFont="1" applyBorder="1" applyAlignment="1">
      <alignment horizontal="center" vertical="center"/>
    </xf>
    <xf numFmtId="0" fontId="25" fillId="0" borderId="3" xfId="0" applyFont="1" applyBorder="1" applyAlignment="1">
      <alignment horizontal="center" vertical="center"/>
    </xf>
    <xf numFmtId="1" fontId="25" fillId="0" borderId="20" xfId="0" applyNumberFormat="1" applyFont="1" applyBorder="1" applyAlignment="1">
      <alignment horizontal="center" vertical="center"/>
    </xf>
    <xf numFmtId="0" fontId="25" fillId="0" borderId="16" xfId="0" applyFont="1" applyBorder="1" applyAlignment="1">
      <alignment horizontal="center"/>
    </xf>
    <xf numFmtId="0" fontId="25" fillId="0" borderId="3" xfId="0" applyFont="1" applyBorder="1" applyAlignment="1">
      <alignment horizontal="center"/>
    </xf>
    <xf numFmtId="1" fontId="26" fillId="0" borderId="0" xfId="0" applyNumberFormat="1" applyFont="1"/>
    <xf numFmtId="0" fontId="18" fillId="11" borderId="0" xfId="0" applyFont="1" applyFill="1"/>
    <xf numFmtId="0" fontId="0" fillId="0" borderId="18" xfId="0" applyBorder="1" applyAlignment="1">
      <alignment horizontal="center" vertical="center"/>
    </xf>
    <xf numFmtId="2" fontId="25" fillId="0" borderId="16" xfId="0" applyNumberFormat="1" applyFont="1" applyBorder="1" applyAlignment="1">
      <alignment horizontal="center" vertical="center"/>
    </xf>
    <xf numFmtId="0" fontId="0" fillId="0" borderId="16" xfId="0" applyBorder="1"/>
    <xf numFmtId="0" fontId="0" fillId="2" borderId="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164" fontId="24" fillId="0" borderId="1" xfId="0" applyNumberFormat="1" applyFont="1" applyFill="1" applyBorder="1" applyAlignment="1">
      <alignment horizontal="center"/>
    </xf>
    <xf numFmtId="165" fontId="0" fillId="0" borderId="16" xfId="0" applyNumberFormat="1" applyBorder="1" applyAlignment="1">
      <alignment horizontal="center" vertical="center"/>
    </xf>
    <xf numFmtId="1" fontId="18" fillId="0" borderId="0" xfId="0" applyNumberFormat="1" applyFont="1"/>
    <xf numFmtId="1" fontId="27" fillId="0" borderId="0" xfId="0" applyNumberFormat="1" applyFont="1"/>
    <xf numFmtId="165" fontId="0" fillId="0" borderId="0" xfId="0" applyNumberFormat="1"/>
    <xf numFmtId="164" fontId="24" fillId="0" borderId="16" xfId="0" applyNumberFormat="1" applyFont="1" applyBorder="1" applyAlignment="1">
      <alignment horizontal="center" vertical="center"/>
    </xf>
    <xf numFmtId="164" fontId="24" fillId="0" borderId="18" xfId="0" applyNumberFormat="1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28" fillId="2" borderId="4" xfId="369" applyFill="1" applyBorder="1" applyAlignment="1">
      <alignment horizontal="center" vertical="center"/>
    </xf>
    <xf numFmtId="0" fontId="28" fillId="0" borderId="0" xfId="369"/>
    <xf numFmtId="0" fontId="28" fillId="2" borderId="16" xfId="369" applyFill="1" applyBorder="1" applyAlignment="1">
      <alignment horizontal="center" vertical="center"/>
    </xf>
    <xf numFmtId="0" fontId="28" fillId="2" borderId="3" xfId="369" applyFill="1" applyBorder="1" applyAlignment="1">
      <alignment horizontal="center" vertical="center"/>
    </xf>
    <xf numFmtId="0" fontId="28" fillId="0" borderId="3" xfId="369" applyFill="1" applyBorder="1" applyAlignment="1">
      <alignment horizontal="center" vertical="center"/>
    </xf>
    <xf numFmtId="0" fontId="28" fillId="0" borderId="16" xfId="369" applyFill="1" applyBorder="1" applyAlignment="1">
      <alignment horizontal="center" vertical="center"/>
    </xf>
    <xf numFmtId="11" fontId="28" fillId="0" borderId="16" xfId="369" applyNumberFormat="1" applyFill="1" applyBorder="1" applyAlignment="1">
      <alignment horizontal="center" vertical="center"/>
    </xf>
    <xf numFmtId="0" fontId="0" fillId="0" borderId="16" xfId="369" applyFont="1" applyBorder="1" applyAlignment="1">
      <alignment horizontal="center" vertical="center"/>
    </xf>
    <xf numFmtId="0" fontId="28" fillId="0" borderId="16" xfId="369" applyBorder="1" applyAlignment="1">
      <alignment horizontal="center" vertical="center"/>
    </xf>
    <xf numFmtId="11" fontId="28" fillId="0" borderId="16" xfId="369" applyNumberFormat="1" applyBorder="1" applyAlignment="1">
      <alignment horizontal="center" vertical="center"/>
    </xf>
    <xf numFmtId="2" fontId="28" fillId="0" borderId="16" xfId="369" applyNumberFormat="1" applyBorder="1" applyAlignment="1">
      <alignment horizontal="center" vertical="center"/>
    </xf>
    <xf numFmtId="0" fontId="28" fillId="2" borderId="21" xfId="369" applyFill="1" applyBorder="1" applyAlignment="1">
      <alignment wrapText="1"/>
    </xf>
    <xf numFmtId="0" fontId="0" fillId="2" borderId="21" xfId="369" applyFont="1" applyFill="1" applyBorder="1" applyAlignment="1">
      <alignment wrapText="1"/>
    </xf>
    <xf numFmtId="0" fontId="0" fillId="2" borderId="21" xfId="369" applyFont="1" applyFill="1" applyBorder="1" applyAlignment="1">
      <alignment horizontal="center" vertical="center" wrapText="1"/>
    </xf>
    <xf numFmtId="0" fontId="0" fillId="0" borderId="0" xfId="369" applyFont="1"/>
    <xf numFmtId="165" fontId="28" fillId="0" borderId="16" xfId="369" applyNumberFormat="1" applyBorder="1" applyAlignment="1">
      <alignment horizontal="center" vertical="center"/>
    </xf>
    <xf numFmtId="0" fontId="28" fillId="0" borderId="16" xfId="369" applyBorder="1"/>
    <xf numFmtId="0" fontId="28" fillId="0" borderId="0" xfId="369" applyFont="1"/>
    <xf numFmtId="0" fontId="28" fillId="2" borderId="16" xfId="369" applyFill="1" applyBorder="1"/>
    <xf numFmtId="0" fontId="29" fillId="12" borderId="0" xfId="369" applyFont="1" applyFill="1"/>
    <xf numFmtId="165" fontId="28" fillId="0" borderId="16" xfId="369" applyNumberFormat="1" applyBorder="1"/>
    <xf numFmtId="2" fontId="28" fillId="0" borderId="16" xfId="369" applyNumberFormat="1" applyBorder="1"/>
    <xf numFmtId="1" fontId="28" fillId="0" borderId="16" xfId="369" applyNumberFormat="1" applyBorder="1"/>
    <xf numFmtId="165" fontId="0" fillId="0" borderId="16" xfId="369" applyNumberFormat="1" applyFont="1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0" fontId="0" fillId="0" borderId="16" xfId="369" applyFont="1" applyBorder="1"/>
    <xf numFmtId="165" fontId="25" fillId="0" borderId="18" xfId="0" applyNumberFormat="1" applyFont="1" applyBorder="1" applyAlignment="1">
      <alignment horizontal="center" vertical="center"/>
    </xf>
    <xf numFmtId="165" fontId="25" fillId="0" borderId="16" xfId="0" applyNumberFormat="1" applyFont="1" applyBorder="1" applyAlignment="1">
      <alignment horizontal="center" vertical="center"/>
    </xf>
    <xf numFmtId="165" fontId="25" fillId="0" borderId="0" xfId="0" applyNumberFormat="1" applyFont="1" applyBorder="1" applyAlignment="1">
      <alignment horizontal="center" vertical="center"/>
    </xf>
    <xf numFmtId="165" fontId="28" fillId="0" borderId="0" xfId="369" applyNumberFormat="1"/>
    <xf numFmtId="1" fontId="28" fillId="0" borderId="0" xfId="369" applyNumberFormat="1"/>
    <xf numFmtId="0" fontId="30" fillId="2" borderId="0" xfId="369" applyFont="1" applyFill="1"/>
    <xf numFmtId="0" fontId="25" fillId="0" borderId="0" xfId="0" applyFont="1" applyBorder="1" applyAlignment="1">
      <alignment horizontal="center" vertical="center"/>
    </xf>
    <xf numFmtId="1" fontId="25" fillId="0" borderId="0" xfId="0" applyNumberFormat="1" applyFont="1" applyBorder="1" applyAlignment="1">
      <alignment horizontal="center" vertical="center"/>
    </xf>
    <xf numFmtId="165" fontId="28" fillId="0" borderId="0" xfId="369" applyNumberFormat="1" applyBorder="1" applyAlignment="1">
      <alignment horizontal="center" vertical="center"/>
    </xf>
    <xf numFmtId="165" fontId="28" fillId="0" borderId="0" xfId="369" applyNumberFormat="1" applyBorder="1"/>
    <xf numFmtId="2" fontId="28" fillId="0" borderId="0" xfId="369" applyNumberFormat="1" applyBorder="1"/>
    <xf numFmtId="1" fontId="28" fillId="0" borderId="0" xfId="369" applyNumberFormat="1" applyBorder="1"/>
    <xf numFmtId="0" fontId="0" fillId="0" borderId="0" xfId="369" applyFont="1" applyFill="1" applyBorder="1"/>
    <xf numFmtId="0" fontId="31" fillId="0" borderId="16" xfId="369" applyFont="1" applyBorder="1"/>
    <xf numFmtId="2" fontId="0" fillId="0" borderId="0" xfId="0" applyNumberFormat="1"/>
    <xf numFmtId="165" fontId="25" fillId="0" borderId="3" xfId="0" applyNumberFormat="1" applyFont="1" applyBorder="1" applyAlignment="1">
      <alignment horizontal="center" vertical="center"/>
    </xf>
    <xf numFmtId="165" fontId="25" fillId="0" borderId="20" xfId="0" applyNumberFormat="1" applyFont="1" applyBorder="1" applyAlignment="1">
      <alignment horizontal="center" vertical="center"/>
    </xf>
    <xf numFmtId="165" fontId="25" fillId="0" borderId="0" xfId="0" applyNumberFormat="1" applyFont="1"/>
    <xf numFmtId="0" fontId="0" fillId="2" borderId="2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17" xfId="0" applyNumberFormat="1" applyFill="1" applyBorder="1" applyAlignment="1">
      <alignment horizontal="center" vertical="center"/>
    </xf>
    <xf numFmtId="0" fontId="0" fillId="0" borderId="5" xfId="0" applyNumberFormat="1" applyFill="1" applyBorder="1" applyAlignment="1">
      <alignment horizontal="center" vertical="center"/>
    </xf>
    <xf numFmtId="0" fontId="0" fillId="0" borderId="18" xfId="0" applyNumberFormat="1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25" fillId="0" borderId="17" xfId="0" applyFont="1" applyBorder="1" applyAlignment="1">
      <alignment horizontal="center" vertical="center"/>
    </xf>
    <xf numFmtId="0" fontId="25" fillId="0" borderId="5" xfId="0" applyFont="1" applyBorder="1" applyAlignment="1">
      <alignment horizontal="center" vertical="center"/>
    </xf>
    <xf numFmtId="0" fontId="25" fillId="0" borderId="19" xfId="0" applyFont="1" applyBorder="1" applyAlignment="1">
      <alignment horizontal="center" vertical="center"/>
    </xf>
    <xf numFmtId="0" fontId="28" fillId="0" borderId="17" xfId="369" applyNumberFormat="1" applyFill="1" applyBorder="1" applyAlignment="1">
      <alignment horizontal="center" vertical="center"/>
    </xf>
    <xf numFmtId="0" fontId="28" fillId="0" borderId="5" xfId="369" applyNumberFormat="1" applyFill="1" applyBorder="1" applyAlignment="1">
      <alignment horizontal="center" vertical="center"/>
    </xf>
    <xf numFmtId="0" fontId="28" fillId="0" borderId="18" xfId="369" applyNumberFormat="1" applyFill="1" applyBorder="1" applyAlignment="1">
      <alignment horizontal="center" vertical="center"/>
    </xf>
    <xf numFmtId="0" fontId="28" fillId="2" borderId="4" xfId="369" applyFill="1" applyBorder="1" applyAlignment="1">
      <alignment horizontal="center" vertical="center"/>
    </xf>
    <xf numFmtId="0" fontId="28" fillId="2" borderId="3" xfId="369" applyFill="1" applyBorder="1" applyAlignment="1">
      <alignment horizontal="center" vertical="center"/>
    </xf>
    <xf numFmtId="0" fontId="0" fillId="2" borderId="4" xfId="369" applyFont="1" applyFill="1" applyBorder="1" applyAlignment="1">
      <alignment horizontal="center" vertical="center"/>
    </xf>
    <xf numFmtId="0" fontId="28" fillId="2" borderId="16" xfId="369" applyFill="1" applyBorder="1" applyAlignment="1">
      <alignment horizontal="center" vertical="center"/>
    </xf>
    <xf numFmtId="0" fontId="21" fillId="0" borderId="23" xfId="369" applyFont="1" applyBorder="1" applyAlignment="1">
      <alignment horizontal="center"/>
    </xf>
    <xf numFmtId="0" fontId="25" fillId="13" borderId="4" xfId="0" applyFont="1" applyFill="1" applyBorder="1" applyAlignment="1">
      <alignment horizontal="center" vertical="center"/>
    </xf>
    <xf numFmtId="0" fontId="25" fillId="13" borderId="22" xfId="0" applyFont="1" applyFill="1" applyBorder="1" applyAlignment="1">
      <alignment horizontal="center" vertical="center"/>
    </xf>
    <xf numFmtId="0" fontId="0" fillId="0" borderId="24" xfId="369" applyFont="1" applyBorder="1" applyAlignment="1">
      <alignment horizontal="center"/>
    </xf>
    <xf numFmtId="0" fontId="28" fillId="0" borderId="24" xfId="369" applyBorder="1" applyAlignment="1">
      <alignment horizontal="center"/>
    </xf>
    <xf numFmtId="0" fontId="25" fillId="13" borderId="3" xfId="0" applyFont="1" applyFill="1" applyBorder="1" applyAlignment="1">
      <alignment horizontal="center" vertical="center"/>
    </xf>
    <xf numFmtId="0" fontId="0" fillId="2" borderId="3" xfId="369" applyFont="1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0" fillId="2" borderId="6" xfId="0" applyFont="1" applyFill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0" fontId="0" fillId="2" borderId="4" xfId="0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0" borderId="0" xfId="369" applyFont="1" applyFill="1"/>
  </cellXfs>
  <cellStyles count="430">
    <cellStyle name="Bad" xfId="1"/>
    <cellStyle name="Calculation" xfId="2"/>
    <cellStyle name="Check Cell" xfId="3"/>
    <cellStyle name="Explanatory Text" xfId="4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Good" xfId="5"/>
    <cellStyle name="Heading 1" xfId="6"/>
    <cellStyle name="Heading 2" xfId="7"/>
    <cellStyle name="Heading 3" xfId="8"/>
    <cellStyle name="Heading 4" xfId="9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Input" xfId="10"/>
    <cellStyle name="Linked Cell" xfId="11"/>
    <cellStyle name="Neutral" xfId="12"/>
    <cellStyle name="Normal" xfId="0" builtinId="0"/>
    <cellStyle name="Normal 2" xfId="369"/>
    <cellStyle name="Note" xfId="13"/>
    <cellStyle name="Output" xfId="14"/>
    <cellStyle name="Standaard 2" xfId="15"/>
    <cellStyle name="Title" xfId="16"/>
    <cellStyle name="Total" xfId="17"/>
    <cellStyle name="Warning Text" xfId="18"/>
  </cellStyles>
  <dxfs count="0"/>
  <tableStyles count="0" defaultTableStyle="TableStyleMedium9" defaultPivotStyle="PivotStyleLight16"/>
  <colors>
    <mruColors>
      <color rgb="FFBF0000"/>
      <color rgb="FFDE00FD"/>
      <color rgb="FFFEC009"/>
      <color rgb="FF67FF65"/>
      <color rgb="FFFF00FF"/>
      <color rgb="FFE46C0A"/>
      <color rgb="FF996633"/>
      <color rgb="FF4949F1"/>
    </mruColors>
  </color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chartsheet" Target="chartsheets/sheet1.xml"/><Relationship Id="rId25" Type="http://schemas.openxmlformats.org/officeDocument/2006/relationships/chartsheet" Target="chartsheets/sheet2.xml"/><Relationship Id="rId26" Type="http://schemas.openxmlformats.org/officeDocument/2006/relationships/worksheet" Target="worksheets/sheet24.xml"/><Relationship Id="rId27" Type="http://schemas.openxmlformats.org/officeDocument/2006/relationships/externalLink" Target="externalLinks/externalLink1.xml"/><Relationship Id="rId28" Type="http://schemas.openxmlformats.org/officeDocument/2006/relationships/theme" Target="theme/theme1.xml"/><Relationship Id="rId29" Type="http://schemas.openxmlformats.org/officeDocument/2006/relationships/connections" Target="connections.xml"/><Relationship Id="rId30" Type="http://schemas.openxmlformats.org/officeDocument/2006/relationships/styles" Target="styles.xml"/><Relationship Id="rId31" Type="http://schemas.openxmlformats.org/officeDocument/2006/relationships/sharedStrings" Target="sharedStrings.xml"/><Relationship Id="rId32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BE"/>
              <a:t>Calibration</a:t>
            </a:r>
            <a:r>
              <a:rPr lang="nl-BE" baseline="0"/>
              <a:t> </a:t>
            </a:r>
            <a:r>
              <a:rPr lang="nl-BE" i="1" baseline="0"/>
              <a:t>R. intestinalis</a:t>
            </a:r>
            <a:endParaRPr lang="nl-BE" i="1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29800524934383"/>
                  <c:y val="-0.318278652668416"/>
                </c:manualLayout>
              </c:layout>
              <c:numFmt formatCode="General" sourceLinked="0"/>
            </c:trendlineLbl>
          </c:trendline>
          <c:xVal>
            <c:numRef>
              <c:f>('Calibration R. intestinalis '!$R$4:$R$7,'Calibration R. intestinalis '!$R$9:$R$19)</c:f>
              <c:numCache>
                <c:formatCode>0.00</c:formatCode>
                <c:ptCount val="15"/>
                <c:pt idx="0">
                  <c:v>9.340913567641642</c:v>
                </c:pt>
                <c:pt idx="1">
                  <c:v>8.364361745916065</c:v>
                </c:pt>
                <c:pt idx="2">
                  <c:v>7.41501868403934</c:v>
                </c:pt>
                <c:pt idx="3">
                  <c:v>6.423175631952359</c:v>
                </c:pt>
                <c:pt idx="4">
                  <c:v>9.318402644082718</c:v>
                </c:pt>
                <c:pt idx="5">
                  <c:v>8.99449689289361</c:v>
                </c:pt>
                <c:pt idx="6">
                  <c:v>8.717506452759563</c:v>
                </c:pt>
                <c:pt idx="7">
                  <c:v>8.435095941696934</c:v>
                </c:pt>
                <c:pt idx="8">
                  <c:v>8.129456020849723</c:v>
                </c:pt>
                <c:pt idx="9">
                  <c:v>7.827516967148737</c:v>
                </c:pt>
                <c:pt idx="10">
                  <c:v>7.53584943027753</c:v>
                </c:pt>
                <c:pt idx="11">
                  <c:v>7.244489178658548</c:v>
                </c:pt>
                <c:pt idx="12">
                  <c:v>6.918410814648132</c:v>
                </c:pt>
                <c:pt idx="13">
                  <c:v>6.624850565395643</c:v>
                </c:pt>
                <c:pt idx="14">
                  <c:v>6.118853089115321</c:v>
                </c:pt>
              </c:numCache>
            </c:numRef>
          </c:xVal>
          <c:yVal>
            <c:numRef>
              <c:f>('Calibration R. intestinalis '!$L$23:$L$26,'Calibration R. intestinalis '!$L$28:$L$38)</c:f>
              <c:numCache>
                <c:formatCode>General</c:formatCode>
                <c:ptCount val="15"/>
                <c:pt idx="0">
                  <c:v>6.796308649797421</c:v>
                </c:pt>
                <c:pt idx="1">
                  <c:v>10.71828728240647</c:v>
                </c:pt>
                <c:pt idx="2">
                  <c:v>13.96980108143804</c:v>
                </c:pt>
                <c:pt idx="3">
                  <c:v>18.14686788441656</c:v>
                </c:pt>
                <c:pt idx="4">
                  <c:v>7.554405467811155</c:v>
                </c:pt>
                <c:pt idx="5">
                  <c:v>8.5896399191051</c:v>
                </c:pt>
                <c:pt idx="6">
                  <c:v>9.44354082852893</c:v>
                </c:pt>
                <c:pt idx="7">
                  <c:v>10.11613553474638</c:v>
                </c:pt>
                <c:pt idx="8">
                  <c:v>11.36988919685575</c:v>
                </c:pt>
                <c:pt idx="9">
                  <c:v>12.6170091004202</c:v>
                </c:pt>
                <c:pt idx="10">
                  <c:v>13.73197898974312</c:v>
                </c:pt>
                <c:pt idx="11">
                  <c:v>14.64585393379423</c:v>
                </c:pt>
                <c:pt idx="12">
                  <c:v>15.5489577622244</c:v>
                </c:pt>
                <c:pt idx="13">
                  <c:v>17.33992220670276</c:v>
                </c:pt>
                <c:pt idx="14">
                  <c:v>18.9022783803091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8103192"/>
        <c:axId val="-2077903096"/>
      </c:scatterChart>
      <c:valAx>
        <c:axId val="-2078103192"/>
        <c:scaling>
          <c:orientation val="minMax"/>
          <c:max val="15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BE"/>
                  <a:t>Cel</a:t>
                </a:r>
                <a:r>
                  <a:rPr lang="nl-BE" baseline="0"/>
                  <a:t> concentration [log(cell counts/ml)]</a:t>
                </a:r>
                <a:endParaRPr lang="nl-BE"/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crossAx val="-2077903096"/>
        <c:crosses val="autoZero"/>
        <c:crossBetween val="midCat"/>
        <c:majorUnit val="2.0"/>
      </c:valAx>
      <c:valAx>
        <c:axId val="-20779030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nl-BE"/>
                  <a:t>Ct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-20781031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1" l="0.700000000000001" r="0.700000000000001" t="0.750000000000001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29800524934383"/>
                  <c:y val="-0.318278652668416"/>
                </c:manualLayout>
              </c:layout>
              <c:numFmt formatCode="General" sourceLinked="0"/>
            </c:trendlineLbl>
          </c:trendline>
          <c:xVal>
            <c:numRef>
              <c:f>('[1]Calibration F. prausnitzii'!$R$4:$R$5,'[1]Calibration F. prausnitzii'!$R$7:$R$9,'[1]Calibration F. prausnitzii'!$R$12:$R$18)</c:f>
              <c:numCache>
                <c:formatCode>General</c:formatCode>
                <c:ptCount val="12"/>
                <c:pt idx="0">
                  <c:v>8.615856001921256</c:v>
                </c:pt>
                <c:pt idx="1">
                  <c:v>7.578787169009893</c:v>
                </c:pt>
                <c:pt idx="2">
                  <c:v>5.16625245195416</c:v>
                </c:pt>
                <c:pt idx="3">
                  <c:v>4.327142945090009</c:v>
                </c:pt>
                <c:pt idx="4">
                  <c:v>8.5970052819172</c:v>
                </c:pt>
                <c:pt idx="5">
                  <c:v>7.638654956108294</c:v>
                </c:pt>
                <c:pt idx="6">
                  <c:v>7.317915960046743</c:v>
                </c:pt>
                <c:pt idx="7">
                  <c:v>6.979500247162297</c:v>
                </c:pt>
                <c:pt idx="8">
                  <c:v>6.727141401256697</c:v>
                </c:pt>
                <c:pt idx="9">
                  <c:v>6.258345785566837</c:v>
                </c:pt>
                <c:pt idx="10">
                  <c:v>5.898754948228658</c:v>
                </c:pt>
                <c:pt idx="11">
                  <c:v>5.513685518117733</c:v>
                </c:pt>
              </c:numCache>
            </c:numRef>
          </c:xVal>
          <c:yVal>
            <c:numRef>
              <c:f>('[1]Calibration F. prausnitzii'!$L$23:$L$24,'[1]Calibration F. prausnitzii'!$L$26:$L$28,'[1]Calibration F. prausnitzii'!$L$31:$L$37)</c:f>
              <c:numCache>
                <c:formatCode>General</c:formatCode>
                <c:ptCount val="12"/>
                <c:pt idx="0">
                  <c:v>7.615938071690805</c:v>
                </c:pt>
                <c:pt idx="1">
                  <c:v>10.99721674549859</c:v>
                </c:pt>
                <c:pt idx="2">
                  <c:v>18.92516283619683</c:v>
                </c:pt>
                <c:pt idx="3">
                  <c:v>22.15071698455295</c:v>
                </c:pt>
                <c:pt idx="4">
                  <c:v>7.926772761510367</c:v>
                </c:pt>
                <c:pt idx="5">
                  <c:v>11.08311685737625</c:v>
                </c:pt>
                <c:pt idx="6">
                  <c:v>13.44173781888341</c:v>
                </c:pt>
                <c:pt idx="7">
                  <c:v>14.0348183395133</c:v>
                </c:pt>
                <c:pt idx="8">
                  <c:v>13.99912230985021</c:v>
                </c:pt>
                <c:pt idx="9">
                  <c:v>15.79201794481929</c:v>
                </c:pt>
                <c:pt idx="10">
                  <c:v>16.9694255274202</c:v>
                </c:pt>
                <c:pt idx="11">
                  <c:v>17.46778266446447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2446680"/>
        <c:axId val="-2076720136"/>
      </c:scatterChart>
      <c:valAx>
        <c:axId val="-2092446680"/>
        <c:scaling>
          <c:orientation val="minMax"/>
          <c:max val="15.0"/>
          <c:min val="0.0"/>
        </c:scaling>
        <c:delete val="0"/>
        <c:axPos val="b"/>
        <c:majorGridlines>
          <c:spPr>
            <a:ln>
              <a:noFill/>
            </a:ln>
          </c:spPr>
        </c:majorGridlines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nl-BE"/>
                  <a:t>Cel</a:t>
                </a:r>
                <a:r>
                  <a:rPr lang="nl-BE" baseline="0"/>
                  <a:t> concentration [log(cell counts/ml)]</a:t>
                </a:r>
                <a:endParaRPr lang="nl-BE"/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76720136"/>
        <c:crosses val="autoZero"/>
        <c:crossBetween val="midCat"/>
        <c:majorUnit val="2.0"/>
      </c:valAx>
      <c:valAx>
        <c:axId val="-2076720136"/>
        <c:scaling>
          <c:orientation val="minMax"/>
        </c:scaling>
        <c:delete val="0"/>
        <c:axPos val="l"/>
        <c:majorGridlines/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nl-BE"/>
                  <a:t>Ct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bg1">
                <a:lumMod val="65000"/>
              </a:schemeClr>
            </a:solidFill>
          </a:ln>
        </c:spPr>
        <c:crossAx val="-2092446680"/>
        <c:crosses val="autoZero"/>
        <c:crossBetween val="midCat"/>
        <c:minorUnit val="1.0"/>
      </c:valAx>
      <c:spPr>
        <a:ln>
          <a:solidFill>
            <a:schemeClr val="bg1">
              <a:lumMod val="65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" l="0.700000000000001" r="0.700000000000001" t="0.750000000000001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BE"/>
              <a:t>Calibration</a:t>
            </a:r>
            <a:r>
              <a:rPr lang="nl-BE" baseline="0"/>
              <a:t> </a:t>
            </a:r>
            <a:r>
              <a:rPr lang="nl-BE" i="1" baseline="0"/>
              <a:t>B. hydrogenotrophica</a:t>
            </a:r>
            <a:endParaRPr lang="nl-BE" i="1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7518545148449"/>
          <c:y val="0.13013698630137"/>
          <c:w val="0.833789874261263"/>
          <c:h val="0.731887516628914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29800524934383"/>
                  <c:y val="-0.318278652668416"/>
                </c:manualLayout>
              </c:layout>
              <c:numFmt formatCode="General" sourceLinked="0"/>
            </c:trendlineLbl>
          </c:trendline>
          <c:xVal>
            <c:numRef>
              <c:f>'CalibrationB. hydrogenotrophica'!$R$4:$R$19</c:f>
              <c:numCache>
                <c:formatCode>0.00</c:formatCode>
                <c:ptCount val="16"/>
                <c:pt idx="0">
                  <c:v>8.313473506507658</c:v>
                </c:pt>
                <c:pt idx="1">
                  <c:v>7.276996109489027</c:v>
                </c:pt>
                <c:pt idx="2">
                  <c:v>6.34002746828266</c:v>
                </c:pt>
                <c:pt idx="3">
                  <c:v>5.410412073674764</c:v>
                </c:pt>
                <c:pt idx="4">
                  <c:v>4.624207964119256</c:v>
                </c:pt>
                <c:pt idx="5">
                  <c:v>8.368066736978313</c:v>
                </c:pt>
                <c:pt idx="6">
                  <c:v>8.001570749713231</c:v>
                </c:pt>
                <c:pt idx="7">
                  <c:v>7.678536588070615</c:v>
                </c:pt>
                <c:pt idx="8">
                  <c:v>7.377558180514065</c:v>
                </c:pt>
                <c:pt idx="9">
                  <c:v>6.962198804905538</c:v>
                </c:pt>
                <c:pt idx="10">
                  <c:v>6.642461222625335</c:v>
                </c:pt>
                <c:pt idx="11">
                  <c:v>6.437813958847346</c:v>
                </c:pt>
                <c:pt idx="12">
                  <c:v>6.193364379200031</c:v>
                </c:pt>
                <c:pt idx="13">
                  <c:v>5.945938002689035</c:v>
                </c:pt>
                <c:pt idx="14">
                  <c:v>5.659438986853353</c:v>
                </c:pt>
                <c:pt idx="15">
                  <c:v>5.359831154750319</c:v>
                </c:pt>
              </c:numCache>
            </c:numRef>
          </c:xVal>
          <c:yVal>
            <c:numRef>
              <c:f>'CalibrationB. hydrogenotrophica'!$L$23:$L$38</c:f>
              <c:numCache>
                <c:formatCode>0.0</c:formatCode>
                <c:ptCount val="16"/>
                <c:pt idx="0">
                  <c:v>6.229484611738722</c:v>
                </c:pt>
                <c:pt idx="1">
                  <c:v>11.71994119285444</c:v>
                </c:pt>
                <c:pt idx="2">
                  <c:v>14.18909618654748</c:v>
                </c:pt>
                <c:pt idx="3">
                  <c:v>18.70661581952274</c:v>
                </c:pt>
                <c:pt idx="4">
                  <c:v>22.13009172080854</c:v>
                </c:pt>
                <c:pt idx="5">
                  <c:v>7.11976641205226</c:v>
                </c:pt>
                <c:pt idx="6">
                  <c:v>8.800463853153336</c:v>
                </c:pt>
                <c:pt idx="7">
                  <c:v>9.622375982873388</c:v>
                </c:pt>
                <c:pt idx="8">
                  <c:v>11.85799075948472</c:v>
                </c:pt>
                <c:pt idx="9">
                  <c:v>12.0575165926146</c:v>
                </c:pt>
                <c:pt idx="10">
                  <c:v>12.55526337809637</c:v>
                </c:pt>
                <c:pt idx="11">
                  <c:v>13.7043245810993</c:v>
                </c:pt>
                <c:pt idx="12">
                  <c:v>14.74827688721095</c:v>
                </c:pt>
                <c:pt idx="13">
                  <c:v>15.88358419922267</c:v>
                </c:pt>
                <c:pt idx="14">
                  <c:v>18.41934571452215</c:v>
                </c:pt>
                <c:pt idx="15">
                  <c:v>19.18493511068101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7853880"/>
        <c:axId val="-2078199672"/>
      </c:scatterChart>
      <c:valAx>
        <c:axId val="-2077853880"/>
        <c:scaling>
          <c:orientation val="minMax"/>
          <c:max val="15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BE"/>
                  <a:t>Cel</a:t>
                </a:r>
                <a:r>
                  <a:rPr lang="nl-BE" baseline="0"/>
                  <a:t> concentration [log(cell counts/ml)]</a:t>
                </a:r>
                <a:endParaRPr lang="nl-BE"/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crossAx val="-2078199672"/>
        <c:crosses val="autoZero"/>
        <c:crossBetween val="midCat"/>
        <c:majorUnit val="2.0"/>
      </c:valAx>
      <c:valAx>
        <c:axId val="-20781996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nl-BE"/>
                  <a:t>Ct</a:t>
                </a:r>
              </a:p>
            </c:rich>
          </c:tx>
          <c:overlay val="0"/>
        </c:title>
        <c:numFmt formatCode="0.0" sourceLinked="1"/>
        <c:majorTickMark val="none"/>
        <c:minorTickMark val="none"/>
        <c:tickLblPos val="nextTo"/>
        <c:crossAx val="-20778538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1" l="0.700000000000001" r="0.700000000000001" t="0.750000000000001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0858719504324"/>
          <c:y val="0.0157103087009521"/>
          <c:w val="0.836883974334042"/>
          <c:h val="0.849427405643557"/>
        </c:manualLayout>
      </c:layout>
      <c:scatterChart>
        <c:scatterStyle val="lineMarker"/>
        <c:varyColors val="0"/>
        <c:ser>
          <c:idx val="1"/>
          <c:order val="0"/>
          <c:tx>
            <c:strRef>
              <c:f>Metabolites!$J$1</c:f>
              <c:strCache>
                <c:ptCount val="1"/>
                <c:pt idx="0">
                  <c:v>Lactic acid</c:v>
                </c:pt>
              </c:strCache>
            </c:strRef>
          </c:tx>
          <c:spPr>
            <a:ln>
              <a:solidFill>
                <a:srgbClr val="4949F1"/>
              </a:solidFill>
            </a:ln>
          </c:spPr>
          <c:marker>
            <c:symbol val="triangle"/>
            <c:size val="8"/>
            <c:spPr>
              <a:solidFill>
                <a:srgbClr val="4949F1"/>
              </a:solidFill>
              <a:ln>
                <a:solidFill>
                  <a:srgbClr val="4949F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Metabolites!$M$4:$M$20</c:f>
                <c:numCache>
                  <c:formatCode>General</c:formatCode>
                  <c:ptCount val="17"/>
                  <c:pt idx="0">
                    <c:v>0.0128414748204333</c:v>
                  </c:pt>
                  <c:pt idx="1">
                    <c:v>0.0257143277100675</c:v>
                  </c:pt>
                  <c:pt idx="2">
                    <c:v>0.0128732856905886</c:v>
                  </c:pt>
                  <c:pt idx="3">
                    <c:v>0.0223691112792762</c:v>
                  </c:pt>
                  <c:pt idx="4">
                    <c:v>0.0129832806090463</c:v>
                  </c:pt>
                  <c:pt idx="5">
                    <c:v>0.0346307535697956</c:v>
                  </c:pt>
                  <c:pt idx="6">
                    <c:v>0.0</c:v>
                  </c:pt>
                  <c:pt idx="7">
                    <c:v>0.141505064310789</c:v>
                  </c:pt>
                  <c:pt idx="8">
                    <c:v>0.0825828027149032</c:v>
                  </c:pt>
                  <c:pt idx="9">
                    <c:v>0.0235500241079536</c:v>
                  </c:pt>
                  <c:pt idx="10">
                    <c:v>0.023585978343233</c:v>
                  </c:pt>
                  <c:pt idx="11">
                    <c:v>0.147528002750013</c:v>
                  </c:pt>
                  <c:pt idx="12">
                    <c:v>0.0136502592160107</c:v>
                  </c:pt>
                  <c:pt idx="13">
                    <c:v>0.0955518145120745</c:v>
                  </c:pt>
                  <c:pt idx="14">
                    <c:v>0.121434775625943</c:v>
                  </c:pt>
                  <c:pt idx="15">
                    <c:v>0.0236641089645948</c:v>
                  </c:pt>
                  <c:pt idx="16">
                    <c:v>0.0361838526973545</c:v>
                  </c:pt>
                </c:numCache>
              </c:numRef>
            </c:plus>
            <c:minus>
              <c:numRef>
                <c:f>Metabolites!$M$4:$M$20</c:f>
                <c:numCache>
                  <c:formatCode>General</c:formatCode>
                  <c:ptCount val="17"/>
                  <c:pt idx="0">
                    <c:v>0.0128414748204333</c:v>
                  </c:pt>
                  <c:pt idx="1">
                    <c:v>0.0257143277100675</c:v>
                  </c:pt>
                  <c:pt idx="2">
                    <c:v>0.0128732856905886</c:v>
                  </c:pt>
                  <c:pt idx="3">
                    <c:v>0.0223691112792762</c:v>
                  </c:pt>
                  <c:pt idx="4">
                    <c:v>0.0129832806090463</c:v>
                  </c:pt>
                  <c:pt idx="5">
                    <c:v>0.0346307535697956</c:v>
                  </c:pt>
                  <c:pt idx="6">
                    <c:v>0.0</c:v>
                  </c:pt>
                  <c:pt idx="7">
                    <c:v>0.141505064310789</c:v>
                  </c:pt>
                  <c:pt idx="8">
                    <c:v>0.0825828027149032</c:v>
                  </c:pt>
                  <c:pt idx="9">
                    <c:v>0.0235500241079536</c:v>
                  </c:pt>
                  <c:pt idx="10">
                    <c:v>0.023585978343233</c:v>
                  </c:pt>
                  <c:pt idx="11">
                    <c:v>0.147528002750013</c:v>
                  </c:pt>
                  <c:pt idx="12">
                    <c:v>0.0136502592160107</c:v>
                  </c:pt>
                  <c:pt idx="13">
                    <c:v>0.0955518145120745</c:v>
                  </c:pt>
                  <c:pt idx="14">
                    <c:v>0.121434775625943</c:v>
                  </c:pt>
                  <c:pt idx="15">
                    <c:v>0.0236641089645948</c:v>
                  </c:pt>
                  <c:pt idx="16">
                    <c:v>0.0361838526973545</c:v>
                  </c:pt>
                </c:numCache>
              </c:numRef>
            </c:minus>
          </c:errBars>
          <c:xVal>
            <c:numRef>
              <c:f>Metabolites!$E$4:$E$20</c:f>
              <c:numCache>
                <c:formatCode>0</c:formatCode>
                <c:ptCount val="17"/>
                <c:pt idx="0">
                  <c:v>0.166666666666667</c:v>
                </c:pt>
                <c:pt idx="1">
                  <c:v>2.0</c:v>
                </c:pt>
                <c:pt idx="2">
                  <c:v>3.333333333333333</c:v>
                </c:pt>
                <c:pt idx="3">
                  <c:v>4.666666666666667</c:v>
                </c:pt>
                <c:pt idx="4">
                  <c:v>6.0</c:v>
                </c:pt>
                <c:pt idx="5">
                  <c:v>7.333333333333332</c:v>
                </c:pt>
                <c:pt idx="6">
                  <c:v>8.666666666666665</c:v>
                </c:pt>
                <c:pt idx="7">
                  <c:v>10.0</c:v>
                </c:pt>
                <c:pt idx="8">
                  <c:v>11.33333333333333</c:v>
                </c:pt>
                <c:pt idx="9">
                  <c:v>12.66666666666667</c:v>
                </c:pt>
                <c:pt idx="10">
                  <c:v>14.0</c:v>
                </c:pt>
                <c:pt idx="11">
                  <c:v>15.33333333333333</c:v>
                </c:pt>
                <c:pt idx="12">
                  <c:v>16.66666666666667</c:v>
                </c:pt>
                <c:pt idx="13">
                  <c:v>18.0</c:v>
                </c:pt>
                <c:pt idx="14">
                  <c:v>24.0</c:v>
                </c:pt>
                <c:pt idx="15">
                  <c:v>30.0</c:v>
                </c:pt>
                <c:pt idx="16">
                  <c:v>48.0</c:v>
                </c:pt>
              </c:numCache>
            </c:numRef>
          </c:xVal>
          <c:yVal>
            <c:numRef>
              <c:f>Metabolites!$L$4:$L$20</c:f>
              <c:numCache>
                <c:formatCode>0</c:formatCode>
                <c:ptCount val="17"/>
                <c:pt idx="0">
                  <c:v>0.659848576048841</c:v>
                </c:pt>
                <c:pt idx="1">
                  <c:v>0.519616090890321</c:v>
                </c:pt>
                <c:pt idx="2">
                  <c:v>0.572294411828857</c:v>
                </c:pt>
                <c:pt idx="3">
                  <c:v>0.626335115819734</c:v>
                </c:pt>
                <c:pt idx="4">
                  <c:v>0.592176143813188</c:v>
                </c:pt>
                <c:pt idx="5">
                  <c:v>0.627235148446518</c:v>
                </c:pt>
                <c:pt idx="6">
                  <c:v>2.339738192262044</c:v>
                </c:pt>
                <c:pt idx="7">
                  <c:v>6.304351392515014</c:v>
                </c:pt>
                <c:pt idx="8">
                  <c:v>8.927952123218318</c:v>
                </c:pt>
                <c:pt idx="9">
                  <c:v>9.255159474425774</c:v>
                </c:pt>
                <c:pt idx="10">
                  <c:v>9.292875467233779</c:v>
                </c:pt>
                <c:pt idx="11">
                  <c:v>9.236744205530337</c:v>
                </c:pt>
                <c:pt idx="12">
                  <c:v>8.661197935326233</c:v>
                </c:pt>
                <c:pt idx="13">
                  <c:v>9.496581903610657</c:v>
                </c:pt>
                <c:pt idx="14">
                  <c:v>9.765388966056125</c:v>
                </c:pt>
                <c:pt idx="15">
                  <c:v>9.749612893413063</c:v>
                </c:pt>
                <c:pt idx="16">
                  <c:v>9.96470656323798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Metabolites!$N$1</c:f>
              <c:strCache>
                <c:ptCount val="1"/>
                <c:pt idx="0">
                  <c:v>Acetic acid</c:v>
                </c:pt>
              </c:strCache>
            </c:strRef>
          </c:tx>
          <c:spPr>
            <a:ln>
              <a:solidFill>
                <a:srgbClr val="FEC009"/>
              </a:solidFill>
            </a:ln>
          </c:spPr>
          <c:marker>
            <c:symbol val="circle"/>
            <c:size val="8"/>
            <c:spPr>
              <a:solidFill>
                <a:srgbClr val="FEC009"/>
              </a:solidFill>
              <a:ln>
                <a:solidFill>
                  <a:srgbClr val="FEC009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Metabolites!$Q$4:$Q$20</c:f>
                <c:numCache>
                  <c:formatCode>General</c:formatCode>
                  <c:ptCount val="17"/>
                  <c:pt idx="0">
                    <c:v>0.150451037799586</c:v>
                  </c:pt>
                  <c:pt idx="1">
                    <c:v>0.0334057457837993</c:v>
                  </c:pt>
                  <c:pt idx="2">
                    <c:v>0.0334476338662868</c:v>
                  </c:pt>
                  <c:pt idx="3">
                    <c:v>0.213106233628059</c:v>
                  </c:pt>
                  <c:pt idx="4">
                    <c:v>0.140443447363384</c:v>
                  </c:pt>
                  <c:pt idx="5">
                    <c:v>0.0899783313876849</c:v>
                  </c:pt>
                  <c:pt idx="6">
                    <c:v>0.143259523631935</c:v>
                  </c:pt>
                  <c:pt idx="7">
                    <c:v>0.439109329342394</c:v>
                  </c:pt>
                  <c:pt idx="8">
                    <c:v>0.293721535009249</c:v>
                  </c:pt>
                  <c:pt idx="9">
                    <c:v>0.212941026567826</c:v>
                  </c:pt>
                  <c:pt idx="10">
                    <c:v>0.337512574226796</c:v>
                  </c:pt>
                  <c:pt idx="11">
                    <c:v>0.496118658682913</c:v>
                  </c:pt>
                  <c:pt idx="12">
                    <c:v>0.108351587838109</c:v>
                  </c:pt>
                  <c:pt idx="13">
                    <c:v>0.37923055743338</c:v>
                  </c:pt>
                  <c:pt idx="14">
                    <c:v>0.232776830212751</c:v>
                  </c:pt>
                  <c:pt idx="15">
                    <c:v>0.13439376558444</c:v>
                  </c:pt>
                  <c:pt idx="16">
                    <c:v>0.208209127793384</c:v>
                  </c:pt>
                </c:numCache>
              </c:numRef>
            </c:plus>
            <c:minus>
              <c:numRef>
                <c:f>Metabolites!$Q$4:$Q$20</c:f>
                <c:numCache>
                  <c:formatCode>General</c:formatCode>
                  <c:ptCount val="17"/>
                  <c:pt idx="0">
                    <c:v>0.150451037799586</c:v>
                  </c:pt>
                  <c:pt idx="1">
                    <c:v>0.0334057457837993</c:v>
                  </c:pt>
                  <c:pt idx="2">
                    <c:v>0.0334476338662868</c:v>
                  </c:pt>
                  <c:pt idx="3">
                    <c:v>0.213106233628059</c:v>
                  </c:pt>
                  <c:pt idx="4">
                    <c:v>0.140443447363384</c:v>
                  </c:pt>
                  <c:pt idx="5">
                    <c:v>0.0899783313876849</c:v>
                  </c:pt>
                  <c:pt idx="6">
                    <c:v>0.143259523631935</c:v>
                  </c:pt>
                  <c:pt idx="7">
                    <c:v>0.439109329342394</c:v>
                  </c:pt>
                  <c:pt idx="8">
                    <c:v>0.293721535009249</c:v>
                  </c:pt>
                  <c:pt idx="9">
                    <c:v>0.212941026567826</c:v>
                  </c:pt>
                  <c:pt idx="10">
                    <c:v>0.337512574226796</c:v>
                  </c:pt>
                  <c:pt idx="11">
                    <c:v>0.496118658682913</c:v>
                  </c:pt>
                  <c:pt idx="12">
                    <c:v>0.108351587838109</c:v>
                  </c:pt>
                  <c:pt idx="13">
                    <c:v>0.37923055743338</c:v>
                  </c:pt>
                  <c:pt idx="14">
                    <c:v>0.232776830212751</c:v>
                  </c:pt>
                  <c:pt idx="15">
                    <c:v>0.13439376558444</c:v>
                  </c:pt>
                  <c:pt idx="16">
                    <c:v>0.208209127793384</c:v>
                  </c:pt>
                </c:numCache>
              </c:numRef>
            </c:minus>
          </c:errBars>
          <c:xVal>
            <c:numRef>
              <c:f>Metabolites!$E$4:$E$20</c:f>
              <c:numCache>
                <c:formatCode>0</c:formatCode>
                <c:ptCount val="17"/>
                <c:pt idx="0">
                  <c:v>0.166666666666667</c:v>
                </c:pt>
                <c:pt idx="1">
                  <c:v>2.0</c:v>
                </c:pt>
                <c:pt idx="2">
                  <c:v>3.333333333333333</c:v>
                </c:pt>
                <c:pt idx="3">
                  <c:v>4.666666666666667</c:v>
                </c:pt>
                <c:pt idx="4">
                  <c:v>6.0</c:v>
                </c:pt>
                <c:pt idx="5">
                  <c:v>7.333333333333332</c:v>
                </c:pt>
                <c:pt idx="6">
                  <c:v>8.666666666666665</c:v>
                </c:pt>
                <c:pt idx="7">
                  <c:v>10.0</c:v>
                </c:pt>
                <c:pt idx="8">
                  <c:v>11.33333333333333</c:v>
                </c:pt>
                <c:pt idx="9">
                  <c:v>12.66666666666667</c:v>
                </c:pt>
                <c:pt idx="10">
                  <c:v>14.0</c:v>
                </c:pt>
                <c:pt idx="11">
                  <c:v>15.33333333333333</c:v>
                </c:pt>
                <c:pt idx="12">
                  <c:v>16.66666666666667</c:v>
                </c:pt>
                <c:pt idx="13">
                  <c:v>18.0</c:v>
                </c:pt>
                <c:pt idx="14">
                  <c:v>24.0</c:v>
                </c:pt>
                <c:pt idx="15">
                  <c:v>30.0</c:v>
                </c:pt>
                <c:pt idx="16">
                  <c:v>48.0</c:v>
                </c:pt>
              </c:numCache>
            </c:numRef>
          </c:xVal>
          <c:yVal>
            <c:numRef>
              <c:f>Metabolites!$P$4:$P$20</c:f>
              <c:numCache>
                <c:formatCode>0</c:formatCode>
                <c:ptCount val="17"/>
                <c:pt idx="0">
                  <c:v>4.348569348504995</c:v>
                </c:pt>
                <c:pt idx="1">
                  <c:v>4.476369935029105</c:v>
                </c:pt>
                <c:pt idx="2">
                  <c:v>4.983697446076734</c:v>
                </c:pt>
                <c:pt idx="3">
                  <c:v>5.984069420260356</c:v>
                </c:pt>
                <c:pt idx="4">
                  <c:v>7.365131105454995</c:v>
                </c:pt>
                <c:pt idx="5">
                  <c:v>11.05279909668867</c:v>
                </c:pt>
                <c:pt idx="6">
                  <c:v>17.07874291894548</c:v>
                </c:pt>
                <c:pt idx="7">
                  <c:v>21.72911828051699</c:v>
                </c:pt>
                <c:pt idx="8">
                  <c:v>26.60896904596276</c:v>
                </c:pt>
                <c:pt idx="9">
                  <c:v>28.24982195822962</c:v>
                </c:pt>
                <c:pt idx="10">
                  <c:v>28.72931627771258</c:v>
                </c:pt>
                <c:pt idx="11">
                  <c:v>28.56225992131634</c:v>
                </c:pt>
                <c:pt idx="12">
                  <c:v>26.72983016643057</c:v>
                </c:pt>
                <c:pt idx="13">
                  <c:v>29.02332289190051</c:v>
                </c:pt>
                <c:pt idx="14">
                  <c:v>29.42795293180601</c:v>
                </c:pt>
                <c:pt idx="15">
                  <c:v>29.87759596011667</c:v>
                </c:pt>
                <c:pt idx="16">
                  <c:v>30.44063084970589</c:v>
                </c:pt>
              </c:numCache>
            </c:numRef>
          </c:yVal>
          <c:smooth val="0"/>
        </c:ser>
        <c:ser>
          <c:idx val="4"/>
          <c:order val="2"/>
          <c:tx>
            <c:strRef>
              <c:f>Metabolites!$R$1</c:f>
              <c:strCache>
                <c:ptCount val="1"/>
                <c:pt idx="0">
                  <c:v>Formic acid</c:v>
                </c:pt>
              </c:strCache>
            </c:strRef>
          </c:tx>
          <c:spPr>
            <a:ln>
              <a:solidFill>
                <a:srgbClr val="DE00FD"/>
              </a:solidFill>
            </a:ln>
          </c:spPr>
          <c:marker>
            <c:symbol val="triangle"/>
            <c:size val="8"/>
            <c:spPr>
              <a:solidFill>
                <a:srgbClr val="DE00FD"/>
              </a:solidFill>
              <a:ln>
                <a:solidFill>
                  <a:srgbClr val="DE00FD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Metabolites!$U$4:$U$20</c:f>
                <c:numCache>
                  <c:formatCode>General</c:formatCode>
                  <c:ptCount val="17"/>
                  <c:pt idx="0">
                    <c:v>0.0</c:v>
                  </c:pt>
                  <c:pt idx="1">
                    <c:v>1.85182136209797E-16</c:v>
                  </c:pt>
                  <c:pt idx="2">
                    <c:v>0.0503856430592321</c:v>
                  </c:pt>
                  <c:pt idx="3">
                    <c:v>0.0505481773916813</c:v>
                  </c:pt>
                  <c:pt idx="4">
                    <c:v>0.0440080852894716</c:v>
                  </c:pt>
                  <c:pt idx="5">
                    <c:v>0.025615351784155</c:v>
                  </c:pt>
                  <c:pt idx="6">
                    <c:v>0.0448905054161106</c:v>
                  </c:pt>
                  <c:pt idx="7">
                    <c:v>0.0695419583072897</c:v>
                  </c:pt>
                  <c:pt idx="8">
                    <c:v>0.0957961013323122</c:v>
                  </c:pt>
                  <c:pt idx="9">
                    <c:v>0.0266083614437124</c:v>
                  </c:pt>
                  <c:pt idx="10">
                    <c:v>0.0266489848962982</c:v>
                  </c:pt>
                  <c:pt idx="11">
                    <c:v>0.0</c:v>
                  </c:pt>
                  <c:pt idx="12">
                    <c:v>0.0</c:v>
                  </c:pt>
                  <c:pt idx="13">
                    <c:v>0.0</c:v>
                  </c:pt>
                  <c:pt idx="14">
                    <c:v>0.0</c:v>
                  </c:pt>
                  <c:pt idx="15">
                    <c:v>0.0</c:v>
                  </c:pt>
                  <c:pt idx="16">
                    <c:v>0.0</c:v>
                  </c:pt>
                </c:numCache>
              </c:numRef>
            </c:plus>
            <c:minus>
              <c:numRef>
                <c:f>Metabolites!$U$4:$U$20</c:f>
                <c:numCache>
                  <c:formatCode>General</c:formatCode>
                  <c:ptCount val="17"/>
                  <c:pt idx="0">
                    <c:v>0.0</c:v>
                  </c:pt>
                  <c:pt idx="1">
                    <c:v>1.85182136209797E-16</c:v>
                  </c:pt>
                  <c:pt idx="2">
                    <c:v>0.0503856430592321</c:v>
                  </c:pt>
                  <c:pt idx="3">
                    <c:v>0.0505481773916813</c:v>
                  </c:pt>
                  <c:pt idx="4">
                    <c:v>0.0440080852894716</c:v>
                  </c:pt>
                  <c:pt idx="5">
                    <c:v>0.025615351784155</c:v>
                  </c:pt>
                  <c:pt idx="6">
                    <c:v>0.0448905054161106</c:v>
                  </c:pt>
                  <c:pt idx="7">
                    <c:v>0.0695419583072897</c:v>
                  </c:pt>
                  <c:pt idx="8">
                    <c:v>0.0957961013323122</c:v>
                  </c:pt>
                  <c:pt idx="9">
                    <c:v>0.0266083614437124</c:v>
                  </c:pt>
                  <c:pt idx="10">
                    <c:v>0.0266489848962982</c:v>
                  </c:pt>
                  <c:pt idx="11">
                    <c:v>0.0</c:v>
                  </c:pt>
                  <c:pt idx="12">
                    <c:v>0.0</c:v>
                  </c:pt>
                  <c:pt idx="13">
                    <c:v>0.0</c:v>
                  </c:pt>
                  <c:pt idx="14">
                    <c:v>0.0</c:v>
                  </c:pt>
                  <c:pt idx="15">
                    <c:v>0.0</c:v>
                  </c:pt>
                  <c:pt idx="16">
                    <c:v>0.0</c:v>
                  </c:pt>
                </c:numCache>
              </c:numRef>
            </c:minus>
          </c:errBars>
          <c:xVal>
            <c:numRef>
              <c:f>Metabolites!$E$4:$E$20</c:f>
              <c:numCache>
                <c:formatCode>0</c:formatCode>
                <c:ptCount val="17"/>
                <c:pt idx="0">
                  <c:v>0.166666666666667</c:v>
                </c:pt>
                <c:pt idx="1">
                  <c:v>2.0</c:v>
                </c:pt>
                <c:pt idx="2">
                  <c:v>3.333333333333333</c:v>
                </c:pt>
                <c:pt idx="3">
                  <c:v>4.666666666666667</c:v>
                </c:pt>
                <c:pt idx="4">
                  <c:v>6.0</c:v>
                </c:pt>
                <c:pt idx="5">
                  <c:v>7.333333333333332</c:v>
                </c:pt>
                <c:pt idx="6">
                  <c:v>8.666666666666665</c:v>
                </c:pt>
                <c:pt idx="7">
                  <c:v>10.0</c:v>
                </c:pt>
                <c:pt idx="8">
                  <c:v>11.33333333333333</c:v>
                </c:pt>
                <c:pt idx="9">
                  <c:v>12.66666666666667</c:v>
                </c:pt>
                <c:pt idx="10">
                  <c:v>14.0</c:v>
                </c:pt>
                <c:pt idx="11">
                  <c:v>15.33333333333333</c:v>
                </c:pt>
                <c:pt idx="12">
                  <c:v>16.66666666666667</c:v>
                </c:pt>
                <c:pt idx="13">
                  <c:v>18.0</c:v>
                </c:pt>
                <c:pt idx="14">
                  <c:v>24.0</c:v>
                </c:pt>
                <c:pt idx="15">
                  <c:v>30.0</c:v>
                </c:pt>
                <c:pt idx="16">
                  <c:v>48.0</c:v>
                </c:pt>
              </c:numCache>
            </c:numRef>
          </c:xVal>
          <c:yVal>
            <c:numRef>
              <c:f>Metabolites!$T$4:$T$20</c:f>
              <c:numCache>
                <c:formatCode>0</c:formatCode>
                <c:ptCount val="17"/>
                <c:pt idx="0">
                  <c:v>1.175240363067771</c:v>
                </c:pt>
                <c:pt idx="1">
                  <c:v>1.089515008862235</c:v>
                </c:pt>
                <c:pt idx="2">
                  <c:v>1.061791007299212</c:v>
                </c:pt>
                <c:pt idx="3">
                  <c:v>1.211136158701483</c:v>
                </c:pt>
                <c:pt idx="4">
                  <c:v>1.408258729263091</c:v>
                </c:pt>
                <c:pt idx="5">
                  <c:v>1.050021147605786</c:v>
                </c:pt>
                <c:pt idx="6">
                  <c:v>2.244525270805537</c:v>
                </c:pt>
                <c:pt idx="7">
                  <c:v>4.749868719929874</c:v>
                </c:pt>
                <c:pt idx="8">
                  <c:v>4.663254465812747</c:v>
                </c:pt>
                <c:pt idx="9">
                  <c:v>2.181452939195551</c:v>
                </c:pt>
                <c:pt idx="10">
                  <c:v>0.707746735761369</c:v>
                </c:pt>
                <c:pt idx="11">
                  <c:v>0.0462306034168849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</c:numCache>
            </c:numRef>
          </c:yVal>
          <c:smooth val="0"/>
        </c:ser>
        <c:ser>
          <c:idx val="3"/>
          <c:order val="3"/>
          <c:tx>
            <c:v>CO2</c:v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xVal>
            <c:numRef>
              <c:f>'CO2'!$A$5:$A$101</c:f>
              <c:numCache>
                <c:formatCode>0.0</c:formatCode>
                <c:ptCount val="97"/>
                <c:pt idx="0">
                  <c:v>0.0</c:v>
                </c:pt>
                <c:pt idx="1">
                  <c:v>0.5</c:v>
                </c:pt>
                <c:pt idx="2">
                  <c:v>1.0</c:v>
                </c:pt>
                <c:pt idx="3">
                  <c:v>1.5</c:v>
                </c:pt>
                <c:pt idx="4">
                  <c:v>2.0</c:v>
                </c:pt>
                <c:pt idx="5">
                  <c:v>2.5</c:v>
                </c:pt>
                <c:pt idx="6">
                  <c:v>3.0</c:v>
                </c:pt>
                <c:pt idx="7">
                  <c:v>3.5</c:v>
                </c:pt>
                <c:pt idx="8">
                  <c:v>4.0</c:v>
                </c:pt>
                <c:pt idx="9">
                  <c:v>4.5</c:v>
                </c:pt>
                <c:pt idx="10">
                  <c:v>5.0</c:v>
                </c:pt>
                <c:pt idx="11">
                  <c:v>5.5</c:v>
                </c:pt>
                <c:pt idx="12">
                  <c:v>6.0</c:v>
                </c:pt>
                <c:pt idx="13">
                  <c:v>6.5</c:v>
                </c:pt>
                <c:pt idx="14">
                  <c:v>7.0</c:v>
                </c:pt>
                <c:pt idx="15">
                  <c:v>7.5</c:v>
                </c:pt>
                <c:pt idx="16">
                  <c:v>8.0</c:v>
                </c:pt>
                <c:pt idx="17">
                  <c:v>8.5</c:v>
                </c:pt>
                <c:pt idx="18">
                  <c:v>9.0</c:v>
                </c:pt>
                <c:pt idx="19">
                  <c:v>9.5</c:v>
                </c:pt>
                <c:pt idx="20">
                  <c:v>10.0</c:v>
                </c:pt>
                <c:pt idx="21">
                  <c:v>10.5</c:v>
                </c:pt>
                <c:pt idx="22">
                  <c:v>11.0</c:v>
                </c:pt>
                <c:pt idx="23">
                  <c:v>11.5</c:v>
                </c:pt>
                <c:pt idx="24">
                  <c:v>12.0</c:v>
                </c:pt>
                <c:pt idx="25">
                  <c:v>12.5</c:v>
                </c:pt>
                <c:pt idx="26">
                  <c:v>13.0</c:v>
                </c:pt>
                <c:pt idx="27">
                  <c:v>13.5</c:v>
                </c:pt>
                <c:pt idx="28">
                  <c:v>14.0</c:v>
                </c:pt>
                <c:pt idx="29">
                  <c:v>14.5</c:v>
                </c:pt>
                <c:pt idx="30">
                  <c:v>15.0</c:v>
                </c:pt>
                <c:pt idx="31">
                  <c:v>15.5</c:v>
                </c:pt>
                <c:pt idx="32">
                  <c:v>16.0</c:v>
                </c:pt>
                <c:pt idx="33">
                  <c:v>16.5</c:v>
                </c:pt>
                <c:pt idx="34">
                  <c:v>17.0</c:v>
                </c:pt>
                <c:pt idx="35">
                  <c:v>17.5</c:v>
                </c:pt>
                <c:pt idx="36">
                  <c:v>18.0</c:v>
                </c:pt>
                <c:pt idx="37">
                  <c:v>18.5</c:v>
                </c:pt>
                <c:pt idx="38">
                  <c:v>19.0</c:v>
                </c:pt>
                <c:pt idx="39">
                  <c:v>19.5</c:v>
                </c:pt>
                <c:pt idx="40">
                  <c:v>20.0</c:v>
                </c:pt>
                <c:pt idx="41">
                  <c:v>20.5</c:v>
                </c:pt>
                <c:pt idx="42">
                  <c:v>21.0</c:v>
                </c:pt>
                <c:pt idx="43">
                  <c:v>21.5</c:v>
                </c:pt>
                <c:pt idx="44">
                  <c:v>22.0</c:v>
                </c:pt>
                <c:pt idx="45">
                  <c:v>22.5</c:v>
                </c:pt>
                <c:pt idx="46">
                  <c:v>23.0</c:v>
                </c:pt>
                <c:pt idx="47">
                  <c:v>23.5</c:v>
                </c:pt>
                <c:pt idx="48">
                  <c:v>24.0</c:v>
                </c:pt>
                <c:pt idx="49">
                  <c:v>24.5</c:v>
                </c:pt>
                <c:pt idx="50">
                  <c:v>25.0</c:v>
                </c:pt>
                <c:pt idx="51">
                  <c:v>25.5</c:v>
                </c:pt>
                <c:pt idx="52">
                  <c:v>26.0</c:v>
                </c:pt>
                <c:pt idx="53">
                  <c:v>26.5</c:v>
                </c:pt>
                <c:pt idx="54">
                  <c:v>27.0</c:v>
                </c:pt>
                <c:pt idx="55">
                  <c:v>27.5</c:v>
                </c:pt>
                <c:pt idx="56">
                  <c:v>28.0</c:v>
                </c:pt>
                <c:pt idx="57">
                  <c:v>28.5</c:v>
                </c:pt>
                <c:pt idx="58">
                  <c:v>29.0</c:v>
                </c:pt>
                <c:pt idx="59">
                  <c:v>29.5</c:v>
                </c:pt>
                <c:pt idx="60">
                  <c:v>30.0</c:v>
                </c:pt>
                <c:pt idx="61">
                  <c:v>30.5</c:v>
                </c:pt>
                <c:pt idx="62">
                  <c:v>31.0</c:v>
                </c:pt>
                <c:pt idx="63">
                  <c:v>31.5</c:v>
                </c:pt>
                <c:pt idx="64">
                  <c:v>32.0</c:v>
                </c:pt>
                <c:pt idx="65">
                  <c:v>32.5</c:v>
                </c:pt>
                <c:pt idx="66">
                  <c:v>33.0</c:v>
                </c:pt>
                <c:pt idx="67">
                  <c:v>33.5</c:v>
                </c:pt>
                <c:pt idx="68">
                  <c:v>34.0</c:v>
                </c:pt>
                <c:pt idx="69">
                  <c:v>34.5</c:v>
                </c:pt>
                <c:pt idx="70">
                  <c:v>35.0</c:v>
                </c:pt>
                <c:pt idx="71">
                  <c:v>35.5</c:v>
                </c:pt>
                <c:pt idx="72">
                  <c:v>36.0</c:v>
                </c:pt>
                <c:pt idx="73">
                  <c:v>36.5</c:v>
                </c:pt>
                <c:pt idx="74">
                  <c:v>37.0</c:v>
                </c:pt>
                <c:pt idx="75">
                  <c:v>37.5</c:v>
                </c:pt>
                <c:pt idx="76">
                  <c:v>38.0</c:v>
                </c:pt>
                <c:pt idx="77">
                  <c:v>38.5</c:v>
                </c:pt>
                <c:pt idx="78">
                  <c:v>39.0</c:v>
                </c:pt>
                <c:pt idx="79">
                  <c:v>39.5</c:v>
                </c:pt>
                <c:pt idx="80">
                  <c:v>40.0</c:v>
                </c:pt>
                <c:pt idx="81">
                  <c:v>40.5</c:v>
                </c:pt>
                <c:pt idx="82">
                  <c:v>41.0</c:v>
                </c:pt>
                <c:pt idx="83">
                  <c:v>41.5</c:v>
                </c:pt>
                <c:pt idx="84">
                  <c:v>42.0</c:v>
                </c:pt>
                <c:pt idx="85">
                  <c:v>42.5</c:v>
                </c:pt>
                <c:pt idx="86">
                  <c:v>43.0</c:v>
                </c:pt>
                <c:pt idx="87">
                  <c:v>43.5</c:v>
                </c:pt>
                <c:pt idx="88">
                  <c:v>44.0</c:v>
                </c:pt>
                <c:pt idx="89">
                  <c:v>44.5</c:v>
                </c:pt>
                <c:pt idx="90">
                  <c:v>45.0</c:v>
                </c:pt>
                <c:pt idx="91">
                  <c:v>45.5</c:v>
                </c:pt>
                <c:pt idx="92">
                  <c:v>46.0</c:v>
                </c:pt>
                <c:pt idx="93">
                  <c:v>46.5</c:v>
                </c:pt>
                <c:pt idx="94">
                  <c:v>47.0</c:v>
                </c:pt>
                <c:pt idx="95">
                  <c:v>47.5</c:v>
                </c:pt>
                <c:pt idx="96">
                  <c:v>48.0</c:v>
                </c:pt>
              </c:numCache>
            </c:numRef>
          </c:xVal>
          <c:yVal>
            <c:numRef>
              <c:f>'CO2'!$G$5:$G$101</c:f>
              <c:numCache>
                <c:formatCode>0.0</c:formatCode>
                <c:ptCount val="97"/>
                <c:pt idx="0">
                  <c:v>0.0783777770975035</c:v>
                </c:pt>
                <c:pt idx="1">
                  <c:v>0.25089110267016</c:v>
                </c:pt>
                <c:pt idx="2">
                  <c:v>0.452438267076222</c:v>
                </c:pt>
                <c:pt idx="3">
                  <c:v>0.566119208900335</c:v>
                </c:pt>
                <c:pt idx="4">
                  <c:v>0.708428708608276</c:v>
                </c:pt>
                <c:pt idx="5">
                  <c:v>1.002094389586681</c:v>
                </c:pt>
                <c:pt idx="6">
                  <c:v>1.342756722322854</c:v>
                </c:pt>
                <c:pt idx="7">
                  <c:v>1.758763821727946</c:v>
                </c:pt>
                <c:pt idx="8">
                  <c:v>2.290110344397586</c:v>
                </c:pt>
                <c:pt idx="9">
                  <c:v>2.975100840064239</c:v>
                </c:pt>
                <c:pt idx="10">
                  <c:v>3.839225947384305</c:v>
                </c:pt>
                <c:pt idx="11">
                  <c:v>4.882961845825277</c:v>
                </c:pt>
                <c:pt idx="12">
                  <c:v>6.131748307390113</c:v>
                </c:pt>
                <c:pt idx="13">
                  <c:v>7.614065501593918</c:v>
                </c:pt>
                <c:pt idx="14">
                  <c:v>9.331271403964571</c:v>
                </c:pt>
                <c:pt idx="15">
                  <c:v>11.27383673642241</c:v>
                </c:pt>
                <c:pt idx="16">
                  <c:v>13.40861887681672</c:v>
                </c:pt>
                <c:pt idx="17">
                  <c:v>15.67755443403484</c:v>
                </c:pt>
                <c:pt idx="18">
                  <c:v>18.07312325036384</c:v>
                </c:pt>
                <c:pt idx="19">
                  <c:v>20.56157467145763</c:v>
                </c:pt>
                <c:pt idx="20">
                  <c:v>23.24844282401289</c:v>
                </c:pt>
                <c:pt idx="21">
                  <c:v>26.19025537799962</c:v>
                </c:pt>
                <c:pt idx="22">
                  <c:v>29.15920230683093</c:v>
                </c:pt>
                <c:pt idx="23">
                  <c:v>31.92092202380421</c:v>
                </c:pt>
                <c:pt idx="24">
                  <c:v>34.41198535632259</c:v>
                </c:pt>
                <c:pt idx="25">
                  <c:v>36.69689255015587</c:v>
                </c:pt>
                <c:pt idx="26">
                  <c:v>38.82689993797014</c:v>
                </c:pt>
                <c:pt idx="27">
                  <c:v>40.79766069610923</c:v>
                </c:pt>
                <c:pt idx="28">
                  <c:v>42.61997941441686</c:v>
                </c:pt>
                <c:pt idx="29">
                  <c:v>44.29662812218267</c:v>
                </c:pt>
                <c:pt idx="30">
                  <c:v>45.78390587942066</c:v>
                </c:pt>
                <c:pt idx="31">
                  <c:v>47.12891785178068</c:v>
                </c:pt>
                <c:pt idx="32">
                  <c:v>48.32769059269313</c:v>
                </c:pt>
                <c:pt idx="33">
                  <c:v>49.37133968273869</c:v>
                </c:pt>
                <c:pt idx="34">
                  <c:v>50.29704252621665</c:v>
                </c:pt>
                <c:pt idx="35">
                  <c:v>50.7411837840898</c:v>
                </c:pt>
                <c:pt idx="36">
                  <c:v>51.07253912833754</c:v>
                </c:pt>
                <c:pt idx="37">
                  <c:v>51.6666708778031</c:v>
                </c:pt>
                <c:pt idx="38">
                  <c:v>52.1715412038462</c:v>
                </c:pt>
                <c:pt idx="39">
                  <c:v>52.59688088151395</c:v>
                </c:pt>
                <c:pt idx="40">
                  <c:v>52.95167199257469</c:v>
                </c:pt>
                <c:pt idx="41">
                  <c:v>53.25130996211906</c:v>
                </c:pt>
                <c:pt idx="42">
                  <c:v>53.50569651608031</c:v>
                </c:pt>
                <c:pt idx="43">
                  <c:v>53.72078853206386</c:v>
                </c:pt>
                <c:pt idx="44">
                  <c:v>53.90444796077003</c:v>
                </c:pt>
                <c:pt idx="45">
                  <c:v>54.0640368781876</c:v>
                </c:pt>
                <c:pt idx="46">
                  <c:v>54.2050771769447</c:v>
                </c:pt>
                <c:pt idx="47">
                  <c:v>54.33122908556925</c:v>
                </c:pt>
                <c:pt idx="48">
                  <c:v>54.44807691899595</c:v>
                </c:pt>
                <c:pt idx="49">
                  <c:v>54.55785936024075</c:v>
                </c:pt>
                <c:pt idx="50">
                  <c:v>54.65988328357194</c:v>
                </c:pt>
                <c:pt idx="51">
                  <c:v>54.7560132701339</c:v>
                </c:pt>
                <c:pt idx="52">
                  <c:v>54.84575510491933</c:v>
                </c:pt>
                <c:pt idx="53">
                  <c:v>54.93032929229032</c:v>
                </c:pt>
                <c:pt idx="54">
                  <c:v>55.01374263813758</c:v>
                </c:pt>
                <c:pt idx="55">
                  <c:v>55.09742564122264</c:v>
                </c:pt>
                <c:pt idx="56">
                  <c:v>55.1807567744974</c:v>
                </c:pt>
                <c:pt idx="57">
                  <c:v>55.26380321737822</c:v>
                </c:pt>
                <c:pt idx="58">
                  <c:v>55.34750877019746</c:v>
                </c:pt>
                <c:pt idx="59">
                  <c:v>55.4302334095802</c:v>
                </c:pt>
                <c:pt idx="60">
                  <c:v>55.51637287475622</c:v>
                </c:pt>
                <c:pt idx="61">
                  <c:v>55.60664055838875</c:v>
                </c:pt>
                <c:pt idx="62">
                  <c:v>55.69571400554992</c:v>
                </c:pt>
                <c:pt idx="63">
                  <c:v>55.78400202224026</c:v>
                </c:pt>
                <c:pt idx="64">
                  <c:v>55.87144829078194</c:v>
                </c:pt>
                <c:pt idx="65">
                  <c:v>55.95686611724977</c:v>
                </c:pt>
                <c:pt idx="66">
                  <c:v>56.04056072334399</c:v>
                </c:pt>
                <c:pt idx="67">
                  <c:v>56.12403910978234</c:v>
                </c:pt>
                <c:pt idx="68">
                  <c:v>56.20704432715982</c:v>
                </c:pt>
                <c:pt idx="69">
                  <c:v>56.28960855700664</c:v>
                </c:pt>
                <c:pt idx="70">
                  <c:v>56.37287022095271</c:v>
                </c:pt>
                <c:pt idx="71">
                  <c:v>56.45807182776467</c:v>
                </c:pt>
                <c:pt idx="72">
                  <c:v>56.54369028595968</c:v>
                </c:pt>
                <c:pt idx="73">
                  <c:v>56.62801796309281</c:v>
                </c:pt>
                <c:pt idx="74">
                  <c:v>56.71080645797803</c:v>
                </c:pt>
                <c:pt idx="75">
                  <c:v>56.79254503044128</c:v>
                </c:pt>
                <c:pt idx="76">
                  <c:v>56.87380289129754</c:v>
                </c:pt>
                <c:pt idx="77">
                  <c:v>56.9552850171922</c:v>
                </c:pt>
                <c:pt idx="78">
                  <c:v>57.0384581819303</c:v>
                </c:pt>
                <c:pt idx="79">
                  <c:v>57.12251332172976</c:v>
                </c:pt>
                <c:pt idx="80">
                  <c:v>57.20755452372725</c:v>
                </c:pt>
                <c:pt idx="81">
                  <c:v>57.29455175935571</c:v>
                </c:pt>
                <c:pt idx="82">
                  <c:v>57.38341703224356</c:v>
                </c:pt>
                <c:pt idx="83">
                  <c:v>57.47480704674096</c:v>
                </c:pt>
                <c:pt idx="84">
                  <c:v>57.56931514981048</c:v>
                </c:pt>
                <c:pt idx="85">
                  <c:v>57.66664517080726</c:v>
                </c:pt>
                <c:pt idx="86">
                  <c:v>57.7674462715353</c:v>
                </c:pt>
                <c:pt idx="87">
                  <c:v>57.87363375587643</c:v>
                </c:pt>
                <c:pt idx="88">
                  <c:v>57.98665880970699</c:v>
                </c:pt>
                <c:pt idx="89">
                  <c:v>58.1072832301866</c:v>
                </c:pt>
                <c:pt idx="90">
                  <c:v>58.23450436151574</c:v>
                </c:pt>
                <c:pt idx="91">
                  <c:v>58.3660780448011</c:v>
                </c:pt>
                <c:pt idx="92">
                  <c:v>58.49181631156014</c:v>
                </c:pt>
                <c:pt idx="93">
                  <c:v>58.60174741296619</c:v>
                </c:pt>
                <c:pt idx="94">
                  <c:v>58.69711335494945</c:v>
                </c:pt>
                <c:pt idx="95">
                  <c:v>58.77957349765961</c:v>
                </c:pt>
                <c:pt idx="96">
                  <c:v>58.8560295224954</c:v>
                </c:pt>
              </c:numCache>
            </c:numRef>
          </c:yVal>
          <c:smooth val="0"/>
        </c:ser>
        <c:ser>
          <c:idx val="0"/>
          <c:order val="4"/>
          <c:tx>
            <c:strRef>
              <c:f>Metabolites!$F$1</c:f>
              <c:strCache>
                <c:ptCount val="1"/>
                <c:pt idx="0">
                  <c:v>D-Fructose</c:v>
                </c:pt>
              </c:strCache>
            </c:strRef>
          </c:tx>
          <c:spPr>
            <a:ln>
              <a:solidFill>
                <a:srgbClr val="67FF65"/>
              </a:solidFill>
            </a:ln>
          </c:spPr>
          <c:marker>
            <c:symbol val="circle"/>
            <c:size val="8"/>
            <c:spPr>
              <a:solidFill>
                <a:srgbClr val="67FF65"/>
              </a:solidFill>
              <a:ln>
                <a:solidFill>
                  <a:srgbClr val="67FF65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Metabolites!$I$4:$I$20</c:f>
                <c:numCache>
                  <c:formatCode>General</c:formatCode>
                  <c:ptCount val="17"/>
                  <c:pt idx="0">
                    <c:v>0.347254469382393</c:v>
                  </c:pt>
                  <c:pt idx="1">
                    <c:v>0.149525001551411</c:v>
                  </c:pt>
                  <c:pt idx="2">
                    <c:v>0.241438464547085</c:v>
                  </c:pt>
                  <c:pt idx="3">
                    <c:v>0.735719355850181</c:v>
                  </c:pt>
                  <c:pt idx="4">
                    <c:v>0.120226860926563</c:v>
                  </c:pt>
                  <c:pt idx="5">
                    <c:v>0.191813649403103</c:v>
                  </c:pt>
                  <c:pt idx="6">
                    <c:v>0.0264872250026616</c:v>
                  </c:pt>
                  <c:pt idx="7">
                    <c:v>0.153872195222864</c:v>
                  </c:pt>
                  <c:pt idx="8">
                    <c:v>0.0</c:v>
                  </c:pt>
                  <c:pt idx="9">
                    <c:v>0.0</c:v>
                  </c:pt>
                  <c:pt idx="10">
                    <c:v>0.0</c:v>
                  </c:pt>
                  <c:pt idx="11">
                    <c:v>0.0</c:v>
                  </c:pt>
                  <c:pt idx="12">
                    <c:v>0.0</c:v>
                  </c:pt>
                  <c:pt idx="13">
                    <c:v>0.0</c:v>
                  </c:pt>
                  <c:pt idx="14">
                    <c:v>0.0</c:v>
                  </c:pt>
                  <c:pt idx="15">
                    <c:v>0.0</c:v>
                  </c:pt>
                  <c:pt idx="16">
                    <c:v>0.0</c:v>
                  </c:pt>
                </c:numCache>
              </c:numRef>
            </c:plus>
            <c:minus>
              <c:numRef>
                <c:f>Metabolites!$I$4:$I$20</c:f>
                <c:numCache>
                  <c:formatCode>General</c:formatCode>
                  <c:ptCount val="17"/>
                  <c:pt idx="0">
                    <c:v>0.347254469382393</c:v>
                  </c:pt>
                  <c:pt idx="1">
                    <c:v>0.149525001551411</c:v>
                  </c:pt>
                  <c:pt idx="2">
                    <c:v>0.241438464547085</c:v>
                  </c:pt>
                  <c:pt idx="3">
                    <c:v>0.735719355850181</c:v>
                  </c:pt>
                  <c:pt idx="4">
                    <c:v>0.120226860926563</c:v>
                  </c:pt>
                  <c:pt idx="5">
                    <c:v>0.191813649403103</c:v>
                  </c:pt>
                  <c:pt idx="6">
                    <c:v>0.0264872250026616</c:v>
                  </c:pt>
                  <c:pt idx="7">
                    <c:v>0.153872195222864</c:v>
                  </c:pt>
                  <c:pt idx="8">
                    <c:v>0.0</c:v>
                  </c:pt>
                  <c:pt idx="9">
                    <c:v>0.0</c:v>
                  </c:pt>
                  <c:pt idx="10">
                    <c:v>0.0</c:v>
                  </c:pt>
                  <c:pt idx="11">
                    <c:v>0.0</c:v>
                  </c:pt>
                  <c:pt idx="12">
                    <c:v>0.0</c:v>
                  </c:pt>
                  <c:pt idx="13">
                    <c:v>0.0</c:v>
                  </c:pt>
                  <c:pt idx="14">
                    <c:v>0.0</c:v>
                  </c:pt>
                  <c:pt idx="15">
                    <c:v>0.0</c:v>
                  </c:pt>
                  <c:pt idx="16">
                    <c:v>0.0</c:v>
                  </c:pt>
                </c:numCache>
              </c:numRef>
            </c:minus>
          </c:errBars>
          <c:xVal>
            <c:numRef>
              <c:f>Metabolites!$E$4:$E$20</c:f>
              <c:numCache>
                <c:formatCode>0</c:formatCode>
                <c:ptCount val="17"/>
                <c:pt idx="0">
                  <c:v>0.166666666666667</c:v>
                </c:pt>
                <c:pt idx="1">
                  <c:v>2.0</c:v>
                </c:pt>
                <c:pt idx="2">
                  <c:v>3.333333333333333</c:v>
                </c:pt>
                <c:pt idx="3">
                  <c:v>4.666666666666667</c:v>
                </c:pt>
                <c:pt idx="4">
                  <c:v>6.0</c:v>
                </c:pt>
                <c:pt idx="5">
                  <c:v>7.333333333333332</c:v>
                </c:pt>
                <c:pt idx="6">
                  <c:v>8.666666666666665</c:v>
                </c:pt>
                <c:pt idx="7">
                  <c:v>10.0</c:v>
                </c:pt>
                <c:pt idx="8">
                  <c:v>11.33333333333333</c:v>
                </c:pt>
                <c:pt idx="9">
                  <c:v>12.66666666666667</c:v>
                </c:pt>
                <c:pt idx="10">
                  <c:v>14.0</c:v>
                </c:pt>
                <c:pt idx="11">
                  <c:v>15.33333333333333</c:v>
                </c:pt>
                <c:pt idx="12">
                  <c:v>16.66666666666667</c:v>
                </c:pt>
                <c:pt idx="13">
                  <c:v>18.0</c:v>
                </c:pt>
                <c:pt idx="14">
                  <c:v>24.0</c:v>
                </c:pt>
                <c:pt idx="15">
                  <c:v>30.0</c:v>
                </c:pt>
                <c:pt idx="16">
                  <c:v>48.0</c:v>
                </c:pt>
              </c:numCache>
            </c:numRef>
          </c:xVal>
          <c:yVal>
            <c:numRef>
              <c:f>Metabolites!$H$4:$H$20</c:f>
              <c:numCache>
                <c:formatCode>0</c:formatCode>
                <c:ptCount val="17"/>
                <c:pt idx="0">
                  <c:v>49.18837503141612</c:v>
                </c:pt>
                <c:pt idx="1">
                  <c:v>48.16470008202639</c:v>
                </c:pt>
                <c:pt idx="2">
                  <c:v>47.3592206775776</c:v>
                </c:pt>
                <c:pt idx="3">
                  <c:v>45.06257467210196</c:v>
                </c:pt>
                <c:pt idx="4">
                  <c:v>41.39611081276365</c:v>
                </c:pt>
                <c:pt idx="5">
                  <c:v>33.87447654110263</c:v>
                </c:pt>
                <c:pt idx="6">
                  <c:v>23.72234556043461</c:v>
                </c:pt>
                <c:pt idx="7">
                  <c:v>10.29400550253835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</c:numCache>
            </c:numRef>
          </c:yVal>
          <c:smooth val="0"/>
        </c:ser>
        <c:ser>
          <c:idx val="6"/>
          <c:order val="5"/>
          <c:tx>
            <c:strRef>
              <c:f>Metabolites!$J$22</c:f>
              <c:strCache>
                <c:ptCount val="1"/>
                <c:pt idx="0">
                  <c:v>Butyric acid</c:v>
                </c:pt>
              </c:strCache>
            </c:strRef>
          </c:tx>
          <c:spPr>
            <a:ln>
              <a:solidFill>
                <a:srgbClr val="BF0000"/>
              </a:solidFill>
            </a:ln>
          </c:spPr>
          <c:marker>
            <c:symbol val="triangle"/>
            <c:size val="8"/>
            <c:spPr>
              <a:solidFill>
                <a:srgbClr val="BF0000"/>
              </a:solidFill>
              <a:ln>
                <a:solidFill>
                  <a:srgbClr val="BF0000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Metabolites!$M$25:$M$41</c:f>
                <c:numCache>
                  <c:formatCode>General</c:formatCode>
                  <c:ptCount val="17"/>
                  <c:pt idx="0">
                    <c:v>0.0131285898516018</c:v>
                  </c:pt>
                  <c:pt idx="1">
                    <c:v>0.0131446296681585</c:v>
                  </c:pt>
                  <c:pt idx="2">
                    <c:v>0.0526444478496528</c:v>
                  </c:pt>
                  <c:pt idx="3">
                    <c:v>0.130040055457878</c:v>
                  </c:pt>
                  <c:pt idx="4">
                    <c:v>0.0132735661929734</c:v>
                  </c:pt>
                  <c:pt idx="5">
                    <c:v>0.115890204684032</c:v>
                  </c:pt>
                  <c:pt idx="6">
                    <c:v>0.013539718693904</c:v>
                  </c:pt>
                  <c:pt idx="7">
                    <c:v>0.494329092697178</c:v>
                  </c:pt>
                  <c:pt idx="8">
                    <c:v>0.330509130530922</c:v>
                  </c:pt>
                  <c:pt idx="9">
                    <c:v>0.150358102323797</c:v>
                  </c:pt>
                  <c:pt idx="10">
                    <c:v>0.144679940698565</c:v>
                  </c:pt>
                  <c:pt idx="11">
                    <c:v>0.539505167106991</c:v>
                  </c:pt>
                  <c:pt idx="12">
                    <c:v>0.0871518034350575</c:v>
                  </c:pt>
                  <c:pt idx="13">
                    <c:v>0.278060518512736</c:v>
                  </c:pt>
                  <c:pt idx="14">
                    <c:v>0.358026679023293</c:v>
                  </c:pt>
                  <c:pt idx="15">
                    <c:v>0.100724327663521</c:v>
                  </c:pt>
                  <c:pt idx="16">
                    <c:v>0.137706623630684</c:v>
                  </c:pt>
                </c:numCache>
              </c:numRef>
            </c:plus>
            <c:minus>
              <c:numRef>
                <c:f>Metabolites!$M$25:$M$41</c:f>
                <c:numCache>
                  <c:formatCode>General</c:formatCode>
                  <c:ptCount val="17"/>
                  <c:pt idx="0">
                    <c:v>0.0131285898516018</c:v>
                  </c:pt>
                  <c:pt idx="1">
                    <c:v>0.0131446296681585</c:v>
                  </c:pt>
                  <c:pt idx="2">
                    <c:v>0.0526444478496528</c:v>
                  </c:pt>
                  <c:pt idx="3">
                    <c:v>0.130040055457878</c:v>
                  </c:pt>
                  <c:pt idx="4">
                    <c:v>0.0132735661929734</c:v>
                  </c:pt>
                  <c:pt idx="5">
                    <c:v>0.115890204684032</c:v>
                  </c:pt>
                  <c:pt idx="6">
                    <c:v>0.013539718693904</c:v>
                  </c:pt>
                  <c:pt idx="7">
                    <c:v>0.494329092697178</c:v>
                  </c:pt>
                  <c:pt idx="8">
                    <c:v>0.330509130530922</c:v>
                  </c:pt>
                  <c:pt idx="9">
                    <c:v>0.150358102323797</c:v>
                  </c:pt>
                  <c:pt idx="10">
                    <c:v>0.144679940698565</c:v>
                  </c:pt>
                  <c:pt idx="11">
                    <c:v>0.539505167106991</c:v>
                  </c:pt>
                  <c:pt idx="12">
                    <c:v>0.0871518034350575</c:v>
                  </c:pt>
                  <c:pt idx="13">
                    <c:v>0.278060518512736</c:v>
                  </c:pt>
                  <c:pt idx="14">
                    <c:v>0.358026679023293</c:v>
                  </c:pt>
                  <c:pt idx="15">
                    <c:v>0.100724327663521</c:v>
                  </c:pt>
                  <c:pt idx="16">
                    <c:v>0.137706623630684</c:v>
                  </c:pt>
                </c:numCache>
              </c:numRef>
            </c:minus>
          </c:errBars>
          <c:xVal>
            <c:numRef>
              <c:f>Metabolites!$E$25:$E$41</c:f>
              <c:numCache>
                <c:formatCode>0</c:formatCode>
                <c:ptCount val="17"/>
                <c:pt idx="0">
                  <c:v>0.166666666666667</c:v>
                </c:pt>
                <c:pt idx="1">
                  <c:v>2.0</c:v>
                </c:pt>
                <c:pt idx="2">
                  <c:v>3.333333333333333</c:v>
                </c:pt>
                <c:pt idx="3">
                  <c:v>4.666666666666667</c:v>
                </c:pt>
                <c:pt idx="4">
                  <c:v>6.0</c:v>
                </c:pt>
                <c:pt idx="5">
                  <c:v>7.333333333333332</c:v>
                </c:pt>
                <c:pt idx="6">
                  <c:v>8.666666666666665</c:v>
                </c:pt>
                <c:pt idx="7">
                  <c:v>10.0</c:v>
                </c:pt>
                <c:pt idx="8">
                  <c:v>11.33333333333333</c:v>
                </c:pt>
                <c:pt idx="9">
                  <c:v>12.66666666666667</c:v>
                </c:pt>
                <c:pt idx="10">
                  <c:v>14.0</c:v>
                </c:pt>
                <c:pt idx="11">
                  <c:v>15.33333333333333</c:v>
                </c:pt>
                <c:pt idx="12">
                  <c:v>16.66666666666667</c:v>
                </c:pt>
                <c:pt idx="13">
                  <c:v>18.0</c:v>
                </c:pt>
                <c:pt idx="14">
                  <c:v>24.0</c:v>
                </c:pt>
                <c:pt idx="15">
                  <c:v>30.0</c:v>
                </c:pt>
                <c:pt idx="16">
                  <c:v>48.0</c:v>
                </c:pt>
              </c:numCache>
            </c:numRef>
          </c:xVal>
          <c:yVal>
            <c:numRef>
              <c:f>Metabolites!$L$25:$L$41</c:f>
              <c:numCache>
                <c:formatCode>0</c:formatCode>
                <c:ptCount val="17"/>
                <c:pt idx="0">
                  <c:v>1.652395284908745</c:v>
                </c:pt>
                <c:pt idx="1">
                  <c:v>2.238771365806222</c:v>
                </c:pt>
                <c:pt idx="2">
                  <c:v>3.138210043679968</c:v>
                </c:pt>
                <c:pt idx="3">
                  <c:v>5.015988650461465</c:v>
                </c:pt>
                <c:pt idx="4">
                  <c:v>8.491154692198428</c:v>
                </c:pt>
                <c:pt idx="5">
                  <c:v>13.58233198896856</c:v>
                </c:pt>
                <c:pt idx="6">
                  <c:v>19.62107218401989</c:v>
                </c:pt>
                <c:pt idx="7">
                  <c:v>26.78013042615338</c:v>
                </c:pt>
                <c:pt idx="8">
                  <c:v>31.80624527917185</c:v>
                </c:pt>
                <c:pt idx="9">
                  <c:v>32.9848945086019</c:v>
                </c:pt>
                <c:pt idx="10">
                  <c:v>33.6380862124163</c:v>
                </c:pt>
                <c:pt idx="11">
                  <c:v>33.78804393049167</c:v>
                </c:pt>
                <c:pt idx="12">
                  <c:v>31.61640209329361</c:v>
                </c:pt>
                <c:pt idx="13">
                  <c:v>34.33973132559057</c:v>
                </c:pt>
                <c:pt idx="14">
                  <c:v>35.03175497274378</c:v>
                </c:pt>
                <c:pt idx="15">
                  <c:v>36.03174061192891</c:v>
                </c:pt>
                <c:pt idx="16">
                  <c:v>37.52100435993498</c:v>
                </c:pt>
              </c:numCache>
            </c:numRef>
          </c:yVal>
          <c:smooth val="0"/>
        </c:ser>
        <c:ser>
          <c:idx val="10"/>
          <c:order val="8"/>
          <c:tx>
            <c:v>H2</c:v>
          </c:tx>
          <c:spPr>
            <a:ln>
              <a:solidFill>
                <a:schemeClr val="tx2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'H2'!$A$5:$A$101</c:f>
              <c:numCache>
                <c:formatCode>0.0</c:formatCode>
                <c:ptCount val="97"/>
                <c:pt idx="0">
                  <c:v>0.0</c:v>
                </c:pt>
                <c:pt idx="1">
                  <c:v>0.5</c:v>
                </c:pt>
                <c:pt idx="2">
                  <c:v>1.0</c:v>
                </c:pt>
                <c:pt idx="3">
                  <c:v>1.5</c:v>
                </c:pt>
                <c:pt idx="4">
                  <c:v>2.0</c:v>
                </c:pt>
                <c:pt idx="5">
                  <c:v>2.5</c:v>
                </c:pt>
                <c:pt idx="6">
                  <c:v>3.0</c:v>
                </c:pt>
                <c:pt idx="7">
                  <c:v>3.5</c:v>
                </c:pt>
                <c:pt idx="8">
                  <c:v>4.0</c:v>
                </c:pt>
                <c:pt idx="9">
                  <c:v>4.5</c:v>
                </c:pt>
                <c:pt idx="10">
                  <c:v>5.0</c:v>
                </c:pt>
                <c:pt idx="11">
                  <c:v>5.5</c:v>
                </c:pt>
                <c:pt idx="12">
                  <c:v>6.0</c:v>
                </c:pt>
                <c:pt idx="13">
                  <c:v>6.5</c:v>
                </c:pt>
                <c:pt idx="14">
                  <c:v>7.0</c:v>
                </c:pt>
                <c:pt idx="15">
                  <c:v>7.5</c:v>
                </c:pt>
                <c:pt idx="16">
                  <c:v>8.0</c:v>
                </c:pt>
                <c:pt idx="17">
                  <c:v>8.5</c:v>
                </c:pt>
                <c:pt idx="18">
                  <c:v>9.0</c:v>
                </c:pt>
                <c:pt idx="19">
                  <c:v>9.5</c:v>
                </c:pt>
                <c:pt idx="20">
                  <c:v>10.0</c:v>
                </c:pt>
                <c:pt idx="21">
                  <c:v>10.5</c:v>
                </c:pt>
                <c:pt idx="22">
                  <c:v>11.0</c:v>
                </c:pt>
                <c:pt idx="23">
                  <c:v>11.5</c:v>
                </c:pt>
                <c:pt idx="24">
                  <c:v>12.0</c:v>
                </c:pt>
                <c:pt idx="25">
                  <c:v>12.5</c:v>
                </c:pt>
                <c:pt idx="26">
                  <c:v>13.0</c:v>
                </c:pt>
                <c:pt idx="27">
                  <c:v>13.5</c:v>
                </c:pt>
                <c:pt idx="28">
                  <c:v>14.0</c:v>
                </c:pt>
                <c:pt idx="29">
                  <c:v>14.5</c:v>
                </c:pt>
                <c:pt idx="30">
                  <c:v>15.0</c:v>
                </c:pt>
                <c:pt idx="31">
                  <c:v>15.5</c:v>
                </c:pt>
                <c:pt idx="32">
                  <c:v>16.0</c:v>
                </c:pt>
                <c:pt idx="33">
                  <c:v>16.5</c:v>
                </c:pt>
                <c:pt idx="34">
                  <c:v>17.0</c:v>
                </c:pt>
                <c:pt idx="35">
                  <c:v>17.5</c:v>
                </c:pt>
                <c:pt idx="36">
                  <c:v>18.0</c:v>
                </c:pt>
                <c:pt idx="37">
                  <c:v>18.5</c:v>
                </c:pt>
                <c:pt idx="38">
                  <c:v>19.0</c:v>
                </c:pt>
                <c:pt idx="39">
                  <c:v>19.5</c:v>
                </c:pt>
                <c:pt idx="40">
                  <c:v>20.0</c:v>
                </c:pt>
                <c:pt idx="41">
                  <c:v>20.5</c:v>
                </c:pt>
                <c:pt idx="42">
                  <c:v>21.0</c:v>
                </c:pt>
                <c:pt idx="43">
                  <c:v>21.5</c:v>
                </c:pt>
                <c:pt idx="44">
                  <c:v>22.0</c:v>
                </c:pt>
                <c:pt idx="45">
                  <c:v>22.5</c:v>
                </c:pt>
                <c:pt idx="46">
                  <c:v>23.0</c:v>
                </c:pt>
                <c:pt idx="47">
                  <c:v>23.5</c:v>
                </c:pt>
                <c:pt idx="48">
                  <c:v>24.0</c:v>
                </c:pt>
                <c:pt idx="49">
                  <c:v>24.5</c:v>
                </c:pt>
                <c:pt idx="50">
                  <c:v>25.0</c:v>
                </c:pt>
                <c:pt idx="51">
                  <c:v>25.5</c:v>
                </c:pt>
                <c:pt idx="52">
                  <c:v>26.0</c:v>
                </c:pt>
                <c:pt idx="53">
                  <c:v>26.5</c:v>
                </c:pt>
                <c:pt idx="54">
                  <c:v>27.0</c:v>
                </c:pt>
                <c:pt idx="55">
                  <c:v>27.5</c:v>
                </c:pt>
                <c:pt idx="56">
                  <c:v>28.0</c:v>
                </c:pt>
                <c:pt idx="57">
                  <c:v>28.5</c:v>
                </c:pt>
                <c:pt idx="58">
                  <c:v>29.0</c:v>
                </c:pt>
                <c:pt idx="59">
                  <c:v>29.5</c:v>
                </c:pt>
                <c:pt idx="60">
                  <c:v>30.0</c:v>
                </c:pt>
                <c:pt idx="61">
                  <c:v>30.5</c:v>
                </c:pt>
                <c:pt idx="62">
                  <c:v>31.0</c:v>
                </c:pt>
                <c:pt idx="63">
                  <c:v>31.5</c:v>
                </c:pt>
                <c:pt idx="64">
                  <c:v>32.0</c:v>
                </c:pt>
                <c:pt idx="65">
                  <c:v>32.5</c:v>
                </c:pt>
                <c:pt idx="66">
                  <c:v>33.0</c:v>
                </c:pt>
                <c:pt idx="67">
                  <c:v>33.5</c:v>
                </c:pt>
                <c:pt idx="68">
                  <c:v>34.0</c:v>
                </c:pt>
                <c:pt idx="69">
                  <c:v>34.5</c:v>
                </c:pt>
                <c:pt idx="70">
                  <c:v>35.0</c:v>
                </c:pt>
                <c:pt idx="71">
                  <c:v>35.5</c:v>
                </c:pt>
                <c:pt idx="72">
                  <c:v>36.0</c:v>
                </c:pt>
                <c:pt idx="73">
                  <c:v>36.5</c:v>
                </c:pt>
                <c:pt idx="74">
                  <c:v>37.0</c:v>
                </c:pt>
                <c:pt idx="75">
                  <c:v>37.5</c:v>
                </c:pt>
                <c:pt idx="76">
                  <c:v>38.0</c:v>
                </c:pt>
                <c:pt idx="77">
                  <c:v>38.5</c:v>
                </c:pt>
                <c:pt idx="78">
                  <c:v>39.0</c:v>
                </c:pt>
                <c:pt idx="79">
                  <c:v>39.5</c:v>
                </c:pt>
                <c:pt idx="80">
                  <c:v>40.0</c:v>
                </c:pt>
                <c:pt idx="81">
                  <c:v>40.5</c:v>
                </c:pt>
                <c:pt idx="82">
                  <c:v>41.0</c:v>
                </c:pt>
                <c:pt idx="83">
                  <c:v>41.5</c:v>
                </c:pt>
                <c:pt idx="84">
                  <c:v>42.0</c:v>
                </c:pt>
                <c:pt idx="85">
                  <c:v>42.5</c:v>
                </c:pt>
                <c:pt idx="86">
                  <c:v>43.0</c:v>
                </c:pt>
                <c:pt idx="87">
                  <c:v>43.5</c:v>
                </c:pt>
                <c:pt idx="88">
                  <c:v>44.0</c:v>
                </c:pt>
                <c:pt idx="89">
                  <c:v>44.5</c:v>
                </c:pt>
                <c:pt idx="90">
                  <c:v>45.0</c:v>
                </c:pt>
                <c:pt idx="91">
                  <c:v>45.5</c:v>
                </c:pt>
                <c:pt idx="92">
                  <c:v>46.0</c:v>
                </c:pt>
                <c:pt idx="93">
                  <c:v>46.5</c:v>
                </c:pt>
                <c:pt idx="94">
                  <c:v>47.0</c:v>
                </c:pt>
                <c:pt idx="95">
                  <c:v>47.5</c:v>
                </c:pt>
                <c:pt idx="96">
                  <c:v>48.0</c:v>
                </c:pt>
              </c:numCache>
            </c:numRef>
          </c:xVal>
          <c:yVal>
            <c:numRef>
              <c:f>'H2'!$G$5:$G$101</c:f>
              <c:numCache>
                <c:formatCode>0.0</c:formatCode>
                <c:ptCount val="97"/>
                <c:pt idx="0">
                  <c:v>0.128473494405888</c:v>
                </c:pt>
                <c:pt idx="1">
                  <c:v>0.528782764817416</c:v>
                </c:pt>
                <c:pt idx="2">
                  <c:v>1.10647914118577</c:v>
                </c:pt>
                <c:pt idx="3">
                  <c:v>1.435602089064056</c:v>
                </c:pt>
                <c:pt idx="4">
                  <c:v>1.876664012427764</c:v>
                </c:pt>
                <c:pt idx="5">
                  <c:v>2.772593348724242</c:v>
                </c:pt>
                <c:pt idx="6">
                  <c:v>3.916092640589851</c:v>
                </c:pt>
                <c:pt idx="7">
                  <c:v>5.485345981975516</c:v>
                </c:pt>
                <c:pt idx="8">
                  <c:v>7.644661973447029</c:v>
                </c:pt>
                <c:pt idx="9">
                  <c:v>10.33017656137137</c:v>
                </c:pt>
                <c:pt idx="10">
                  <c:v>13.20697637761188</c:v>
                </c:pt>
                <c:pt idx="11">
                  <c:v>16.16467653382223</c:v>
                </c:pt>
                <c:pt idx="12">
                  <c:v>19.40961161864648</c:v>
                </c:pt>
                <c:pt idx="13">
                  <c:v>22.9213918157819</c:v>
                </c:pt>
                <c:pt idx="14">
                  <c:v>26.49051430263253</c:v>
                </c:pt>
                <c:pt idx="15">
                  <c:v>30.07146894585261</c:v>
                </c:pt>
                <c:pt idx="16">
                  <c:v>33.37192760305335</c:v>
                </c:pt>
                <c:pt idx="17">
                  <c:v>36.08359165587277</c:v>
                </c:pt>
                <c:pt idx="18">
                  <c:v>38.69384788769359</c:v>
                </c:pt>
                <c:pt idx="19">
                  <c:v>41.53405151093757</c:v>
                </c:pt>
                <c:pt idx="20">
                  <c:v>44.60357877175882</c:v>
                </c:pt>
                <c:pt idx="21">
                  <c:v>47.87352023813227</c:v>
                </c:pt>
                <c:pt idx="22">
                  <c:v>50.2828927761262</c:v>
                </c:pt>
                <c:pt idx="23">
                  <c:v>51.5181830921172</c:v>
                </c:pt>
                <c:pt idx="24">
                  <c:v>52.34023425293852</c:v>
                </c:pt>
                <c:pt idx="25">
                  <c:v>53.10448958988664</c:v>
                </c:pt>
                <c:pt idx="26">
                  <c:v>53.81471921833352</c:v>
                </c:pt>
                <c:pt idx="27">
                  <c:v>54.3975607000915</c:v>
                </c:pt>
                <c:pt idx="28">
                  <c:v>54.86162744118046</c:v>
                </c:pt>
                <c:pt idx="29">
                  <c:v>55.27264687723649</c:v>
                </c:pt>
                <c:pt idx="30">
                  <c:v>55.67207272226072</c:v>
                </c:pt>
                <c:pt idx="31">
                  <c:v>56.0181849905001</c:v>
                </c:pt>
                <c:pt idx="32">
                  <c:v>56.31385447372325</c:v>
                </c:pt>
                <c:pt idx="33">
                  <c:v>56.54339495664616</c:v>
                </c:pt>
                <c:pt idx="34">
                  <c:v>56.71710673209561</c:v>
                </c:pt>
                <c:pt idx="35">
                  <c:v>56.79210511665108</c:v>
                </c:pt>
                <c:pt idx="36">
                  <c:v>56.82447783230384</c:v>
                </c:pt>
                <c:pt idx="37">
                  <c:v>56.87830990833368</c:v>
                </c:pt>
                <c:pt idx="38">
                  <c:v>56.914811950161</c:v>
                </c:pt>
                <c:pt idx="39">
                  <c:v>56.94387091571055</c:v>
                </c:pt>
                <c:pt idx="40">
                  <c:v>56.97191491631313</c:v>
                </c:pt>
                <c:pt idx="41">
                  <c:v>56.99890636067442</c:v>
                </c:pt>
                <c:pt idx="42">
                  <c:v>57.02683758739401</c:v>
                </c:pt>
                <c:pt idx="43">
                  <c:v>57.05488158799659</c:v>
                </c:pt>
                <c:pt idx="44">
                  <c:v>57.0840157361348</c:v>
                </c:pt>
                <c:pt idx="45">
                  <c:v>57.11269878874104</c:v>
                </c:pt>
                <c:pt idx="46">
                  <c:v>57.1436373190072</c:v>
                </c:pt>
                <c:pt idx="47">
                  <c:v>57.1829211166151</c:v>
                </c:pt>
                <c:pt idx="48">
                  <c:v>57.2298660422786</c:v>
                </c:pt>
                <c:pt idx="49">
                  <c:v>57.28448243801578</c:v>
                </c:pt>
                <c:pt idx="50">
                  <c:v>57.34087462531901</c:v>
                </c:pt>
                <c:pt idx="51">
                  <c:v>57.39742466076144</c:v>
                </c:pt>
                <c:pt idx="52">
                  <c:v>57.45113342969819</c:v>
                </c:pt>
                <c:pt idx="53">
                  <c:v>57.5007381470156</c:v>
                </c:pt>
                <c:pt idx="54">
                  <c:v>57.55136887723786</c:v>
                </c:pt>
                <c:pt idx="55">
                  <c:v>57.605393342453</c:v>
                </c:pt>
                <c:pt idx="56">
                  <c:v>57.66194337789545</c:v>
                </c:pt>
                <c:pt idx="57">
                  <c:v>57.7160073051454</c:v>
                </c:pt>
                <c:pt idx="58">
                  <c:v>57.76888737135133</c:v>
                </c:pt>
                <c:pt idx="59">
                  <c:v>57.82220151994006</c:v>
                </c:pt>
                <c:pt idx="60">
                  <c:v>57.87548060218128</c:v>
                </c:pt>
                <c:pt idx="61">
                  <c:v>57.93148953843296</c:v>
                </c:pt>
                <c:pt idx="62">
                  <c:v>57.98513313221675</c:v>
                </c:pt>
                <c:pt idx="63">
                  <c:v>58.03037131258788</c:v>
                </c:pt>
                <c:pt idx="64">
                  <c:v>58.07244162358238</c:v>
                </c:pt>
                <c:pt idx="65">
                  <c:v>58.11379388418483</c:v>
                </c:pt>
                <c:pt idx="66">
                  <c:v>58.1551461447873</c:v>
                </c:pt>
                <c:pt idx="67">
                  <c:v>58.19725869404014</c:v>
                </c:pt>
                <c:pt idx="68">
                  <c:v>58.23366907841505</c:v>
                </c:pt>
                <c:pt idx="69">
                  <c:v>58.269488127173</c:v>
                </c:pt>
                <c:pt idx="70">
                  <c:v>58.30606746458133</c:v>
                </c:pt>
                <c:pt idx="71">
                  <c:v>58.33812730834567</c:v>
                </c:pt>
                <c:pt idx="72">
                  <c:v>58.36921567216784</c:v>
                </c:pt>
                <c:pt idx="73">
                  <c:v>58.3960802101545</c:v>
                </c:pt>
                <c:pt idx="74">
                  <c:v>58.42336713072471</c:v>
                </c:pt>
                <c:pt idx="75">
                  <c:v>58.45382192067156</c:v>
                </c:pt>
                <c:pt idx="76">
                  <c:v>58.4841922341017</c:v>
                </c:pt>
                <c:pt idx="77">
                  <c:v>58.51291525545597</c:v>
                </c:pt>
                <c:pt idx="78">
                  <c:v>58.5395263638925</c:v>
                </c:pt>
                <c:pt idx="79">
                  <c:v>58.56334924444118</c:v>
                </c:pt>
                <c:pt idx="80">
                  <c:v>58.58670750414796</c:v>
                </c:pt>
                <c:pt idx="81">
                  <c:v>58.61251608567574</c:v>
                </c:pt>
                <c:pt idx="82">
                  <c:v>58.6376910933282</c:v>
                </c:pt>
                <c:pt idx="83">
                  <c:v>58.66054249393472</c:v>
                </c:pt>
                <c:pt idx="84">
                  <c:v>58.68199952917911</c:v>
                </c:pt>
                <c:pt idx="85">
                  <c:v>58.70624479231135</c:v>
                </c:pt>
                <c:pt idx="86">
                  <c:v>58.7343342397903</c:v>
                </c:pt>
                <c:pt idx="87">
                  <c:v>58.76293054636951</c:v>
                </c:pt>
                <c:pt idx="88">
                  <c:v>58.79304743024952</c:v>
                </c:pt>
                <c:pt idx="89">
                  <c:v>58.82096792469506</c:v>
                </c:pt>
                <c:pt idx="90">
                  <c:v>58.84491802285522</c:v>
                </c:pt>
                <c:pt idx="91">
                  <c:v>58.86819180604529</c:v>
                </c:pt>
                <c:pt idx="92">
                  <c:v>58.88888855263929</c:v>
                </c:pt>
                <c:pt idx="93">
                  <c:v>58.90776905412402</c:v>
                </c:pt>
                <c:pt idx="94">
                  <c:v>58.9270719381923</c:v>
                </c:pt>
                <c:pt idx="95">
                  <c:v>58.94772644652794</c:v>
                </c:pt>
                <c:pt idx="96">
                  <c:v>58.96972607057892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7363432"/>
        <c:axId val="-2077357800"/>
      </c:scatterChart>
      <c:scatterChart>
        <c:scatterStyle val="lineMarker"/>
        <c:varyColors val="0"/>
        <c:ser>
          <c:idx val="8"/>
          <c:order val="6"/>
          <c:tx>
            <c:v>CFU (log/ml)</c:v>
          </c:tx>
          <c:spPr>
            <a:ln>
              <a:solidFill>
                <a:schemeClr val="accent2">
                  <a:lumMod val="60000"/>
                  <a:lumOff val="40000"/>
                </a:schemeClr>
              </a:solidFill>
            </a:ln>
          </c:spPr>
          <c:marker>
            <c:symbol val="circle"/>
            <c:size val="8"/>
            <c:spPr>
              <a:solidFill>
                <a:schemeClr val="bg1"/>
              </a:solidFill>
              <a:ln w="25400"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</c:marker>
          <c:xVal>
            <c:numRef>
              <c:f>'Plate Count'!#REF!</c:f>
            </c:numRef>
          </c:xVal>
          <c:yVal>
            <c:numRef>
              <c:f>'Flow cytometer'!$N$4:$N$13</c:f>
              <c:numCache>
                <c:formatCode>General</c:formatCode>
                <c:ptCount val="10"/>
                <c:pt idx="0">
                  <c:v>9127.0</c:v>
                </c:pt>
                <c:pt idx="1">
                  <c:v>11964.0</c:v>
                </c:pt>
                <c:pt idx="2">
                  <c:v>19638.0</c:v>
                </c:pt>
                <c:pt idx="3">
                  <c:v>3976.0</c:v>
                </c:pt>
                <c:pt idx="4">
                  <c:v>5248.0</c:v>
                </c:pt>
                <c:pt idx="5">
                  <c:v>15256.0</c:v>
                </c:pt>
                <c:pt idx="6">
                  <c:v>22325.0</c:v>
                </c:pt>
                <c:pt idx="7">
                  <c:v>30632.0</c:v>
                </c:pt>
                <c:pt idx="8">
                  <c:v>46209.0</c:v>
                </c:pt>
                <c:pt idx="9">
                  <c:v>40227.0</c:v>
                </c:pt>
              </c:numCache>
            </c:numRef>
          </c:yVal>
          <c:smooth val="0"/>
        </c:ser>
        <c:ser>
          <c:idx val="9"/>
          <c:order val="7"/>
          <c:tx>
            <c:v>count (log (count/ml))</c:v>
          </c:tx>
          <c:spPr>
            <a:ln>
              <a:solidFill>
                <a:srgbClr val="7030A0"/>
              </a:solidFill>
            </a:ln>
          </c:spPr>
          <c:marker>
            <c:symbol val="circle"/>
            <c:size val="8"/>
            <c:spPr>
              <a:solidFill>
                <a:sysClr val="window" lastClr="FFFFFF"/>
              </a:solidFill>
              <a:ln w="25400">
                <a:solidFill>
                  <a:srgbClr val="7030A0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'Flow cytometer'!$X$4:$X$20</c:f>
                <c:numCache>
                  <c:formatCode>General</c:formatCode>
                  <c:ptCount val="17"/>
                  <c:pt idx="0">
                    <c:v>0.0490253955693962</c:v>
                  </c:pt>
                  <c:pt idx="1">
                    <c:v>0.0223921761537583</c:v>
                  </c:pt>
                  <c:pt idx="2">
                    <c:v>0.0458145104792982</c:v>
                  </c:pt>
                  <c:pt idx="3">
                    <c:v>0.0262970868233624</c:v>
                  </c:pt>
                  <c:pt idx="4">
                    <c:v>0.0291378898453264</c:v>
                  </c:pt>
                  <c:pt idx="5">
                    <c:v>0.0227644951925308</c:v>
                  </c:pt>
                  <c:pt idx="6">
                    <c:v>0.023782073652165</c:v>
                  </c:pt>
                  <c:pt idx="7">
                    <c:v>0.00873615431207937</c:v>
                  </c:pt>
                  <c:pt idx="8">
                    <c:v>0.0554604176310354</c:v>
                  </c:pt>
                  <c:pt idx="9">
                    <c:v>0.0290668262310738</c:v>
                  </c:pt>
                  <c:pt idx="10">
                    <c:v>0.0210219962647899</c:v>
                  </c:pt>
                  <c:pt idx="11">
                    <c:v>0.0246000605690852</c:v>
                  </c:pt>
                  <c:pt idx="12">
                    <c:v>0.051178907640718</c:v>
                  </c:pt>
                  <c:pt idx="13">
                    <c:v>0.0407867837225403</c:v>
                  </c:pt>
                  <c:pt idx="14">
                    <c:v>0.0359963342509221</c:v>
                  </c:pt>
                  <c:pt idx="15">
                    <c:v>0.0133620341804028</c:v>
                  </c:pt>
                  <c:pt idx="16">
                    <c:v>0.0622159105565735</c:v>
                  </c:pt>
                </c:numCache>
              </c:numRef>
            </c:plus>
            <c:minus>
              <c:numRef>
                <c:f>'Flow cytometer'!$X$4:$X$20</c:f>
                <c:numCache>
                  <c:formatCode>General</c:formatCode>
                  <c:ptCount val="17"/>
                  <c:pt idx="0">
                    <c:v>0.0490253955693962</c:v>
                  </c:pt>
                  <c:pt idx="1">
                    <c:v>0.0223921761537583</c:v>
                  </c:pt>
                  <c:pt idx="2">
                    <c:v>0.0458145104792982</c:v>
                  </c:pt>
                  <c:pt idx="3">
                    <c:v>0.0262970868233624</c:v>
                  </c:pt>
                  <c:pt idx="4">
                    <c:v>0.0291378898453264</c:v>
                  </c:pt>
                  <c:pt idx="5">
                    <c:v>0.0227644951925308</c:v>
                  </c:pt>
                  <c:pt idx="6">
                    <c:v>0.023782073652165</c:v>
                  </c:pt>
                  <c:pt idx="7">
                    <c:v>0.00873615431207937</c:v>
                  </c:pt>
                  <c:pt idx="8">
                    <c:v>0.0554604176310354</c:v>
                  </c:pt>
                  <c:pt idx="9">
                    <c:v>0.0290668262310738</c:v>
                  </c:pt>
                  <c:pt idx="10">
                    <c:v>0.0210219962647899</c:v>
                  </c:pt>
                  <c:pt idx="11">
                    <c:v>0.0246000605690852</c:v>
                  </c:pt>
                  <c:pt idx="12">
                    <c:v>0.051178907640718</c:v>
                  </c:pt>
                  <c:pt idx="13">
                    <c:v>0.0407867837225403</c:v>
                  </c:pt>
                  <c:pt idx="14">
                    <c:v>0.0359963342509221</c:v>
                  </c:pt>
                  <c:pt idx="15">
                    <c:v>0.0133620341804028</c:v>
                  </c:pt>
                  <c:pt idx="16">
                    <c:v>0.0622159105565735</c:v>
                  </c:pt>
                </c:numCache>
              </c:numRef>
            </c:minus>
          </c:errBars>
          <c:xVal>
            <c:numRef>
              <c:f>'Flow cytometer'!$D$4:$D$20</c:f>
              <c:numCache>
                <c:formatCode>0</c:formatCode>
                <c:ptCount val="17"/>
                <c:pt idx="0">
                  <c:v>0.166666666666667</c:v>
                </c:pt>
                <c:pt idx="1">
                  <c:v>2.0</c:v>
                </c:pt>
                <c:pt idx="2">
                  <c:v>3.333333333333333</c:v>
                </c:pt>
                <c:pt idx="3">
                  <c:v>4.666666666666667</c:v>
                </c:pt>
                <c:pt idx="4">
                  <c:v>6.0</c:v>
                </c:pt>
                <c:pt idx="5">
                  <c:v>7.333333333333332</c:v>
                </c:pt>
                <c:pt idx="6">
                  <c:v>8.666666666666665</c:v>
                </c:pt>
                <c:pt idx="7">
                  <c:v>10.0</c:v>
                </c:pt>
                <c:pt idx="8">
                  <c:v>11.33333333333333</c:v>
                </c:pt>
                <c:pt idx="9">
                  <c:v>12.66666666666667</c:v>
                </c:pt>
                <c:pt idx="10">
                  <c:v>14.0</c:v>
                </c:pt>
                <c:pt idx="11">
                  <c:v>15.33333333333333</c:v>
                </c:pt>
                <c:pt idx="12">
                  <c:v>16.66666666666667</c:v>
                </c:pt>
                <c:pt idx="13">
                  <c:v>18.0</c:v>
                </c:pt>
                <c:pt idx="14">
                  <c:v>24.0</c:v>
                </c:pt>
                <c:pt idx="15">
                  <c:v>30.0</c:v>
                </c:pt>
                <c:pt idx="16">
                  <c:v>48.0</c:v>
                </c:pt>
              </c:numCache>
            </c:numRef>
          </c:xVal>
          <c:yVal>
            <c:numRef>
              <c:f>'Flow cytometer'!$S$4:$S$20</c:f>
              <c:numCache>
                <c:formatCode>0.00</c:formatCode>
                <c:ptCount val="17"/>
                <c:pt idx="0">
                  <c:v>8.093473509721663</c:v>
                </c:pt>
                <c:pt idx="1">
                  <c:v>8.22153335322336</c:v>
                </c:pt>
                <c:pt idx="2">
                  <c:v>8.446467280056758</c:v>
                </c:pt>
                <c:pt idx="3">
                  <c:v>8.774704400341962</c:v>
                </c:pt>
                <c:pt idx="4">
                  <c:v>8.884659001784171</c:v>
                </c:pt>
                <c:pt idx="5">
                  <c:v>9.331047125163227</c:v>
                </c:pt>
                <c:pt idx="6">
                  <c:v>9.552586948587318</c:v>
                </c:pt>
                <c:pt idx="7">
                  <c:v>9.668688066463625</c:v>
                </c:pt>
                <c:pt idx="8">
                  <c:v>9.79546861932391</c:v>
                </c:pt>
                <c:pt idx="9">
                  <c:v>9.788173996008659</c:v>
                </c:pt>
                <c:pt idx="10">
                  <c:v>9.810400486455433</c:v>
                </c:pt>
                <c:pt idx="11">
                  <c:v>9.805824510445324</c:v>
                </c:pt>
                <c:pt idx="12">
                  <c:v>9.768825849699157</c:v>
                </c:pt>
                <c:pt idx="13">
                  <c:v>9.815778176635154</c:v>
                </c:pt>
                <c:pt idx="14">
                  <c:v>9.841439894674005</c:v>
                </c:pt>
                <c:pt idx="15">
                  <c:v>9.65226880523299</c:v>
                </c:pt>
                <c:pt idx="16">
                  <c:v>9.36152658014029</c:v>
                </c:pt>
              </c:numCache>
            </c:numRef>
          </c:yVal>
          <c:smooth val="0"/>
        </c:ser>
        <c:ser>
          <c:idx val="5"/>
          <c:order val="9"/>
          <c:tx>
            <c:v>qPCR RI</c:v>
          </c:tx>
          <c:marker>
            <c:symbol val="circle"/>
            <c:size val="8"/>
          </c:marker>
          <c:errBars>
            <c:errDir val="y"/>
            <c:errBarType val="both"/>
            <c:errValType val="cust"/>
            <c:noEndCap val="0"/>
            <c:plus>
              <c:numRef>
                <c:f>'Determination cell counts RI'!$S$4:$S$20</c:f>
                <c:numCache>
                  <c:formatCode>General</c:formatCode>
                  <c:ptCount val="17"/>
                  <c:pt idx="0">
                    <c:v>0.0366251001379482</c:v>
                  </c:pt>
                  <c:pt idx="1">
                    <c:v>0.066396877899172</c:v>
                  </c:pt>
                  <c:pt idx="2">
                    <c:v>0.0171533755168148</c:v>
                  </c:pt>
                  <c:pt idx="3">
                    <c:v>0.0742273099973728</c:v>
                  </c:pt>
                  <c:pt idx="4">
                    <c:v>0.0727017480712713</c:v>
                  </c:pt>
                  <c:pt idx="5">
                    <c:v>0.0732632642361089</c:v>
                  </c:pt>
                  <c:pt idx="6">
                    <c:v>0.0497750511062518</c:v>
                  </c:pt>
                  <c:pt idx="7">
                    <c:v>0.0167306501372057</c:v>
                  </c:pt>
                  <c:pt idx="8">
                    <c:v>0.027432477497983</c:v>
                  </c:pt>
                  <c:pt idx="9">
                    <c:v>0.0462159685448709</c:v>
                  </c:pt>
                  <c:pt idx="10">
                    <c:v>0.0297673429639762</c:v>
                  </c:pt>
                  <c:pt idx="11">
                    <c:v>0.0509841541241139</c:v>
                  </c:pt>
                  <c:pt idx="12">
                    <c:v>0.0303983753280737</c:v>
                  </c:pt>
                  <c:pt idx="13">
                    <c:v>0.0489217410608492</c:v>
                  </c:pt>
                  <c:pt idx="14">
                    <c:v>0.0415641142981107</c:v>
                  </c:pt>
                  <c:pt idx="15">
                    <c:v>0.0730985281479466</c:v>
                  </c:pt>
                  <c:pt idx="16">
                    <c:v>0.202522380121497</c:v>
                  </c:pt>
                </c:numCache>
              </c:numRef>
            </c:plus>
            <c:minus>
              <c:numRef>
                <c:f>'Determination cell counts RI'!$S$4:$S$20</c:f>
                <c:numCache>
                  <c:formatCode>General</c:formatCode>
                  <c:ptCount val="17"/>
                  <c:pt idx="0">
                    <c:v>0.0366251001379482</c:v>
                  </c:pt>
                  <c:pt idx="1">
                    <c:v>0.066396877899172</c:v>
                  </c:pt>
                  <c:pt idx="2">
                    <c:v>0.0171533755168148</c:v>
                  </c:pt>
                  <c:pt idx="3">
                    <c:v>0.0742273099973728</c:v>
                  </c:pt>
                  <c:pt idx="4">
                    <c:v>0.0727017480712713</c:v>
                  </c:pt>
                  <c:pt idx="5">
                    <c:v>0.0732632642361089</c:v>
                  </c:pt>
                  <c:pt idx="6">
                    <c:v>0.0497750511062518</c:v>
                  </c:pt>
                  <c:pt idx="7">
                    <c:v>0.0167306501372057</c:v>
                  </c:pt>
                  <c:pt idx="8">
                    <c:v>0.027432477497983</c:v>
                  </c:pt>
                  <c:pt idx="9">
                    <c:v>0.0462159685448709</c:v>
                  </c:pt>
                  <c:pt idx="10">
                    <c:v>0.0297673429639762</c:v>
                  </c:pt>
                  <c:pt idx="11">
                    <c:v>0.0509841541241139</c:v>
                  </c:pt>
                  <c:pt idx="12">
                    <c:v>0.0303983753280737</c:v>
                  </c:pt>
                  <c:pt idx="13">
                    <c:v>0.0489217410608492</c:v>
                  </c:pt>
                  <c:pt idx="14">
                    <c:v>0.0415641142981107</c:v>
                  </c:pt>
                  <c:pt idx="15">
                    <c:v>0.0730985281479466</c:v>
                  </c:pt>
                  <c:pt idx="16">
                    <c:v>0.202522380121497</c:v>
                  </c:pt>
                </c:numCache>
              </c:numRef>
            </c:minus>
          </c:errBars>
          <c:xVal>
            <c:numRef>
              <c:f>'Determination cell counts RI'!$D$4:$D$20</c:f>
              <c:numCache>
                <c:formatCode>0</c:formatCode>
                <c:ptCount val="17"/>
                <c:pt idx="0">
                  <c:v>0.166666666666667</c:v>
                </c:pt>
                <c:pt idx="1">
                  <c:v>2.0</c:v>
                </c:pt>
                <c:pt idx="2">
                  <c:v>3.333333333333333</c:v>
                </c:pt>
                <c:pt idx="3">
                  <c:v>4.666666666666667</c:v>
                </c:pt>
                <c:pt idx="4">
                  <c:v>6.0</c:v>
                </c:pt>
                <c:pt idx="5">
                  <c:v>7.333333333333332</c:v>
                </c:pt>
                <c:pt idx="6">
                  <c:v>8.666666666666665</c:v>
                </c:pt>
                <c:pt idx="7">
                  <c:v>10.0</c:v>
                </c:pt>
                <c:pt idx="8">
                  <c:v>11.33333333333333</c:v>
                </c:pt>
                <c:pt idx="9">
                  <c:v>12.66666666666667</c:v>
                </c:pt>
                <c:pt idx="10">
                  <c:v>14.0</c:v>
                </c:pt>
                <c:pt idx="11">
                  <c:v>15.33333333333333</c:v>
                </c:pt>
                <c:pt idx="12">
                  <c:v>16.66666666666667</c:v>
                </c:pt>
                <c:pt idx="13">
                  <c:v>18.0</c:v>
                </c:pt>
                <c:pt idx="14">
                  <c:v>24.0</c:v>
                </c:pt>
                <c:pt idx="15">
                  <c:v>30.0</c:v>
                </c:pt>
                <c:pt idx="16">
                  <c:v>48.0</c:v>
                </c:pt>
              </c:numCache>
            </c:numRef>
          </c:xVal>
          <c:yVal>
            <c:numRef>
              <c:f>'Determination cell counts RI'!$R$4:$R$20</c:f>
              <c:numCache>
                <c:formatCode>0.00</c:formatCode>
                <c:ptCount val="17"/>
                <c:pt idx="0">
                  <c:v>8.273754794600012</c:v>
                </c:pt>
                <c:pt idx="1">
                  <c:v>8.416233188738928</c:v>
                </c:pt>
                <c:pt idx="2">
                  <c:v>8.50293603769669</c:v>
                </c:pt>
                <c:pt idx="3">
                  <c:v>8.7566554828665</c:v>
                </c:pt>
                <c:pt idx="4">
                  <c:v>9.067954021759835</c:v>
                </c:pt>
                <c:pt idx="5">
                  <c:v>9.351173684999935</c:v>
                </c:pt>
                <c:pt idx="6">
                  <c:v>9.50907769108437</c:v>
                </c:pt>
                <c:pt idx="7">
                  <c:v>9.680651750489683</c:v>
                </c:pt>
                <c:pt idx="8">
                  <c:v>9.700205313319525</c:v>
                </c:pt>
                <c:pt idx="9">
                  <c:v>9.686014921213589</c:v>
                </c:pt>
                <c:pt idx="10">
                  <c:v>9.692287400488943</c:v>
                </c:pt>
                <c:pt idx="11">
                  <c:v>9.625544845793472</c:v>
                </c:pt>
                <c:pt idx="12">
                  <c:v>9.629952065341808</c:v>
                </c:pt>
                <c:pt idx="13">
                  <c:v>9.602292222018098</c:v>
                </c:pt>
                <c:pt idx="14">
                  <c:v>9.742561649897434</c:v>
                </c:pt>
                <c:pt idx="15">
                  <c:v>9.458197832403557</c:v>
                </c:pt>
                <c:pt idx="16">
                  <c:v>9.093059185678612</c:v>
                </c:pt>
              </c:numCache>
            </c:numRef>
          </c:yVal>
          <c:smooth val="0"/>
        </c:ser>
        <c:ser>
          <c:idx val="7"/>
          <c:order val="10"/>
          <c:tx>
            <c:v>qPCR FP</c:v>
          </c:tx>
          <c:spPr>
            <a:ln>
              <a:solidFill>
                <a:srgbClr val="0000FF"/>
              </a:solidFill>
            </a:ln>
          </c:spPr>
          <c:marker>
            <c:symbol val="circle"/>
            <c:size val="8"/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'Determination cell counts FP'!$S$4:$S$20</c:f>
                <c:numCache>
                  <c:formatCode>General</c:formatCode>
                  <c:ptCount val="17"/>
                  <c:pt idx="0">
                    <c:v>0.0470894327058615</c:v>
                  </c:pt>
                  <c:pt idx="1">
                    <c:v>0.0547910515276641</c:v>
                  </c:pt>
                  <c:pt idx="2">
                    <c:v>0.0784511956406218</c:v>
                  </c:pt>
                  <c:pt idx="3">
                    <c:v>0.0330134628746791</c:v>
                  </c:pt>
                  <c:pt idx="4">
                    <c:v>0.119981795085972</c:v>
                  </c:pt>
                  <c:pt idx="5">
                    <c:v>0.0524056695398703</c:v>
                  </c:pt>
                  <c:pt idx="6">
                    <c:v>0.102868835791107</c:v>
                  </c:pt>
                  <c:pt idx="7">
                    <c:v>0.00567006321198051</c:v>
                  </c:pt>
                  <c:pt idx="8">
                    <c:v>0.0464863786550715</c:v>
                  </c:pt>
                  <c:pt idx="9">
                    <c:v>0.0295312235396851</c:v>
                  </c:pt>
                  <c:pt idx="10">
                    <c:v>0.0394414775541736</c:v>
                  </c:pt>
                  <c:pt idx="11">
                    <c:v>0.0442865217919713</c:v>
                  </c:pt>
                  <c:pt idx="12">
                    <c:v>0.028073027745404</c:v>
                  </c:pt>
                  <c:pt idx="13">
                    <c:v>0.0259913138875397</c:v>
                  </c:pt>
                  <c:pt idx="14">
                    <c:v>0.0503788602084848</c:v>
                  </c:pt>
                  <c:pt idx="15">
                    <c:v>0.0259497524409892</c:v>
                  </c:pt>
                  <c:pt idx="16">
                    <c:v>0.123124200994801</c:v>
                  </c:pt>
                </c:numCache>
              </c:numRef>
            </c:plus>
            <c:minus>
              <c:numRef>
                <c:f>'Determination cell counts FP'!$S$4:$S$20</c:f>
                <c:numCache>
                  <c:formatCode>General</c:formatCode>
                  <c:ptCount val="17"/>
                  <c:pt idx="0">
                    <c:v>0.0470894327058615</c:v>
                  </c:pt>
                  <c:pt idx="1">
                    <c:v>0.0547910515276641</c:v>
                  </c:pt>
                  <c:pt idx="2">
                    <c:v>0.0784511956406218</c:v>
                  </c:pt>
                  <c:pt idx="3">
                    <c:v>0.0330134628746791</c:v>
                  </c:pt>
                  <c:pt idx="4">
                    <c:v>0.119981795085972</c:v>
                  </c:pt>
                  <c:pt idx="5">
                    <c:v>0.0524056695398703</c:v>
                  </c:pt>
                  <c:pt idx="6">
                    <c:v>0.102868835791107</c:v>
                  </c:pt>
                  <c:pt idx="7">
                    <c:v>0.00567006321198051</c:v>
                  </c:pt>
                  <c:pt idx="8">
                    <c:v>0.0464863786550715</c:v>
                  </c:pt>
                  <c:pt idx="9">
                    <c:v>0.0295312235396851</c:v>
                  </c:pt>
                  <c:pt idx="10">
                    <c:v>0.0394414775541736</c:v>
                  </c:pt>
                  <c:pt idx="11">
                    <c:v>0.0442865217919713</c:v>
                  </c:pt>
                  <c:pt idx="12">
                    <c:v>0.028073027745404</c:v>
                  </c:pt>
                  <c:pt idx="13">
                    <c:v>0.0259913138875397</c:v>
                  </c:pt>
                  <c:pt idx="14">
                    <c:v>0.0503788602084848</c:v>
                  </c:pt>
                  <c:pt idx="15">
                    <c:v>0.0259497524409892</c:v>
                  </c:pt>
                  <c:pt idx="16">
                    <c:v>0.123124200994801</c:v>
                  </c:pt>
                </c:numCache>
              </c:numRef>
            </c:minus>
          </c:errBars>
          <c:xVal>
            <c:numRef>
              <c:f>'Determination cell counts FP'!$D$4:$D$20</c:f>
              <c:numCache>
                <c:formatCode>0</c:formatCode>
                <c:ptCount val="17"/>
                <c:pt idx="0">
                  <c:v>0.166666666666667</c:v>
                </c:pt>
                <c:pt idx="1">
                  <c:v>2.0</c:v>
                </c:pt>
                <c:pt idx="2">
                  <c:v>3.333333333333333</c:v>
                </c:pt>
                <c:pt idx="3">
                  <c:v>4.666666666666667</c:v>
                </c:pt>
                <c:pt idx="4">
                  <c:v>6.0</c:v>
                </c:pt>
                <c:pt idx="5">
                  <c:v>7.333333333333332</c:v>
                </c:pt>
                <c:pt idx="6">
                  <c:v>8.666666666666665</c:v>
                </c:pt>
                <c:pt idx="7">
                  <c:v>10.0</c:v>
                </c:pt>
                <c:pt idx="8">
                  <c:v>11.33333333333333</c:v>
                </c:pt>
                <c:pt idx="9">
                  <c:v>12.66666666666667</c:v>
                </c:pt>
                <c:pt idx="10">
                  <c:v>14.0</c:v>
                </c:pt>
                <c:pt idx="11">
                  <c:v>15.33333333333333</c:v>
                </c:pt>
                <c:pt idx="12">
                  <c:v>16.66666666666667</c:v>
                </c:pt>
                <c:pt idx="13">
                  <c:v>18.0</c:v>
                </c:pt>
                <c:pt idx="14">
                  <c:v>24.0</c:v>
                </c:pt>
                <c:pt idx="15">
                  <c:v>30.0</c:v>
                </c:pt>
                <c:pt idx="16">
                  <c:v>48.0</c:v>
                </c:pt>
              </c:numCache>
            </c:numRef>
          </c:xVal>
          <c:yVal>
            <c:numRef>
              <c:f>'Determination cell counts FP'!$R$4:$R$20</c:f>
              <c:numCache>
                <c:formatCode>0.00</c:formatCode>
                <c:ptCount val="17"/>
                <c:pt idx="0">
                  <c:v>7.028674704926818</c:v>
                </c:pt>
                <c:pt idx="1">
                  <c:v>7.250721828551271</c:v>
                </c:pt>
                <c:pt idx="2">
                  <c:v>7.744549358032543</c:v>
                </c:pt>
                <c:pt idx="3">
                  <c:v>8.226609005668866</c:v>
                </c:pt>
                <c:pt idx="4">
                  <c:v>8.320929980979093</c:v>
                </c:pt>
                <c:pt idx="5">
                  <c:v>8.706649794309544</c:v>
                </c:pt>
                <c:pt idx="6">
                  <c:v>8.855161323023432</c:v>
                </c:pt>
                <c:pt idx="7">
                  <c:v>8.97684667876755</c:v>
                </c:pt>
                <c:pt idx="8">
                  <c:v>9.0025574339981</c:v>
                </c:pt>
                <c:pt idx="9">
                  <c:v>9.054594041738452</c:v>
                </c:pt>
                <c:pt idx="10">
                  <c:v>9.003421962221765</c:v>
                </c:pt>
                <c:pt idx="11">
                  <c:v>9.020269244286446</c:v>
                </c:pt>
                <c:pt idx="12">
                  <c:v>9.024054845903744</c:v>
                </c:pt>
                <c:pt idx="13">
                  <c:v>9.062171887851727</c:v>
                </c:pt>
                <c:pt idx="14">
                  <c:v>8.90772429026096</c:v>
                </c:pt>
                <c:pt idx="15">
                  <c:v>8.687305507700429</c:v>
                </c:pt>
                <c:pt idx="16">
                  <c:v>8.317657953028113</c:v>
                </c:pt>
              </c:numCache>
            </c:numRef>
          </c:yVal>
          <c:smooth val="0"/>
        </c:ser>
        <c:ser>
          <c:idx val="11"/>
          <c:order val="11"/>
          <c:tx>
            <c:v>qPCR Total</c:v>
          </c:tx>
          <c:spPr>
            <a:ln>
              <a:solidFill>
                <a:schemeClr val="tx1"/>
              </a:solidFill>
            </a:ln>
          </c:spPr>
          <c:marker>
            <c:symbol val="circle"/>
            <c:size val="8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'Total cell count'!$D$5:$D$21</c:f>
              <c:numCache>
                <c:formatCode>0</c:formatCode>
                <c:ptCount val="17"/>
                <c:pt idx="0">
                  <c:v>0.166666666666667</c:v>
                </c:pt>
                <c:pt idx="1">
                  <c:v>2.0</c:v>
                </c:pt>
                <c:pt idx="2">
                  <c:v>3.333333333333333</c:v>
                </c:pt>
                <c:pt idx="3">
                  <c:v>4.666666666666667</c:v>
                </c:pt>
                <c:pt idx="4">
                  <c:v>6.0</c:v>
                </c:pt>
                <c:pt idx="5">
                  <c:v>7.333333333333332</c:v>
                </c:pt>
                <c:pt idx="6">
                  <c:v>8.666666666666665</c:v>
                </c:pt>
                <c:pt idx="7">
                  <c:v>10.0</c:v>
                </c:pt>
                <c:pt idx="8">
                  <c:v>11.33333333333333</c:v>
                </c:pt>
                <c:pt idx="9">
                  <c:v>12.66666666666667</c:v>
                </c:pt>
                <c:pt idx="10">
                  <c:v>14.0</c:v>
                </c:pt>
                <c:pt idx="11">
                  <c:v>15.33333333333333</c:v>
                </c:pt>
                <c:pt idx="12">
                  <c:v>16.66666666666667</c:v>
                </c:pt>
                <c:pt idx="13">
                  <c:v>18.0</c:v>
                </c:pt>
                <c:pt idx="14">
                  <c:v>24.0</c:v>
                </c:pt>
                <c:pt idx="15">
                  <c:v>30.0</c:v>
                </c:pt>
                <c:pt idx="16">
                  <c:v>48.0</c:v>
                </c:pt>
              </c:numCache>
            </c:numRef>
          </c:xVal>
          <c:yVal>
            <c:numRef>
              <c:f>'Total cell count'!$P$5:$P$21</c:f>
              <c:numCache>
                <c:formatCode>0.00</c:formatCode>
                <c:ptCount val="17"/>
                <c:pt idx="0">
                  <c:v>8.392578795903895</c:v>
                </c:pt>
                <c:pt idx="1">
                  <c:v>8.573327731277379</c:v>
                </c:pt>
                <c:pt idx="2">
                  <c:v>8.729418325764225</c:v>
                </c:pt>
                <c:pt idx="3">
                  <c:v>8.969782576611066</c:v>
                </c:pt>
                <c:pt idx="4">
                  <c:v>9.31588096246909</c:v>
                </c:pt>
                <c:pt idx="5">
                  <c:v>9.585641792645724</c:v>
                </c:pt>
                <c:pt idx="6">
                  <c:v>9.751633872033567</c:v>
                </c:pt>
                <c:pt idx="7">
                  <c:v>9.903396977729126</c:v>
                </c:pt>
                <c:pt idx="8">
                  <c:v>9.999951064887835</c:v>
                </c:pt>
                <c:pt idx="9">
                  <c:v>10.0314513910467</c:v>
                </c:pt>
                <c:pt idx="10">
                  <c:v>10.06412462307592</c:v>
                </c:pt>
                <c:pt idx="11">
                  <c:v>10.02845030437015</c:v>
                </c:pt>
                <c:pt idx="12">
                  <c:v>10.06763775097313</c:v>
                </c:pt>
                <c:pt idx="13">
                  <c:v>10.07600171418829</c:v>
                </c:pt>
                <c:pt idx="14">
                  <c:v>10.01775311367614</c:v>
                </c:pt>
                <c:pt idx="15">
                  <c:v>9.698391049600563</c:v>
                </c:pt>
                <c:pt idx="16">
                  <c:v>9.43219651122676</c:v>
                </c:pt>
              </c:numCache>
            </c:numRef>
          </c:yVal>
          <c:smooth val="0"/>
        </c:ser>
        <c:ser>
          <c:idx val="12"/>
          <c:order val="12"/>
          <c:tx>
            <c:v>qPCR BH</c:v>
          </c:tx>
          <c:spPr>
            <a:ln>
              <a:solidFill>
                <a:srgbClr val="008000"/>
              </a:solidFill>
            </a:ln>
          </c:spPr>
          <c:marker>
            <c:symbol val="circle"/>
            <c:size val="8"/>
            <c:spPr>
              <a:solidFill>
                <a:srgbClr val="008000"/>
              </a:solidFill>
              <a:ln>
                <a:solidFill>
                  <a:srgbClr val="008000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'Determination cell counts BH'!$S$4:$S$20</c:f>
                <c:numCache>
                  <c:formatCode>General</c:formatCode>
                  <c:ptCount val="17"/>
                  <c:pt idx="0">
                    <c:v>0.0613486062738212</c:v>
                  </c:pt>
                  <c:pt idx="1">
                    <c:v>0.05018419641535</c:v>
                  </c:pt>
                  <c:pt idx="2">
                    <c:v>0.073474134742338</c:v>
                  </c:pt>
                  <c:pt idx="3">
                    <c:v>0.0139213311169955</c:v>
                  </c:pt>
                  <c:pt idx="4">
                    <c:v>0.0631682850685652</c:v>
                  </c:pt>
                  <c:pt idx="5">
                    <c:v>0.0211567689363723</c:v>
                  </c:pt>
                  <c:pt idx="6">
                    <c:v>0.0340731575158744</c:v>
                  </c:pt>
                  <c:pt idx="7">
                    <c:v>0.0749804081783215</c:v>
                  </c:pt>
                  <c:pt idx="8">
                    <c:v>0.12602642816716</c:v>
                  </c:pt>
                  <c:pt idx="9">
                    <c:v>0.0613272436944381</c:v>
                  </c:pt>
                  <c:pt idx="10">
                    <c:v>0.0578274904690762</c:v>
                  </c:pt>
                  <c:pt idx="11">
                    <c:v>0.038513178562117</c:v>
                  </c:pt>
                  <c:pt idx="12">
                    <c:v>0.0702534482105798</c:v>
                  </c:pt>
                  <c:pt idx="13">
                    <c:v>0.177827123727121</c:v>
                  </c:pt>
                  <c:pt idx="14">
                    <c:v>0.0496246701304981</c:v>
                  </c:pt>
                  <c:pt idx="15">
                    <c:v>0.0943361553261905</c:v>
                  </c:pt>
                  <c:pt idx="16">
                    <c:v>0.20501346147126</c:v>
                  </c:pt>
                </c:numCache>
              </c:numRef>
            </c:plus>
            <c:minus>
              <c:numRef>
                <c:f>'Determination cell counts BH'!$S$4:$S$20</c:f>
                <c:numCache>
                  <c:formatCode>General</c:formatCode>
                  <c:ptCount val="17"/>
                  <c:pt idx="0">
                    <c:v>0.0613486062738212</c:v>
                  </c:pt>
                  <c:pt idx="1">
                    <c:v>0.05018419641535</c:v>
                  </c:pt>
                  <c:pt idx="2">
                    <c:v>0.073474134742338</c:v>
                  </c:pt>
                  <c:pt idx="3">
                    <c:v>0.0139213311169955</c:v>
                  </c:pt>
                  <c:pt idx="4">
                    <c:v>0.0631682850685652</c:v>
                  </c:pt>
                  <c:pt idx="5">
                    <c:v>0.0211567689363723</c:v>
                  </c:pt>
                  <c:pt idx="6">
                    <c:v>0.0340731575158744</c:v>
                  </c:pt>
                  <c:pt idx="7">
                    <c:v>0.0749804081783215</c:v>
                  </c:pt>
                  <c:pt idx="8">
                    <c:v>0.12602642816716</c:v>
                  </c:pt>
                  <c:pt idx="9">
                    <c:v>0.0613272436944381</c:v>
                  </c:pt>
                  <c:pt idx="10">
                    <c:v>0.0578274904690762</c:v>
                  </c:pt>
                  <c:pt idx="11">
                    <c:v>0.038513178562117</c:v>
                  </c:pt>
                  <c:pt idx="12">
                    <c:v>0.0702534482105798</c:v>
                  </c:pt>
                  <c:pt idx="13">
                    <c:v>0.177827123727121</c:v>
                  </c:pt>
                  <c:pt idx="14">
                    <c:v>0.0496246701304981</c:v>
                  </c:pt>
                  <c:pt idx="15">
                    <c:v>0.0943361553261905</c:v>
                  </c:pt>
                  <c:pt idx="16">
                    <c:v>0.20501346147126</c:v>
                  </c:pt>
                </c:numCache>
              </c:numRef>
            </c:minus>
          </c:errBars>
          <c:xVal>
            <c:numRef>
              <c:f>'Determination cell counts BH'!$D$4:$D$20</c:f>
              <c:numCache>
                <c:formatCode>0</c:formatCode>
                <c:ptCount val="17"/>
                <c:pt idx="0">
                  <c:v>0.166666666666667</c:v>
                </c:pt>
                <c:pt idx="1">
                  <c:v>2.0</c:v>
                </c:pt>
                <c:pt idx="2">
                  <c:v>3.333333333333333</c:v>
                </c:pt>
                <c:pt idx="3">
                  <c:v>4.666666666666667</c:v>
                </c:pt>
                <c:pt idx="4">
                  <c:v>6.0</c:v>
                </c:pt>
                <c:pt idx="5">
                  <c:v>7.333333333333332</c:v>
                </c:pt>
                <c:pt idx="6">
                  <c:v>8.666666666666665</c:v>
                </c:pt>
                <c:pt idx="7">
                  <c:v>10.0</c:v>
                </c:pt>
                <c:pt idx="8">
                  <c:v>11.33333333333333</c:v>
                </c:pt>
                <c:pt idx="9">
                  <c:v>12.66666666666667</c:v>
                </c:pt>
                <c:pt idx="10">
                  <c:v>14.0</c:v>
                </c:pt>
                <c:pt idx="11">
                  <c:v>15.33333333333333</c:v>
                </c:pt>
                <c:pt idx="12">
                  <c:v>16.66666666666667</c:v>
                </c:pt>
                <c:pt idx="13">
                  <c:v>18.0</c:v>
                </c:pt>
                <c:pt idx="14">
                  <c:v>24.0</c:v>
                </c:pt>
                <c:pt idx="15">
                  <c:v>30.0</c:v>
                </c:pt>
                <c:pt idx="16">
                  <c:v>48.0</c:v>
                </c:pt>
              </c:numCache>
            </c:numRef>
          </c:xVal>
          <c:yVal>
            <c:numRef>
              <c:f>'Determination cell counts BH'!$R$4:$R$20</c:f>
              <c:numCache>
                <c:formatCode>0.00</c:formatCode>
                <c:ptCount val="17"/>
                <c:pt idx="0">
                  <c:v>7.685066579440106</c:v>
                </c:pt>
                <c:pt idx="1">
                  <c:v>7.981480224027583</c:v>
                </c:pt>
                <c:pt idx="2">
                  <c:v>8.210605733557955</c:v>
                </c:pt>
                <c:pt idx="3">
                  <c:v>8.286137913198348</c:v>
                </c:pt>
                <c:pt idx="4">
                  <c:v>8.839365495235533</c:v>
                </c:pt>
                <c:pt idx="5">
                  <c:v>9.04056501647381</c:v>
                </c:pt>
                <c:pt idx="6">
                  <c:v>9.230226073167983</c:v>
                </c:pt>
                <c:pt idx="7">
                  <c:v>9.35489255677758</c:v>
                </c:pt>
                <c:pt idx="8">
                  <c:v>9.59974391655213</c:v>
                </c:pt>
                <c:pt idx="9">
                  <c:v>9.677977269656457</c:v>
                </c:pt>
                <c:pt idx="10">
                  <c:v>9.752780838497766</c:v>
                </c:pt>
                <c:pt idx="11">
                  <c:v>9.732955519109116</c:v>
                </c:pt>
                <c:pt idx="12">
                  <c:v>9.8036597194906</c:v>
                </c:pt>
                <c:pt idx="13">
                  <c:v>9.829716493204058</c:v>
                </c:pt>
                <c:pt idx="14">
                  <c:v>9.610739935990425</c:v>
                </c:pt>
                <c:pt idx="15">
                  <c:v>9.213385161484432</c:v>
                </c:pt>
                <c:pt idx="16">
                  <c:v>9.099822429666567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7750760"/>
        <c:axId val="-2077756712"/>
      </c:scatterChart>
      <c:valAx>
        <c:axId val="-2077363432"/>
        <c:scaling>
          <c:orientation val="minMax"/>
          <c:max val="48.0"/>
        </c:scaling>
        <c:delete val="0"/>
        <c:axPos val="b"/>
        <c:title>
          <c:tx>
            <c:rich>
              <a:bodyPr/>
              <a:lstStyle/>
              <a:p>
                <a:pPr>
                  <a:defRPr sz="1050"/>
                </a:pPr>
                <a:r>
                  <a:rPr lang="nl-BE" sz="1050"/>
                  <a:t>Time (h)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100" b="1" baseline="0"/>
            </a:pPr>
            <a:endParaRPr lang="en-US"/>
          </a:p>
        </c:txPr>
        <c:crossAx val="-2077357800"/>
        <c:crosses val="autoZero"/>
        <c:crossBetween val="midCat"/>
        <c:majorUnit val="6.0"/>
      </c:valAx>
      <c:valAx>
        <c:axId val="-2077357800"/>
        <c:scaling>
          <c:orientation val="minMax"/>
          <c:max val="100.0"/>
          <c:min val="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050"/>
                </a:pPr>
                <a:r>
                  <a:rPr lang="nl-BE" sz="1050" b="1"/>
                  <a:t>Concentration (mM)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100" b="1" baseline="0"/>
            </a:pPr>
            <a:endParaRPr lang="en-US"/>
          </a:p>
        </c:txPr>
        <c:crossAx val="-2077363432"/>
        <c:crosses val="autoZero"/>
        <c:crossBetween val="midCat"/>
      </c:valAx>
      <c:valAx>
        <c:axId val="-2077756712"/>
        <c:scaling>
          <c:orientation val="minMax"/>
          <c:max val="12.0"/>
          <c:min val="5.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050"/>
                </a:pPr>
                <a:r>
                  <a:rPr lang="nl-NL" sz="1050"/>
                  <a:t>Bacterial</a:t>
                </a:r>
                <a:r>
                  <a:rPr lang="nl-NL" sz="1050" baseline="0"/>
                  <a:t> growth </a:t>
                </a:r>
                <a:r>
                  <a:rPr lang="nl-NL" sz="1050"/>
                  <a:t>(log (events/ml))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100" b="1" i="0" baseline="0"/>
            </a:pPr>
            <a:endParaRPr lang="en-US"/>
          </a:p>
        </c:txPr>
        <c:crossAx val="-2077750760"/>
        <c:crosses val="max"/>
        <c:crossBetween val="midCat"/>
        <c:majorUnit val="1.0"/>
        <c:minorUnit val="0.2"/>
      </c:valAx>
      <c:valAx>
        <c:axId val="-20777507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-2077756712"/>
        <c:crosses val="autoZero"/>
        <c:crossBetween val="midCat"/>
      </c:valAx>
      <c:spPr>
        <a:ln>
          <a:solidFill>
            <a:sysClr val="windowText" lastClr="000000"/>
          </a:solidFill>
        </a:ln>
      </c:spPr>
    </c:plotArea>
    <c:plotVisOnly val="1"/>
    <c:dispBlanksAs val="gap"/>
    <c:showDLblsOverMax val="0"/>
  </c:chart>
  <c:spPr>
    <a:ln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98751235366057"/>
          <c:y val="0.0387228103381178"/>
          <c:w val="0.836883974334042"/>
          <c:h val="0.849427405643557"/>
        </c:manualLayout>
      </c:layout>
      <c:scatterChart>
        <c:scatterStyle val="lineMarker"/>
        <c:varyColors val="0"/>
        <c:ser>
          <c:idx val="1"/>
          <c:order val="0"/>
          <c:tx>
            <c:strRef>
              <c:f>Metabolites!$J$1</c:f>
              <c:strCache>
                <c:ptCount val="1"/>
                <c:pt idx="0">
                  <c:v>Lactic acid</c:v>
                </c:pt>
              </c:strCache>
            </c:strRef>
          </c:tx>
          <c:spPr>
            <a:ln>
              <a:solidFill>
                <a:srgbClr val="4949F1"/>
              </a:solidFill>
            </a:ln>
          </c:spPr>
          <c:marker>
            <c:symbol val="triangle"/>
            <c:size val="8"/>
            <c:spPr>
              <a:solidFill>
                <a:srgbClr val="4949F1"/>
              </a:solidFill>
              <a:ln>
                <a:solidFill>
                  <a:srgbClr val="4949F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Metabolites!$M$4:$M$20</c:f>
                <c:numCache>
                  <c:formatCode>General</c:formatCode>
                  <c:ptCount val="17"/>
                  <c:pt idx="0">
                    <c:v>0.0128414748204333</c:v>
                  </c:pt>
                  <c:pt idx="1">
                    <c:v>0.0257143277100675</c:v>
                  </c:pt>
                  <c:pt idx="2">
                    <c:v>0.0128732856905886</c:v>
                  </c:pt>
                  <c:pt idx="3">
                    <c:v>0.0223691112792762</c:v>
                  </c:pt>
                  <c:pt idx="4">
                    <c:v>0.0129832806090463</c:v>
                  </c:pt>
                  <c:pt idx="5">
                    <c:v>0.0346307535697956</c:v>
                  </c:pt>
                  <c:pt idx="6">
                    <c:v>0.0</c:v>
                  </c:pt>
                  <c:pt idx="7">
                    <c:v>0.141505064310789</c:v>
                  </c:pt>
                  <c:pt idx="8">
                    <c:v>0.0825828027149032</c:v>
                  </c:pt>
                  <c:pt idx="9">
                    <c:v>0.0235500241079536</c:v>
                  </c:pt>
                  <c:pt idx="10">
                    <c:v>0.023585978343233</c:v>
                  </c:pt>
                  <c:pt idx="11">
                    <c:v>0.147528002750013</c:v>
                  </c:pt>
                  <c:pt idx="12">
                    <c:v>0.0136502592160107</c:v>
                  </c:pt>
                  <c:pt idx="13">
                    <c:v>0.0955518145120745</c:v>
                  </c:pt>
                  <c:pt idx="14">
                    <c:v>0.121434775625943</c:v>
                  </c:pt>
                  <c:pt idx="15">
                    <c:v>0.0236641089645948</c:v>
                  </c:pt>
                  <c:pt idx="16">
                    <c:v>0.0361838526973545</c:v>
                  </c:pt>
                </c:numCache>
              </c:numRef>
            </c:plus>
            <c:minus>
              <c:numRef>
                <c:f>Metabolites!$M$4:$M$20</c:f>
                <c:numCache>
                  <c:formatCode>General</c:formatCode>
                  <c:ptCount val="17"/>
                  <c:pt idx="0">
                    <c:v>0.0128414748204333</c:v>
                  </c:pt>
                  <c:pt idx="1">
                    <c:v>0.0257143277100675</c:v>
                  </c:pt>
                  <c:pt idx="2">
                    <c:v>0.0128732856905886</c:v>
                  </c:pt>
                  <c:pt idx="3">
                    <c:v>0.0223691112792762</c:v>
                  </c:pt>
                  <c:pt idx="4">
                    <c:v>0.0129832806090463</c:v>
                  </c:pt>
                  <c:pt idx="5">
                    <c:v>0.0346307535697956</c:v>
                  </c:pt>
                  <c:pt idx="6">
                    <c:v>0.0</c:v>
                  </c:pt>
                  <c:pt idx="7">
                    <c:v>0.141505064310789</c:v>
                  </c:pt>
                  <c:pt idx="8">
                    <c:v>0.0825828027149032</c:v>
                  </c:pt>
                  <c:pt idx="9">
                    <c:v>0.0235500241079536</c:v>
                  </c:pt>
                  <c:pt idx="10">
                    <c:v>0.023585978343233</c:v>
                  </c:pt>
                  <c:pt idx="11">
                    <c:v>0.147528002750013</c:v>
                  </c:pt>
                  <c:pt idx="12">
                    <c:v>0.0136502592160107</c:v>
                  </c:pt>
                  <c:pt idx="13">
                    <c:v>0.0955518145120745</c:v>
                  </c:pt>
                  <c:pt idx="14">
                    <c:v>0.121434775625943</c:v>
                  </c:pt>
                  <c:pt idx="15">
                    <c:v>0.0236641089645948</c:v>
                  </c:pt>
                  <c:pt idx="16">
                    <c:v>0.0361838526973545</c:v>
                  </c:pt>
                </c:numCache>
              </c:numRef>
            </c:minus>
          </c:errBars>
          <c:xVal>
            <c:numRef>
              <c:f>Metabolites!$E$4:$E$20</c:f>
              <c:numCache>
                <c:formatCode>0</c:formatCode>
                <c:ptCount val="17"/>
                <c:pt idx="0">
                  <c:v>0.166666666666667</c:v>
                </c:pt>
                <c:pt idx="1">
                  <c:v>2.0</c:v>
                </c:pt>
                <c:pt idx="2">
                  <c:v>3.333333333333333</c:v>
                </c:pt>
                <c:pt idx="3">
                  <c:v>4.666666666666667</c:v>
                </c:pt>
                <c:pt idx="4">
                  <c:v>6.0</c:v>
                </c:pt>
                <c:pt idx="5">
                  <c:v>7.333333333333332</c:v>
                </c:pt>
                <c:pt idx="6">
                  <c:v>8.666666666666665</c:v>
                </c:pt>
                <c:pt idx="7">
                  <c:v>10.0</c:v>
                </c:pt>
                <c:pt idx="8">
                  <c:v>11.33333333333333</c:v>
                </c:pt>
                <c:pt idx="9">
                  <c:v>12.66666666666667</c:v>
                </c:pt>
                <c:pt idx="10">
                  <c:v>14.0</c:v>
                </c:pt>
                <c:pt idx="11">
                  <c:v>15.33333333333333</c:v>
                </c:pt>
                <c:pt idx="12">
                  <c:v>16.66666666666667</c:v>
                </c:pt>
                <c:pt idx="13">
                  <c:v>18.0</c:v>
                </c:pt>
                <c:pt idx="14">
                  <c:v>24.0</c:v>
                </c:pt>
                <c:pt idx="15">
                  <c:v>30.0</c:v>
                </c:pt>
                <c:pt idx="16">
                  <c:v>48.0</c:v>
                </c:pt>
              </c:numCache>
            </c:numRef>
          </c:xVal>
          <c:yVal>
            <c:numRef>
              <c:f>Metabolites!$L$4:$L$20</c:f>
              <c:numCache>
                <c:formatCode>0</c:formatCode>
                <c:ptCount val="17"/>
                <c:pt idx="0">
                  <c:v>0.659848576048841</c:v>
                </c:pt>
                <c:pt idx="1">
                  <c:v>0.519616090890321</c:v>
                </c:pt>
                <c:pt idx="2">
                  <c:v>0.572294411828857</c:v>
                </c:pt>
                <c:pt idx="3">
                  <c:v>0.626335115819734</c:v>
                </c:pt>
                <c:pt idx="4">
                  <c:v>0.592176143813188</c:v>
                </c:pt>
                <c:pt idx="5">
                  <c:v>0.627235148446518</c:v>
                </c:pt>
                <c:pt idx="6">
                  <c:v>2.339738192262044</c:v>
                </c:pt>
                <c:pt idx="7">
                  <c:v>6.304351392515014</c:v>
                </c:pt>
                <c:pt idx="8">
                  <c:v>8.927952123218318</c:v>
                </c:pt>
                <c:pt idx="9">
                  <c:v>9.255159474425774</c:v>
                </c:pt>
                <c:pt idx="10">
                  <c:v>9.292875467233779</c:v>
                </c:pt>
                <c:pt idx="11">
                  <c:v>9.236744205530337</c:v>
                </c:pt>
                <c:pt idx="12">
                  <c:v>8.661197935326233</c:v>
                </c:pt>
                <c:pt idx="13">
                  <c:v>9.496581903610657</c:v>
                </c:pt>
                <c:pt idx="14">
                  <c:v>9.765388966056125</c:v>
                </c:pt>
                <c:pt idx="15">
                  <c:v>9.749612893413063</c:v>
                </c:pt>
                <c:pt idx="16">
                  <c:v>9.96470656323798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Metabolites!$N$1</c:f>
              <c:strCache>
                <c:ptCount val="1"/>
                <c:pt idx="0">
                  <c:v>Acetic acid</c:v>
                </c:pt>
              </c:strCache>
            </c:strRef>
          </c:tx>
          <c:spPr>
            <a:ln>
              <a:solidFill>
                <a:srgbClr val="FEC009"/>
              </a:solidFill>
            </a:ln>
          </c:spPr>
          <c:marker>
            <c:symbol val="circle"/>
            <c:size val="8"/>
            <c:spPr>
              <a:solidFill>
                <a:srgbClr val="FEC009"/>
              </a:solidFill>
              <a:ln>
                <a:solidFill>
                  <a:srgbClr val="FEC009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Metabolites!$Q$4:$Q$20</c:f>
                <c:numCache>
                  <c:formatCode>General</c:formatCode>
                  <c:ptCount val="17"/>
                  <c:pt idx="0">
                    <c:v>0.150451037799586</c:v>
                  </c:pt>
                  <c:pt idx="1">
                    <c:v>0.0334057457837993</c:v>
                  </c:pt>
                  <c:pt idx="2">
                    <c:v>0.0334476338662868</c:v>
                  </c:pt>
                  <c:pt idx="3">
                    <c:v>0.213106233628059</c:v>
                  </c:pt>
                  <c:pt idx="4">
                    <c:v>0.140443447363384</c:v>
                  </c:pt>
                  <c:pt idx="5">
                    <c:v>0.0899783313876849</c:v>
                  </c:pt>
                  <c:pt idx="6">
                    <c:v>0.143259523631935</c:v>
                  </c:pt>
                  <c:pt idx="7">
                    <c:v>0.439109329342394</c:v>
                  </c:pt>
                  <c:pt idx="8">
                    <c:v>0.293721535009249</c:v>
                  </c:pt>
                  <c:pt idx="9">
                    <c:v>0.212941026567826</c:v>
                  </c:pt>
                  <c:pt idx="10">
                    <c:v>0.337512574226796</c:v>
                  </c:pt>
                  <c:pt idx="11">
                    <c:v>0.496118658682913</c:v>
                  </c:pt>
                  <c:pt idx="12">
                    <c:v>0.108351587838109</c:v>
                  </c:pt>
                  <c:pt idx="13">
                    <c:v>0.37923055743338</c:v>
                  </c:pt>
                  <c:pt idx="14">
                    <c:v>0.232776830212751</c:v>
                  </c:pt>
                  <c:pt idx="15">
                    <c:v>0.13439376558444</c:v>
                  </c:pt>
                  <c:pt idx="16">
                    <c:v>0.208209127793384</c:v>
                  </c:pt>
                </c:numCache>
              </c:numRef>
            </c:plus>
            <c:minus>
              <c:numRef>
                <c:f>Metabolites!$Q$4:$Q$20</c:f>
                <c:numCache>
                  <c:formatCode>General</c:formatCode>
                  <c:ptCount val="17"/>
                  <c:pt idx="0">
                    <c:v>0.150451037799586</c:v>
                  </c:pt>
                  <c:pt idx="1">
                    <c:v>0.0334057457837993</c:v>
                  </c:pt>
                  <c:pt idx="2">
                    <c:v>0.0334476338662868</c:v>
                  </c:pt>
                  <c:pt idx="3">
                    <c:v>0.213106233628059</c:v>
                  </c:pt>
                  <c:pt idx="4">
                    <c:v>0.140443447363384</c:v>
                  </c:pt>
                  <c:pt idx="5">
                    <c:v>0.0899783313876849</c:v>
                  </c:pt>
                  <c:pt idx="6">
                    <c:v>0.143259523631935</c:v>
                  </c:pt>
                  <c:pt idx="7">
                    <c:v>0.439109329342394</c:v>
                  </c:pt>
                  <c:pt idx="8">
                    <c:v>0.293721535009249</c:v>
                  </c:pt>
                  <c:pt idx="9">
                    <c:v>0.212941026567826</c:v>
                  </c:pt>
                  <c:pt idx="10">
                    <c:v>0.337512574226796</c:v>
                  </c:pt>
                  <c:pt idx="11">
                    <c:v>0.496118658682913</c:v>
                  </c:pt>
                  <c:pt idx="12">
                    <c:v>0.108351587838109</c:v>
                  </c:pt>
                  <c:pt idx="13">
                    <c:v>0.37923055743338</c:v>
                  </c:pt>
                  <c:pt idx="14">
                    <c:v>0.232776830212751</c:v>
                  </c:pt>
                  <c:pt idx="15">
                    <c:v>0.13439376558444</c:v>
                  </c:pt>
                  <c:pt idx="16">
                    <c:v>0.208209127793384</c:v>
                  </c:pt>
                </c:numCache>
              </c:numRef>
            </c:minus>
          </c:errBars>
          <c:xVal>
            <c:numRef>
              <c:f>Metabolites!$E$4:$E$20</c:f>
              <c:numCache>
                <c:formatCode>0</c:formatCode>
                <c:ptCount val="17"/>
                <c:pt idx="0">
                  <c:v>0.166666666666667</c:v>
                </c:pt>
                <c:pt idx="1">
                  <c:v>2.0</c:v>
                </c:pt>
                <c:pt idx="2">
                  <c:v>3.333333333333333</c:v>
                </c:pt>
                <c:pt idx="3">
                  <c:v>4.666666666666667</c:v>
                </c:pt>
                <c:pt idx="4">
                  <c:v>6.0</c:v>
                </c:pt>
                <c:pt idx="5">
                  <c:v>7.333333333333332</c:v>
                </c:pt>
                <c:pt idx="6">
                  <c:v>8.666666666666665</c:v>
                </c:pt>
                <c:pt idx="7">
                  <c:v>10.0</c:v>
                </c:pt>
                <c:pt idx="8">
                  <c:v>11.33333333333333</c:v>
                </c:pt>
                <c:pt idx="9">
                  <c:v>12.66666666666667</c:v>
                </c:pt>
                <c:pt idx="10">
                  <c:v>14.0</c:v>
                </c:pt>
                <c:pt idx="11">
                  <c:v>15.33333333333333</c:v>
                </c:pt>
                <c:pt idx="12">
                  <c:v>16.66666666666667</c:v>
                </c:pt>
                <c:pt idx="13">
                  <c:v>18.0</c:v>
                </c:pt>
                <c:pt idx="14">
                  <c:v>24.0</c:v>
                </c:pt>
                <c:pt idx="15">
                  <c:v>30.0</c:v>
                </c:pt>
                <c:pt idx="16">
                  <c:v>48.0</c:v>
                </c:pt>
              </c:numCache>
            </c:numRef>
          </c:xVal>
          <c:yVal>
            <c:numRef>
              <c:f>Metabolites!$P$4:$P$20</c:f>
              <c:numCache>
                <c:formatCode>0</c:formatCode>
                <c:ptCount val="17"/>
                <c:pt idx="0">
                  <c:v>4.348569348504995</c:v>
                </c:pt>
                <c:pt idx="1">
                  <c:v>4.476369935029105</c:v>
                </c:pt>
                <c:pt idx="2">
                  <c:v>4.983697446076734</c:v>
                </c:pt>
                <c:pt idx="3">
                  <c:v>5.984069420260356</c:v>
                </c:pt>
                <c:pt idx="4">
                  <c:v>7.365131105454995</c:v>
                </c:pt>
                <c:pt idx="5">
                  <c:v>11.05279909668867</c:v>
                </c:pt>
                <c:pt idx="6">
                  <c:v>17.07874291894548</c:v>
                </c:pt>
                <c:pt idx="7">
                  <c:v>21.72911828051699</c:v>
                </c:pt>
                <c:pt idx="8">
                  <c:v>26.60896904596276</c:v>
                </c:pt>
                <c:pt idx="9">
                  <c:v>28.24982195822962</c:v>
                </c:pt>
                <c:pt idx="10">
                  <c:v>28.72931627771258</c:v>
                </c:pt>
                <c:pt idx="11">
                  <c:v>28.56225992131634</c:v>
                </c:pt>
                <c:pt idx="12">
                  <c:v>26.72983016643057</c:v>
                </c:pt>
                <c:pt idx="13">
                  <c:v>29.02332289190051</c:v>
                </c:pt>
                <c:pt idx="14">
                  <c:v>29.42795293180601</c:v>
                </c:pt>
                <c:pt idx="15">
                  <c:v>29.87759596011667</c:v>
                </c:pt>
                <c:pt idx="16">
                  <c:v>30.44063084970589</c:v>
                </c:pt>
              </c:numCache>
            </c:numRef>
          </c:yVal>
          <c:smooth val="0"/>
        </c:ser>
        <c:ser>
          <c:idx val="4"/>
          <c:order val="2"/>
          <c:tx>
            <c:strRef>
              <c:f>Metabolites!$R$1</c:f>
              <c:strCache>
                <c:ptCount val="1"/>
                <c:pt idx="0">
                  <c:v>Formic acid</c:v>
                </c:pt>
              </c:strCache>
            </c:strRef>
          </c:tx>
          <c:spPr>
            <a:ln>
              <a:solidFill>
                <a:srgbClr val="DE00FD"/>
              </a:solidFill>
            </a:ln>
          </c:spPr>
          <c:marker>
            <c:symbol val="triangle"/>
            <c:size val="8"/>
            <c:spPr>
              <a:solidFill>
                <a:srgbClr val="DE00FD"/>
              </a:solidFill>
              <a:ln>
                <a:solidFill>
                  <a:srgbClr val="DE00FD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Metabolites!$U$4:$U$20</c:f>
                <c:numCache>
                  <c:formatCode>General</c:formatCode>
                  <c:ptCount val="17"/>
                  <c:pt idx="0">
                    <c:v>0.0</c:v>
                  </c:pt>
                  <c:pt idx="1">
                    <c:v>1.85182136209797E-16</c:v>
                  </c:pt>
                  <c:pt idx="2">
                    <c:v>0.0503856430592321</c:v>
                  </c:pt>
                  <c:pt idx="3">
                    <c:v>0.0505481773916813</c:v>
                  </c:pt>
                  <c:pt idx="4">
                    <c:v>0.0440080852894716</c:v>
                  </c:pt>
                  <c:pt idx="5">
                    <c:v>0.025615351784155</c:v>
                  </c:pt>
                  <c:pt idx="6">
                    <c:v>0.0448905054161106</c:v>
                  </c:pt>
                  <c:pt idx="7">
                    <c:v>0.0695419583072897</c:v>
                  </c:pt>
                  <c:pt idx="8">
                    <c:v>0.0957961013323122</c:v>
                  </c:pt>
                  <c:pt idx="9">
                    <c:v>0.0266083614437124</c:v>
                  </c:pt>
                  <c:pt idx="10">
                    <c:v>0.0266489848962982</c:v>
                  </c:pt>
                  <c:pt idx="11">
                    <c:v>0.0</c:v>
                  </c:pt>
                  <c:pt idx="12">
                    <c:v>0.0</c:v>
                  </c:pt>
                  <c:pt idx="13">
                    <c:v>0.0</c:v>
                  </c:pt>
                  <c:pt idx="14">
                    <c:v>0.0</c:v>
                  </c:pt>
                  <c:pt idx="15">
                    <c:v>0.0</c:v>
                  </c:pt>
                  <c:pt idx="16">
                    <c:v>0.0</c:v>
                  </c:pt>
                </c:numCache>
              </c:numRef>
            </c:plus>
            <c:minus>
              <c:numRef>
                <c:f>Metabolites!$U$4:$U$20</c:f>
                <c:numCache>
                  <c:formatCode>General</c:formatCode>
                  <c:ptCount val="17"/>
                  <c:pt idx="0">
                    <c:v>0.0</c:v>
                  </c:pt>
                  <c:pt idx="1">
                    <c:v>1.85182136209797E-16</c:v>
                  </c:pt>
                  <c:pt idx="2">
                    <c:v>0.0503856430592321</c:v>
                  </c:pt>
                  <c:pt idx="3">
                    <c:v>0.0505481773916813</c:v>
                  </c:pt>
                  <c:pt idx="4">
                    <c:v>0.0440080852894716</c:v>
                  </c:pt>
                  <c:pt idx="5">
                    <c:v>0.025615351784155</c:v>
                  </c:pt>
                  <c:pt idx="6">
                    <c:v>0.0448905054161106</c:v>
                  </c:pt>
                  <c:pt idx="7">
                    <c:v>0.0695419583072897</c:v>
                  </c:pt>
                  <c:pt idx="8">
                    <c:v>0.0957961013323122</c:v>
                  </c:pt>
                  <c:pt idx="9">
                    <c:v>0.0266083614437124</c:v>
                  </c:pt>
                  <c:pt idx="10">
                    <c:v>0.0266489848962982</c:v>
                  </c:pt>
                  <c:pt idx="11">
                    <c:v>0.0</c:v>
                  </c:pt>
                  <c:pt idx="12">
                    <c:v>0.0</c:v>
                  </c:pt>
                  <c:pt idx="13">
                    <c:v>0.0</c:v>
                  </c:pt>
                  <c:pt idx="14">
                    <c:v>0.0</c:v>
                  </c:pt>
                  <c:pt idx="15">
                    <c:v>0.0</c:v>
                  </c:pt>
                  <c:pt idx="16">
                    <c:v>0.0</c:v>
                  </c:pt>
                </c:numCache>
              </c:numRef>
            </c:minus>
          </c:errBars>
          <c:xVal>
            <c:numRef>
              <c:f>Metabolites!$E$4:$E$20</c:f>
              <c:numCache>
                <c:formatCode>0</c:formatCode>
                <c:ptCount val="17"/>
                <c:pt idx="0">
                  <c:v>0.166666666666667</c:v>
                </c:pt>
                <c:pt idx="1">
                  <c:v>2.0</c:v>
                </c:pt>
                <c:pt idx="2">
                  <c:v>3.333333333333333</c:v>
                </c:pt>
                <c:pt idx="3">
                  <c:v>4.666666666666667</c:v>
                </c:pt>
                <c:pt idx="4">
                  <c:v>6.0</c:v>
                </c:pt>
                <c:pt idx="5">
                  <c:v>7.333333333333332</c:v>
                </c:pt>
                <c:pt idx="6">
                  <c:v>8.666666666666665</c:v>
                </c:pt>
                <c:pt idx="7">
                  <c:v>10.0</c:v>
                </c:pt>
                <c:pt idx="8">
                  <c:v>11.33333333333333</c:v>
                </c:pt>
                <c:pt idx="9">
                  <c:v>12.66666666666667</c:v>
                </c:pt>
                <c:pt idx="10">
                  <c:v>14.0</c:v>
                </c:pt>
                <c:pt idx="11">
                  <c:v>15.33333333333333</c:v>
                </c:pt>
                <c:pt idx="12">
                  <c:v>16.66666666666667</c:v>
                </c:pt>
                <c:pt idx="13">
                  <c:v>18.0</c:v>
                </c:pt>
                <c:pt idx="14">
                  <c:v>24.0</c:v>
                </c:pt>
                <c:pt idx="15">
                  <c:v>30.0</c:v>
                </c:pt>
                <c:pt idx="16">
                  <c:v>48.0</c:v>
                </c:pt>
              </c:numCache>
            </c:numRef>
          </c:xVal>
          <c:yVal>
            <c:numRef>
              <c:f>Metabolites!$T$4:$T$20</c:f>
              <c:numCache>
                <c:formatCode>0</c:formatCode>
                <c:ptCount val="17"/>
                <c:pt idx="0">
                  <c:v>1.175240363067771</c:v>
                </c:pt>
                <c:pt idx="1">
                  <c:v>1.089515008862235</c:v>
                </c:pt>
                <c:pt idx="2">
                  <c:v>1.061791007299212</c:v>
                </c:pt>
                <c:pt idx="3">
                  <c:v>1.211136158701483</c:v>
                </c:pt>
                <c:pt idx="4">
                  <c:v>1.408258729263091</c:v>
                </c:pt>
                <c:pt idx="5">
                  <c:v>1.050021147605786</c:v>
                </c:pt>
                <c:pt idx="6">
                  <c:v>2.244525270805537</c:v>
                </c:pt>
                <c:pt idx="7">
                  <c:v>4.749868719929874</c:v>
                </c:pt>
                <c:pt idx="8">
                  <c:v>4.663254465812747</c:v>
                </c:pt>
                <c:pt idx="9">
                  <c:v>2.181452939195551</c:v>
                </c:pt>
                <c:pt idx="10">
                  <c:v>0.707746735761369</c:v>
                </c:pt>
                <c:pt idx="11">
                  <c:v>0.0462306034168849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</c:numCache>
            </c:numRef>
          </c:yVal>
          <c:smooth val="0"/>
        </c:ser>
        <c:ser>
          <c:idx val="3"/>
          <c:order val="3"/>
          <c:tx>
            <c:v>CO2</c:v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xVal>
            <c:numRef>
              <c:f>'CO2'!$A$5:$A$101</c:f>
              <c:numCache>
                <c:formatCode>0.0</c:formatCode>
                <c:ptCount val="97"/>
                <c:pt idx="0">
                  <c:v>0.0</c:v>
                </c:pt>
                <c:pt idx="1">
                  <c:v>0.5</c:v>
                </c:pt>
                <c:pt idx="2">
                  <c:v>1.0</c:v>
                </c:pt>
                <c:pt idx="3">
                  <c:v>1.5</c:v>
                </c:pt>
                <c:pt idx="4">
                  <c:v>2.0</c:v>
                </c:pt>
                <c:pt idx="5">
                  <c:v>2.5</c:v>
                </c:pt>
                <c:pt idx="6">
                  <c:v>3.0</c:v>
                </c:pt>
                <c:pt idx="7">
                  <c:v>3.5</c:v>
                </c:pt>
                <c:pt idx="8">
                  <c:v>4.0</c:v>
                </c:pt>
                <c:pt idx="9">
                  <c:v>4.5</c:v>
                </c:pt>
                <c:pt idx="10">
                  <c:v>5.0</c:v>
                </c:pt>
                <c:pt idx="11">
                  <c:v>5.5</c:v>
                </c:pt>
                <c:pt idx="12">
                  <c:v>6.0</c:v>
                </c:pt>
                <c:pt idx="13">
                  <c:v>6.5</c:v>
                </c:pt>
                <c:pt idx="14">
                  <c:v>7.0</c:v>
                </c:pt>
                <c:pt idx="15">
                  <c:v>7.5</c:v>
                </c:pt>
                <c:pt idx="16">
                  <c:v>8.0</c:v>
                </c:pt>
                <c:pt idx="17">
                  <c:v>8.5</c:v>
                </c:pt>
                <c:pt idx="18">
                  <c:v>9.0</c:v>
                </c:pt>
                <c:pt idx="19">
                  <c:v>9.5</c:v>
                </c:pt>
                <c:pt idx="20">
                  <c:v>10.0</c:v>
                </c:pt>
                <c:pt idx="21">
                  <c:v>10.5</c:v>
                </c:pt>
                <c:pt idx="22">
                  <c:v>11.0</c:v>
                </c:pt>
                <c:pt idx="23">
                  <c:v>11.5</c:v>
                </c:pt>
                <c:pt idx="24">
                  <c:v>12.0</c:v>
                </c:pt>
                <c:pt idx="25">
                  <c:v>12.5</c:v>
                </c:pt>
                <c:pt idx="26">
                  <c:v>13.0</c:v>
                </c:pt>
                <c:pt idx="27">
                  <c:v>13.5</c:v>
                </c:pt>
                <c:pt idx="28">
                  <c:v>14.0</c:v>
                </c:pt>
                <c:pt idx="29">
                  <c:v>14.5</c:v>
                </c:pt>
                <c:pt idx="30">
                  <c:v>15.0</c:v>
                </c:pt>
                <c:pt idx="31">
                  <c:v>15.5</c:v>
                </c:pt>
                <c:pt idx="32">
                  <c:v>16.0</c:v>
                </c:pt>
                <c:pt idx="33">
                  <c:v>16.5</c:v>
                </c:pt>
                <c:pt idx="34">
                  <c:v>17.0</c:v>
                </c:pt>
                <c:pt idx="35">
                  <c:v>17.5</c:v>
                </c:pt>
                <c:pt idx="36">
                  <c:v>18.0</c:v>
                </c:pt>
                <c:pt idx="37">
                  <c:v>18.5</c:v>
                </c:pt>
                <c:pt idx="38">
                  <c:v>19.0</c:v>
                </c:pt>
                <c:pt idx="39">
                  <c:v>19.5</c:v>
                </c:pt>
                <c:pt idx="40">
                  <c:v>20.0</c:v>
                </c:pt>
                <c:pt idx="41">
                  <c:v>20.5</c:v>
                </c:pt>
                <c:pt idx="42">
                  <c:v>21.0</c:v>
                </c:pt>
                <c:pt idx="43">
                  <c:v>21.5</c:v>
                </c:pt>
                <c:pt idx="44">
                  <c:v>22.0</c:v>
                </c:pt>
                <c:pt idx="45">
                  <c:v>22.5</c:v>
                </c:pt>
                <c:pt idx="46">
                  <c:v>23.0</c:v>
                </c:pt>
                <c:pt idx="47">
                  <c:v>23.5</c:v>
                </c:pt>
                <c:pt idx="48">
                  <c:v>24.0</c:v>
                </c:pt>
                <c:pt idx="49">
                  <c:v>24.5</c:v>
                </c:pt>
                <c:pt idx="50">
                  <c:v>25.0</c:v>
                </c:pt>
                <c:pt idx="51">
                  <c:v>25.5</c:v>
                </c:pt>
                <c:pt idx="52">
                  <c:v>26.0</c:v>
                </c:pt>
                <c:pt idx="53">
                  <c:v>26.5</c:v>
                </c:pt>
                <c:pt idx="54">
                  <c:v>27.0</c:v>
                </c:pt>
                <c:pt idx="55">
                  <c:v>27.5</c:v>
                </c:pt>
                <c:pt idx="56">
                  <c:v>28.0</c:v>
                </c:pt>
                <c:pt idx="57">
                  <c:v>28.5</c:v>
                </c:pt>
                <c:pt idx="58">
                  <c:v>29.0</c:v>
                </c:pt>
                <c:pt idx="59">
                  <c:v>29.5</c:v>
                </c:pt>
                <c:pt idx="60">
                  <c:v>30.0</c:v>
                </c:pt>
                <c:pt idx="61">
                  <c:v>30.5</c:v>
                </c:pt>
                <c:pt idx="62">
                  <c:v>31.0</c:v>
                </c:pt>
                <c:pt idx="63">
                  <c:v>31.5</c:v>
                </c:pt>
                <c:pt idx="64">
                  <c:v>32.0</c:v>
                </c:pt>
                <c:pt idx="65">
                  <c:v>32.5</c:v>
                </c:pt>
                <c:pt idx="66">
                  <c:v>33.0</c:v>
                </c:pt>
                <c:pt idx="67">
                  <c:v>33.5</c:v>
                </c:pt>
                <c:pt idx="68">
                  <c:v>34.0</c:v>
                </c:pt>
                <c:pt idx="69">
                  <c:v>34.5</c:v>
                </c:pt>
                <c:pt idx="70">
                  <c:v>35.0</c:v>
                </c:pt>
                <c:pt idx="71">
                  <c:v>35.5</c:v>
                </c:pt>
                <c:pt idx="72">
                  <c:v>36.0</c:v>
                </c:pt>
                <c:pt idx="73">
                  <c:v>36.5</c:v>
                </c:pt>
                <c:pt idx="74">
                  <c:v>37.0</c:v>
                </c:pt>
                <c:pt idx="75">
                  <c:v>37.5</c:v>
                </c:pt>
                <c:pt idx="76">
                  <c:v>38.0</c:v>
                </c:pt>
                <c:pt idx="77">
                  <c:v>38.5</c:v>
                </c:pt>
                <c:pt idx="78">
                  <c:v>39.0</c:v>
                </c:pt>
                <c:pt idx="79">
                  <c:v>39.5</c:v>
                </c:pt>
                <c:pt idx="80">
                  <c:v>40.0</c:v>
                </c:pt>
                <c:pt idx="81">
                  <c:v>40.5</c:v>
                </c:pt>
                <c:pt idx="82">
                  <c:v>41.0</c:v>
                </c:pt>
                <c:pt idx="83">
                  <c:v>41.5</c:v>
                </c:pt>
                <c:pt idx="84">
                  <c:v>42.0</c:v>
                </c:pt>
                <c:pt idx="85">
                  <c:v>42.5</c:v>
                </c:pt>
                <c:pt idx="86">
                  <c:v>43.0</c:v>
                </c:pt>
                <c:pt idx="87">
                  <c:v>43.5</c:v>
                </c:pt>
                <c:pt idx="88">
                  <c:v>44.0</c:v>
                </c:pt>
                <c:pt idx="89">
                  <c:v>44.5</c:v>
                </c:pt>
                <c:pt idx="90">
                  <c:v>45.0</c:v>
                </c:pt>
                <c:pt idx="91">
                  <c:v>45.5</c:v>
                </c:pt>
                <c:pt idx="92">
                  <c:v>46.0</c:v>
                </c:pt>
                <c:pt idx="93">
                  <c:v>46.5</c:v>
                </c:pt>
                <c:pt idx="94">
                  <c:v>47.0</c:v>
                </c:pt>
                <c:pt idx="95">
                  <c:v>47.5</c:v>
                </c:pt>
                <c:pt idx="96">
                  <c:v>48.0</c:v>
                </c:pt>
              </c:numCache>
            </c:numRef>
          </c:xVal>
          <c:yVal>
            <c:numRef>
              <c:f>'CO2'!$G$5:$G$101</c:f>
              <c:numCache>
                <c:formatCode>0.0</c:formatCode>
                <c:ptCount val="97"/>
                <c:pt idx="0">
                  <c:v>0.0783777770975035</c:v>
                </c:pt>
                <c:pt idx="1">
                  <c:v>0.25089110267016</c:v>
                </c:pt>
                <c:pt idx="2">
                  <c:v>0.452438267076222</c:v>
                </c:pt>
                <c:pt idx="3">
                  <c:v>0.566119208900335</c:v>
                </c:pt>
                <c:pt idx="4">
                  <c:v>0.708428708608276</c:v>
                </c:pt>
                <c:pt idx="5">
                  <c:v>1.002094389586681</c:v>
                </c:pt>
                <c:pt idx="6">
                  <c:v>1.342756722322854</c:v>
                </c:pt>
                <c:pt idx="7">
                  <c:v>1.758763821727946</c:v>
                </c:pt>
                <c:pt idx="8">
                  <c:v>2.290110344397586</c:v>
                </c:pt>
                <c:pt idx="9">
                  <c:v>2.975100840064239</c:v>
                </c:pt>
                <c:pt idx="10">
                  <c:v>3.839225947384305</c:v>
                </c:pt>
                <c:pt idx="11">
                  <c:v>4.882961845825277</c:v>
                </c:pt>
                <c:pt idx="12">
                  <c:v>6.131748307390113</c:v>
                </c:pt>
                <c:pt idx="13">
                  <c:v>7.614065501593918</c:v>
                </c:pt>
                <c:pt idx="14">
                  <c:v>9.331271403964571</c:v>
                </c:pt>
                <c:pt idx="15">
                  <c:v>11.27383673642241</c:v>
                </c:pt>
                <c:pt idx="16">
                  <c:v>13.40861887681672</c:v>
                </c:pt>
                <c:pt idx="17">
                  <c:v>15.67755443403484</c:v>
                </c:pt>
                <c:pt idx="18">
                  <c:v>18.07312325036384</c:v>
                </c:pt>
                <c:pt idx="19">
                  <c:v>20.56157467145763</c:v>
                </c:pt>
                <c:pt idx="20">
                  <c:v>23.24844282401289</c:v>
                </c:pt>
                <c:pt idx="21">
                  <c:v>26.19025537799962</c:v>
                </c:pt>
                <c:pt idx="22">
                  <c:v>29.15920230683093</c:v>
                </c:pt>
                <c:pt idx="23">
                  <c:v>31.92092202380421</c:v>
                </c:pt>
                <c:pt idx="24">
                  <c:v>34.41198535632259</c:v>
                </c:pt>
                <c:pt idx="25">
                  <c:v>36.69689255015587</c:v>
                </c:pt>
                <c:pt idx="26">
                  <c:v>38.82689993797014</c:v>
                </c:pt>
                <c:pt idx="27">
                  <c:v>40.79766069610923</c:v>
                </c:pt>
                <c:pt idx="28">
                  <c:v>42.61997941441686</c:v>
                </c:pt>
                <c:pt idx="29">
                  <c:v>44.29662812218267</c:v>
                </c:pt>
                <c:pt idx="30">
                  <c:v>45.78390587942066</c:v>
                </c:pt>
                <c:pt idx="31">
                  <c:v>47.12891785178068</c:v>
                </c:pt>
                <c:pt idx="32">
                  <c:v>48.32769059269313</c:v>
                </c:pt>
                <c:pt idx="33">
                  <c:v>49.37133968273869</c:v>
                </c:pt>
                <c:pt idx="34">
                  <c:v>50.29704252621665</c:v>
                </c:pt>
                <c:pt idx="35">
                  <c:v>50.7411837840898</c:v>
                </c:pt>
                <c:pt idx="36">
                  <c:v>51.07253912833754</c:v>
                </c:pt>
                <c:pt idx="37">
                  <c:v>51.6666708778031</c:v>
                </c:pt>
                <c:pt idx="38">
                  <c:v>52.1715412038462</c:v>
                </c:pt>
                <c:pt idx="39">
                  <c:v>52.59688088151395</c:v>
                </c:pt>
                <c:pt idx="40">
                  <c:v>52.95167199257469</c:v>
                </c:pt>
                <c:pt idx="41">
                  <c:v>53.25130996211906</c:v>
                </c:pt>
                <c:pt idx="42">
                  <c:v>53.50569651608031</c:v>
                </c:pt>
                <c:pt idx="43">
                  <c:v>53.72078853206386</c:v>
                </c:pt>
                <c:pt idx="44">
                  <c:v>53.90444796077003</c:v>
                </c:pt>
                <c:pt idx="45">
                  <c:v>54.0640368781876</c:v>
                </c:pt>
                <c:pt idx="46">
                  <c:v>54.2050771769447</c:v>
                </c:pt>
                <c:pt idx="47">
                  <c:v>54.33122908556925</c:v>
                </c:pt>
                <c:pt idx="48">
                  <c:v>54.44807691899595</c:v>
                </c:pt>
                <c:pt idx="49">
                  <c:v>54.55785936024075</c:v>
                </c:pt>
                <c:pt idx="50">
                  <c:v>54.65988328357194</c:v>
                </c:pt>
                <c:pt idx="51">
                  <c:v>54.7560132701339</c:v>
                </c:pt>
                <c:pt idx="52">
                  <c:v>54.84575510491933</c:v>
                </c:pt>
                <c:pt idx="53">
                  <c:v>54.93032929229032</c:v>
                </c:pt>
                <c:pt idx="54">
                  <c:v>55.01374263813758</c:v>
                </c:pt>
                <c:pt idx="55">
                  <c:v>55.09742564122264</c:v>
                </c:pt>
                <c:pt idx="56">
                  <c:v>55.1807567744974</c:v>
                </c:pt>
                <c:pt idx="57">
                  <c:v>55.26380321737822</c:v>
                </c:pt>
                <c:pt idx="58">
                  <c:v>55.34750877019746</c:v>
                </c:pt>
                <c:pt idx="59">
                  <c:v>55.4302334095802</c:v>
                </c:pt>
                <c:pt idx="60">
                  <c:v>55.51637287475622</c:v>
                </c:pt>
                <c:pt idx="61">
                  <c:v>55.60664055838875</c:v>
                </c:pt>
                <c:pt idx="62">
                  <c:v>55.69571400554992</c:v>
                </c:pt>
                <c:pt idx="63">
                  <c:v>55.78400202224026</c:v>
                </c:pt>
                <c:pt idx="64">
                  <c:v>55.87144829078194</c:v>
                </c:pt>
                <c:pt idx="65">
                  <c:v>55.95686611724977</c:v>
                </c:pt>
                <c:pt idx="66">
                  <c:v>56.04056072334399</c:v>
                </c:pt>
                <c:pt idx="67">
                  <c:v>56.12403910978234</c:v>
                </c:pt>
                <c:pt idx="68">
                  <c:v>56.20704432715982</c:v>
                </c:pt>
                <c:pt idx="69">
                  <c:v>56.28960855700664</c:v>
                </c:pt>
                <c:pt idx="70">
                  <c:v>56.37287022095271</c:v>
                </c:pt>
                <c:pt idx="71">
                  <c:v>56.45807182776467</c:v>
                </c:pt>
                <c:pt idx="72">
                  <c:v>56.54369028595968</c:v>
                </c:pt>
                <c:pt idx="73">
                  <c:v>56.62801796309281</c:v>
                </c:pt>
                <c:pt idx="74">
                  <c:v>56.71080645797803</c:v>
                </c:pt>
                <c:pt idx="75">
                  <c:v>56.79254503044128</c:v>
                </c:pt>
                <c:pt idx="76">
                  <c:v>56.87380289129754</c:v>
                </c:pt>
                <c:pt idx="77">
                  <c:v>56.9552850171922</c:v>
                </c:pt>
                <c:pt idx="78">
                  <c:v>57.0384581819303</c:v>
                </c:pt>
                <c:pt idx="79">
                  <c:v>57.12251332172976</c:v>
                </c:pt>
                <c:pt idx="80">
                  <c:v>57.20755452372725</c:v>
                </c:pt>
                <c:pt idx="81">
                  <c:v>57.29455175935571</c:v>
                </c:pt>
                <c:pt idx="82">
                  <c:v>57.38341703224356</c:v>
                </c:pt>
                <c:pt idx="83">
                  <c:v>57.47480704674096</c:v>
                </c:pt>
                <c:pt idx="84">
                  <c:v>57.56931514981048</c:v>
                </c:pt>
                <c:pt idx="85">
                  <c:v>57.66664517080726</c:v>
                </c:pt>
                <c:pt idx="86">
                  <c:v>57.7674462715353</c:v>
                </c:pt>
                <c:pt idx="87">
                  <c:v>57.87363375587643</c:v>
                </c:pt>
                <c:pt idx="88">
                  <c:v>57.98665880970699</c:v>
                </c:pt>
                <c:pt idx="89">
                  <c:v>58.1072832301866</c:v>
                </c:pt>
                <c:pt idx="90">
                  <c:v>58.23450436151574</c:v>
                </c:pt>
                <c:pt idx="91">
                  <c:v>58.3660780448011</c:v>
                </c:pt>
                <c:pt idx="92">
                  <c:v>58.49181631156014</c:v>
                </c:pt>
                <c:pt idx="93">
                  <c:v>58.60174741296619</c:v>
                </c:pt>
                <c:pt idx="94">
                  <c:v>58.69711335494945</c:v>
                </c:pt>
                <c:pt idx="95">
                  <c:v>58.77957349765961</c:v>
                </c:pt>
                <c:pt idx="96">
                  <c:v>58.8560295224954</c:v>
                </c:pt>
              </c:numCache>
            </c:numRef>
          </c:yVal>
          <c:smooth val="0"/>
        </c:ser>
        <c:ser>
          <c:idx val="0"/>
          <c:order val="4"/>
          <c:tx>
            <c:strRef>
              <c:f>Metabolites!$F$1</c:f>
              <c:strCache>
                <c:ptCount val="1"/>
                <c:pt idx="0">
                  <c:v>D-Fructose</c:v>
                </c:pt>
              </c:strCache>
            </c:strRef>
          </c:tx>
          <c:spPr>
            <a:ln>
              <a:solidFill>
                <a:srgbClr val="67FF65"/>
              </a:solidFill>
            </a:ln>
          </c:spPr>
          <c:marker>
            <c:symbol val="circle"/>
            <c:size val="8"/>
            <c:spPr>
              <a:solidFill>
                <a:srgbClr val="67FF65"/>
              </a:solidFill>
              <a:ln>
                <a:solidFill>
                  <a:srgbClr val="67FF65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Metabolites!$I$4:$I$20</c:f>
                <c:numCache>
                  <c:formatCode>General</c:formatCode>
                  <c:ptCount val="17"/>
                  <c:pt idx="0">
                    <c:v>0.347254469382393</c:v>
                  </c:pt>
                  <c:pt idx="1">
                    <c:v>0.149525001551411</c:v>
                  </c:pt>
                  <c:pt idx="2">
                    <c:v>0.241438464547085</c:v>
                  </c:pt>
                  <c:pt idx="3">
                    <c:v>0.735719355850181</c:v>
                  </c:pt>
                  <c:pt idx="4">
                    <c:v>0.120226860926563</c:v>
                  </c:pt>
                  <c:pt idx="5">
                    <c:v>0.191813649403103</c:v>
                  </c:pt>
                  <c:pt idx="6">
                    <c:v>0.0264872250026616</c:v>
                  </c:pt>
                  <c:pt idx="7">
                    <c:v>0.153872195222864</c:v>
                  </c:pt>
                  <c:pt idx="8">
                    <c:v>0.0</c:v>
                  </c:pt>
                  <c:pt idx="9">
                    <c:v>0.0</c:v>
                  </c:pt>
                  <c:pt idx="10">
                    <c:v>0.0</c:v>
                  </c:pt>
                  <c:pt idx="11">
                    <c:v>0.0</c:v>
                  </c:pt>
                  <c:pt idx="12">
                    <c:v>0.0</c:v>
                  </c:pt>
                  <c:pt idx="13">
                    <c:v>0.0</c:v>
                  </c:pt>
                  <c:pt idx="14">
                    <c:v>0.0</c:v>
                  </c:pt>
                  <c:pt idx="15">
                    <c:v>0.0</c:v>
                  </c:pt>
                  <c:pt idx="16">
                    <c:v>0.0</c:v>
                  </c:pt>
                </c:numCache>
              </c:numRef>
            </c:plus>
            <c:minus>
              <c:numRef>
                <c:f>Metabolites!$I$4:$I$20</c:f>
                <c:numCache>
                  <c:formatCode>General</c:formatCode>
                  <c:ptCount val="17"/>
                  <c:pt idx="0">
                    <c:v>0.347254469382393</c:v>
                  </c:pt>
                  <c:pt idx="1">
                    <c:v>0.149525001551411</c:v>
                  </c:pt>
                  <c:pt idx="2">
                    <c:v>0.241438464547085</c:v>
                  </c:pt>
                  <c:pt idx="3">
                    <c:v>0.735719355850181</c:v>
                  </c:pt>
                  <c:pt idx="4">
                    <c:v>0.120226860926563</c:v>
                  </c:pt>
                  <c:pt idx="5">
                    <c:v>0.191813649403103</c:v>
                  </c:pt>
                  <c:pt idx="6">
                    <c:v>0.0264872250026616</c:v>
                  </c:pt>
                  <c:pt idx="7">
                    <c:v>0.153872195222864</c:v>
                  </c:pt>
                  <c:pt idx="8">
                    <c:v>0.0</c:v>
                  </c:pt>
                  <c:pt idx="9">
                    <c:v>0.0</c:v>
                  </c:pt>
                  <c:pt idx="10">
                    <c:v>0.0</c:v>
                  </c:pt>
                  <c:pt idx="11">
                    <c:v>0.0</c:v>
                  </c:pt>
                  <c:pt idx="12">
                    <c:v>0.0</c:v>
                  </c:pt>
                  <c:pt idx="13">
                    <c:v>0.0</c:v>
                  </c:pt>
                  <c:pt idx="14">
                    <c:v>0.0</c:v>
                  </c:pt>
                  <c:pt idx="15">
                    <c:v>0.0</c:v>
                  </c:pt>
                  <c:pt idx="16">
                    <c:v>0.0</c:v>
                  </c:pt>
                </c:numCache>
              </c:numRef>
            </c:minus>
            <c:spPr>
              <a:ln>
                <a:solidFill>
                  <a:schemeClr val="bg1">
                    <a:lumMod val="50000"/>
                  </a:schemeClr>
                </a:solidFill>
              </a:ln>
            </c:spPr>
          </c:errBars>
          <c:xVal>
            <c:numRef>
              <c:f>Metabolites!$E$4:$E$20</c:f>
              <c:numCache>
                <c:formatCode>0</c:formatCode>
                <c:ptCount val="17"/>
                <c:pt idx="0">
                  <c:v>0.166666666666667</c:v>
                </c:pt>
                <c:pt idx="1">
                  <c:v>2.0</c:v>
                </c:pt>
                <c:pt idx="2">
                  <c:v>3.333333333333333</c:v>
                </c:pt>
                <c:pt idx="3">
                  <c:v>4.666666666666667</c:v>
                </c:pt>
                <c:pt idx="4">
                  <c:v>6.0</c:v>
                </c:pt>
                <c:pt idx="5">
                  <c:v>7.333333333333332</c:v>
                </c:pt>
                <c:pt idx="6">
                  <c:v>8.666666666666665</c:v>
                </c:pt>
                <c:pt idx="7">
                  <c:v>10.0</c:v>
                </c:pt>
                <c:pt idx="8">
                  <c:v>11.33333333333333</c:v>
                </c:pt>
                <c:pt idx="9">
                  <c:v>12.66666666666667</c:v>
                </c:pt>
                <c:pt idx="10">
                  <c:v>14.0</c:v>
                </c:pt>
                <c:pt idx="11">
                  <c:v>15.33333333333333</c:v>
                </c:pt>
                <c:pt idx="12">
                  <c:v>16.66666666666667</c:v>
                </c:pt>
                <c:pt idx="13">
                  <c:v>18.0</c:v>
                </c:pt>
                <c:pt idx="14">
                  <c:v>24.0</c:v>
                </c:pt>
                <c:pt idx="15">
                  <c:v>30.0</c:v>
                </c:pt>
                <c:pt idx="16">
                  <c:v>48.0</c:v>
                </c:pt>
              </c:numCache>
            </c:numRef>
          </c:xVal>
          <c:yVal>
            <c:numRef>
              <c:f>Metabolites!$H$4:$H$20</c:f>
              <c:numCache>
                <c:formatCode>0</c:formatCode>
                <c:ptCount val="17"/>
                <c:pt idx="0">
                  <c:v>49.18837503141612</c:v>
                </c:pt>
                <c:pt idx="1">
                  <c:v>48.16470008202639</c:v>
                </c:pt>
                <c:pt idx="2">
                  <c:v>47.3592206775776</c:v>
                </c:pt>
                <c:pt idx="3">
                  <c:v>45.06257467210196</c:v>
                </c:pt>
                <c:pt idx="4">
                  <c:v>41.39611081276365</c:v>
                </c:pt>
                <c:pt idx="5">
                  <c:v>33.87447654110263</c:v>
                </c:pt>
                <c:pt idx="6">
                  <c:v>23.72234556043461</c:v>
                </c:pt>
                <c:pt idx="7">
                  <c:v>10.29400550253835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</c:numCache>
            </c:numRef>
          </c:yVal>
          <c:smooth val="0"/>
        </c:ser>
        <c:ser>
          <c:idx val="6"/>
          <c:order val="5"/>
          <c:tx>
            <c:strRef>
              <c:f>Metabolites!$J$22</c:f>
              <c:strCache>
                <c:ptCount val="1"/>
                <c:pt idx="0">
                  <c:v>Butyric acid</c:v>
                </c:pt>
              </c:strCache>
            </c:strRef>
          </c:tx>
          <c:spPr>
            <a:ln>
              <a:solidFill>
                <a:srgbClr val="BF0000"/>
              </a:solidFill>
            </a:ln>
          </c:spPr>
          <c:marker>
            <c:symbol val="triangle"/>
            <c:size val="8"/>
            <c:spPr>
              <a:solidFill>
                <a:srgbClr val="BF0000"/>
              </a:solidFill>
              <a:ln>
                <a:solidFill>
                  <a:srgbClr val="BF0000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Metabolites!$M$25:$M$41</c:f>
                <c:numCache>
                  <c:formatCode>General</c:formatCode>
                  <c:ptCount val="17"/>
                  <c:pt idx="0">
                    <c:v>0.0131285898516018</c:v>
                  </c:pt>
                  <c:pt idx="1">
                    <c:v>0.0131446296681585</c:v>
                  </c:pt>
                  <c:pt idx="2">
                    <c:v>0.0526444478496528</c:v>
                  </c:pt>
                  <c:pt idx="3">
                    <c:v>0.130040055457878</c:v>
                  </c:pt>
                  <c:pt idx="4">
                    <c:v>0.0132735661929734</c:v>
                  </c:pt>
                  <c:pt idx="5">
                    <c:v>0.115890204684032</c:v>
                  </c:pt>
                  <c:pt idx="6">
                    <c:v>0.013539718693904</c:v>
                  </c:pt>
                  <c:pt idx="7">
                    <c:v>0.494329092697178</c:v>
                  </c:pt>
                  <c:pt idx="8">
                    <c:v>0.330509130530922</c:v>
                  </c:pt>
                  <c:pt idx="9">
                    <c:v>0.150358102323797</c:v>
                  </c:pt>
                  <c:pt idx="10">
                    <c:v>0.144679940698565</c:v>
                  </c:pt>
                  <c:pt idx="11">
                    <c:v>0.539505167106991</c:v>
                  </c:pt>
                  <c:pt idx="12">
                    <c:v>0.0871518034350575</c:v>
                  </c:pt>
                  <c:pt idx="13">
                    <c:v>0.278060518512736</c:v>
                  </c:pt>
                  <c:pt idx="14">
                    <c:v>0.358026679023293</c:v>
                  </c:pt>
                  <c:pt idx="15">
                    <c:v>0.100724327663521</c:v>
                  </c:pt>
                  <c:pt idx="16">
                    <c:v>0.137706623630684</c:v>
                  </c:pt>
                </c:numCache>
              </c:numRef>
            </c:plus>
            <c:minus>
              <c:numRef>
                <c:f>Metabolites!$M$25:$M$41</c:f>
                <c:numCache>
                  <c:formatCode>General</c:formatCode>
                  <c:ptCount val="17"/>
                  <c:pt idx="0">
                    <c:v>0.0131285898516018</c:v>
                  </c:pt>
                  <c:pt idx="1">
                    <c:v>0.0131446296681585</c:v>
                  </c:pt>
                  <c:pt idx="2">
                    <c:v>0.0526444478496528</c:v>
                  </c:pt>
                  <c:pt idx="3">
                    <c:v>0.130040055457878</c:v>
                  </c:pt>
                  <c:pt idx="4">
                    <c:v>0.0132735661929734</c:v>
                  </c:pt>
                  <c:pt idx="5">
                    <c:v>0.115890204684032</c:v>
                  </c:pt>
                  <c:pt idx="6">
                    <c:v>0.013539718693904</c:v>
                  </c:pt>
                  <c:pt idx="7">
                    <c:v>0.494329092697178</c:v>
                  </c:pt>
                  <c:pt idx="8">
                    <c:v>0.330509130530922</c:v>
                  </c:pt>
                  <c:pt idx="9">
                    <c:v>0.150358102323797</c:v>
                  </c:pt>
                  <c:pt idx="10">
                    <c:v>0.144679940698565</c:v>
                  </c:pt>
                  <c:pt idx="11">
                    <c:v>0.539505167106991</c:v>
                  </c:pt>
                  <c:pt idx="12">
                    <c:v>0.0871518034350575</c:v>
                  </c:pt>
                  <c:pt idx="13">
                    <c:v>0.278060518512736</c:v>
                  </c:pt>
                  <c:pt idx="14">
                    <c:v>0.358026679023293</c:v>
                  </c:pt>
                  <c:pt idx="15">
                    <c:v>0.100724327663521</c:v>
                  </c:pt>
                  <c:pt idx="16">
                    <c:v>0.137706623630684</c:v>
                  </c:pt>
                </c:numCache>
              </c:numRef>
            </c:minus>
          </c:errBars>
          <c:xVal>
            <c:numRef>
              <c:f>Metabolites!$E$4:$E$20</c:f>
              <c:numCache>
                <c:formatCode>0</c:formatCode>
                <c:ptCount val="17"/>
                <c:pt idx="0">
                  <c:v>0.166666666666667</c:v>
                </c:pt>
                <c:pt idx="1">
                  <c:v>2.0</c:v>
                </c:pt>
                <c:pt idx="2">
                  <c:v>3.333333333333333</c:v>
                </c:pt>
                <c:pt idx="3">
                  <c:v>4.666666666666667</c:v>
                </c:pt>
                <c:pt idx="4">
                  <c:v>6.0</c:v>
                </c:pt>
                <c:pt idx="5">
                  <c:v>7.333333333333332</c:v>
                </c:pt>
                <c:pt idx="6">
                  <c:v>8.666666666666665</c:v>
                </c:pt>
                <c:pt idx="7">
                  <c:v>10.0</c:v>
                </c:pt>
                <c:pt idx="8">
                  <c:v>11.33333333333333</c:v>
                </c:pt>
                <c:pt idx="9">
                  <c:v>12.66666666666667</c:v>
                </c:pt>
                <c:pt idx="10">
                  <c:v>14.0</c:v>
                </c:pt>
                <c:pt idx="11">
                  <c:v>15.33333333333333</c:v>
                </c:pt>
                <c:pt idx="12">
                  <c:v>16.66666666666667</c:v>
                </c:pt>
                <c:pt idx="13">
                  <c:v>18.0</c:v>
                </c:pt>
                <c:pt idx="14">
                  <c:v>24.0</c:v>
                </c:pt>
                <c:pt idx="15">
                  <c:v>30.0</c:v>
                </c:pt>
                <c:pt idx="16">
                  <c:v>48.0</c:v>
                </c:pt>
              </c:numCache>
            </c:numRef>
          </c:xVal>
          <c:yVal>
            <c:numRef>
              <c:f>Metabolites!$L$25:$L$41</c:f>
              <c:numCache>
                <c:formatCode>0</c:formatCode>
                <c:ptCount val="17"/>
                <c:pt idx="0">
                  <c:v>1.652395284908745</c:v>
                </c:pt>
                <c:pt idx="1">
                  <c:v>2.238771365806222</c:v>
                </c:pt>
                <c:pt idx="2">
                  <c:v>3.138210043679968</c:v>
                </c:pt>
                <c:pt idx="3">
                  <c:v>5.015988650461465</c:v>
                </c:pt>
                <c:pt idx="4">
                  <c:v>8.491154692198428</c:v>
                </c:pt>
                <c:pt idx="5">
                  <c:v>13.58233198896856</c:v>
                </c:pt>
                <c:pt idx="6">
                  <c:v>19.62107218401989</c:v>
                </c:pt>
                <c:pt idx="7">
                  <c:v>26.78013042615338</c:v>
                </c:pt>
                <c:pt idx="8">
                  <c:v>31.80624527917185</c:v>
                </c:pt>
                <c:pt idx="9">
                  <c:v>32.9848945086019</c:v>
                </c:pt>
                <c:pt idx="10">
                  <c:v>33.6380862124163</c:v>
                </c:pt>
                <c:pt idx="11">
                  <c:v>33.78804393049167</c:v>
                </c:pt>
                <c:pt idx="12">
                  <c:v>31.61640209329361</c:v>
                </c:pt>
                <c:pt idx="13">
                  <c:v>34.33973132559057</c:v>
                </c:pt>
                <c:pt idx="14">
                  <c:v>35.03175497274378</c:v>
                </c:pt>
                <c:pt idx="15">
                  <c:v>36.03174061192891</c:v>
                </c:pt>
                <c:pt idx="16">
                  <c:v>37.52100435993498</c:v>
                </c:pt>
              </c:numCache>
            </c:numRef>
          </c:yVal>
          <c:smooth val="0"/>
        </c:ser>
        <c:ser>
          <c:idx val="10"/>
          <c:order val="7"/>
          <c:tx>
            <c:v>H2</c:v>
          </c:tx>
          <c:spPr>
            <a:ln>
              <a:solidFill>
                <a:schemeClr val="tx2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'H2'!$A$5:$A$101</c:f>
              <c:numCache>
                <c:formatCode>0.0</c:formatCode>
                <c:ptCount val="97"/>
                <c:pt idx="0">
                  <c:v>0.0</c:v>
                </c:pt>
                <c:pt idx="1">
                  <c:v>0.5</c:v>
                </c:pt>
                <c:pt idx="2">
                  <c:v>1.0</c:v>
                </c:pt>
                <c:pt idx="3">
                  <c:v>1.5</c:v>
                </c:pt>
                <c:pt idx="4">
                  <c:v>2.0</c:v>
                </c:pt>
                <c:pt idx="5">
                  <c:v>2.5</c:v>
                </c:pt>
                <c:pt idx="6">
                  <c:v>3.0</c:v>
                </c:pt>
                <c:pt idx="7">
                  <c:v>3.5</c:v>
                </c:pt>
                <c:pt idx="8">
                  <c:v>4.0</c:v>
                </c:pt>
                <c:pt idx="9">
                  <c:v>4.5</c:v>
                </c:pt>
                <c:pt idx="10">
                  <c:v>5.0</c:v>
                </c:pt>
                <c:pt idx="11">
                  <c:v>5.5</c:v>
                </c:pt>
                <c:pt idx="12">
                  <c:v>6.0</c:v>
                </c:pt>
                <c:pt idx="13">
                  <c:v>6.5</c:v>
                </c:pt>
                <c:pt idx="14">
                  <c:v>7.0</c:v>
                </c:pt>
                <c:pt idx="15">
                  <c:v>7.5</c:v>
                </c:pt>
                <c:pt idx="16">
                  <c:v>8.0</c:v>
                </c:pt>
                <c:pt idx="17">
                  <c:v>8.5</c:v>
                </c:pt>
                <c:pt idx="18">
                  <c:v>9.0</c:v>
                </c:pt>
                <c:pt idx="19">
                  <c:v>9.5</c:v>
                </c:pt>
                <c:pt idx="20">
                  <c:v>10.0</c:v>
                </c:pt>
                <c:pt idx="21">
                  <c:v>10.5</c:v>
                </c:pt>
                <c:pt idx="22">
                  <c:v>11.0</c:v>
                </c:pt>
                <c:pt idx="23">
                  <c:v>11.5</c:v>
                </c:pt>
                <c:pt idx="24">
                  <c:v>12.0</c:v>
                </c:pt>
                <c:pt idx="25">
                  <c:v>12.5</c:v>
                </c:pt>
                <c:pt idx="26">
                  <c:v>13.0</c:v>
                </c:pt>
                <c:pt idx="27">
                  <c:v>13.5</c:v>
                </c:pt>
                <c:pt idx="28">
                  <c:v>14.0</c:v>
                </c:pt>
                <c:pt idx="29">
                  <c:v>14.5</c:v>
                </c:pt>
                <c:pt idx="30">
                  <c:v>15.0</c:v>
                </c:pt>
                <c:pt idx="31">
                  <c:v>15.5</c:v>
                </c:pt>
                <c:pt idx="32">
                  <c:v>16.0</c:v>
                </c:pt>
                <c:pt idx="33">
                  <c:v>16.5</c:v>
                </c:pt>
                <c:pt idx="34">
                  <c:v>17.0</c:v>
                </c:pt>
                <c:pt idx="35">
                  <c:v>17.5</c:v>
                </c:pt>
                <c:pt idx="36">
                  <c:v>18.0</c:v>
                </c:pt>
                <c:pt idx="37">
                  <c:v>18.5</c:v>
                </c:pt>
                <c:pt idx="38">
                  <c:v>19.0</c:v>
                </c:pt>
                <c:pt idx="39">
                  <c:v>19.5</c:v>
                </c:pt>
                <c:pt idx="40">
                  <c:v>20.0</c:v>
                </c:pt>
                <c:pt idx="41">
                  <c:v>20.5</c:v>
                </c:pt>
                <c:pt idx="42">
                  <c:v>21.0</c:v>
                </c:pt>
                <c:pt idx="43">
                  <c:v>21.5</c:v>
                </c:pt>
                <c:pt idx="44">
                  <c:v>22.0</c:v>
                </c:pt>
                <c:pt idx="45">
                  <c:v>22.5</c:v>
                </c:pt>
                <c:pt idx="46">
                  <c:v>23.0</c:v>
                </c:pt>
                <c:pt idx="47">
                  <c:v>23.5</c:v>
                </c:pt>
                <c:pt idx="48">
                  <c:v>24.0</c:v>
                </c:pt>
                <c:pt idx="49">
                  <c:v>24.5</c:v>
                </c:pt>
                <c:pt idx="50">
                  <c:v>25.0</c:v>
                </c:pt>
                <c:pt idx="51">
                  <c:v>25.5</c:v>
                </c:pt>
                <c:pt idx="52">
                  <c:v>26.0</c:v>
                </c:pt>
                <c:pt idx="53">
                  <c:v>26.5</c:v>
                </c:pt>
                <c:pt idx="54">
                  <c:v>27.0</c:v>
                </c:pt>
                <c:pt idx="55">
                  <c:v>27.5</c:v>
                </c:pt>
                <c:pt idx="56">
                  <c:v>28.0</c:v>
                </c:pt>
                <c:pt idx="57">
                  <c:v>28.5</c:v>
                </c:pt>
                <c:pt idx="58">
                  <c:v>29.0</c:v>
                </c:pt>
                <c:pt idx="59">
                  <c:v>29.5</c:v>
                </c:pt>
                <c:pt idx="60">
                  <c:v>30.0</c:v>
                </c:pt>
                <c:pt idx="61">
                  <c:v>30.5</c:v>
                </c:pt>
                <c:pt idx="62">
                  <c:v>31.0</c:v>
                </c:pt>
                <c:pt idx="63">
                  <c:v>31.5</c:v>
                </c:pt>
                <c:pt idx="64">
                  <c:v>32.0</c:v>
                </c:pt>
                <c:pt idx="65">
                  <c:v>32.5</c:v>
                </c:pt>
                <c:pt idx="66">
                  <c:v>33.0</c:v>
                </c:pt>
                <c:pt idx="67">
                  <c:v>33.5</c:v>
                </c:pt>
                <c:pt idx="68">
                  <c:v>34.0</c:v>
                </c:pt>
                <c:pt idx="69">
                  <c:v>34.5</c:v>
                </c:pt>
                <c:pt idx="70">
                  <c:v>35.0</c:v>
                </c:pt>
                <c:pt idx="71">
                  <c:v>35.5</c:v>
                </c:pt>
                <c:pt idx="72">
                  <c:v>36.0</c:v>
                </c:pt>
                <c:pt idx="73">
                  <c:v>36.5</c:v>
                </c:pt>
                <c:pt idx="74">
                  <c:v>37.0</c:v>
                </c:pt>
                <c:pt idx="75">
                  <c:v>37.5</c:v>
                </c:pt>
                <c:pt idx="76">
                  <c:v>38.0</c:v>
                </c:pt>
                <c:pt idx="77">
                  <c:v>38.5</c:v>
                </c:pt>
                <c:pt idx="78">
                  <c:v>39.0</c:v>
                </c:pt>
                <c:pt idx="79">
                  <c:v>39.5</c:v>
                </c:pt>
                <c:pt idx="80">
                  <c:v>40.0</c:v>
                </c:pt>
                <c:pt idx="81">
                  <c:v>40.5</c:v>
                </c:pt>
                <c:pt idx="82">
                  <c:v>41.0</c:v>
                </c:pt>
                <c:pt idx="83">
                  <c:v>41.5</c:v>
                </c:pt>
                <c:pt idx="84">
                  <c:v>42.0</c:v>
                </c:pt>
                <c:pt idx="85">
                  <c:v>42.5</c:v>
                </c:pt>
                <c:pt idx="86">
                  <c:v>43.0</c:v>
                </c:pt>
                <c:pt idx="87">
                  <c:v>43.5</c:v>
                </c:pt>
                <c:pt idx="88">
                  <c:v>44.0</c:v>
                </c:pt>
                <c:pt idx="89">
                  <c:v>44.5</c:v>
                </c:pt>
                <c:pt idx="90">
                  <c:v>45.0</c:v>
                </c:pt>
                <c:pt idx="91">
                  <c:v>45.5</c:v>
                </c:pt>
                <c:pt idx="92">
                  <c:v>46.0</c:v>
                </c:pt>
                <c:pt idx="93">
                  <c:v>46.5</c:v>
                </c:pt>
                <c:pt idx="94">
                  <c:v>47.0</c:v>
                </c:pt>
                <c:pt idx="95">
                  <c:v>47.5</c:v>
                </c:pt>
                <c:pt idx="96">
                  <c:v>48.0</c:v>
                </c:pt>
              </c:numCache>
            </c:numRef>
          </c:xVal>
          <c:yVal>
            <c:numRef>
              <c:f>'H2'!$G$5:$G$101</c:f>
              <c:numCache>
                <c:formatCode>0.0</c:formatCode>
                <c:ptCount val="97"/>
                <c:pt idx="0">
                  <c:v>0.128473494405888</c:v>
                </c:pt>
                <c:pt idx="1">
                  <c:v>0.528782764817416</c:v>
                </c:pt>
                <c:pt idx="2">
                  <c:v>1.10647914118577</c:v>
                </c:pt>
                <c:pt idx="3">
                  <c:v>1.435602089064056</c:v>
                </c:pt>
                <c:pt idx="4">
                  <c:v>1.876664012427764</c:v>
                </c:pt>
                <c:pt idx="5">
                  <c:v>2.772593348724242</c:v>
                </c:pt>
                <c:pt idx="6">
                  <c:v>3.916092640589851</c:v>
                </c:pt>
                <c:pt idx="7">
                  <c:v>5.485345981975516</c:v>
                </c:pt>
                <c:pt idx="8">
                  <c:v>7.644661973447029</c:v>
                </c:pt>
                <c:pt idx="9">
                  <c:v>10.33017656137137</c:v>
                </c:pt>
                <c:pt idx="10">
                  <c:v>13.20697637761188</c:v>
                </c:pt>
                <c:pt idx="11">
                  <c:v>16.16467653382223</c:v>
                </c:pt>
                <c:pt idx="12">
                  <c:v>19.40961161864648</c:v>
                </c:pt>
                <c:pt idx="13">
                  <c:v>22.9213918157819</c:v>
                </c:pt>
                <c:pt idx="14">
                  <c:v>26.49051430263253</c:v>
                </c:pt>
                <c:pt idx="15">
                  <c:v>30.07146894585261</c:v>
                </c:pt>
                <c:pt idx="16">
                  <c:v>33.37192760305335</c:v>
                </c:pt>
                <c:pt idx="17">
                  <c:v>36.08359165587277</c:v>
                </c:pt>
                <c:pt idx="18">
                  <c:v>38.69384788769359</c:v>
                </c:pt>
                <c:pt idx="19">
                  <c:v>41.53405151093757</c:v>
                </c:pt>
                <c:pt idx="20">
                  <c:v>44.60357877175882</c:v>
                </c:pt>
                <c:pt idx="21">
                  <c:v>47.87352023813227</c:v>
                </c:pt>
                <c:pt idx="22">
                  <c:v>50.2828927761262</c:v>
                </c:pt>
                <c:pt idx="23">
                  <c:v>51.5181830921172</c:v>
                </c:pt>
                <c:pt idx="24">
                  <c:v>52.34023425293852</c:v>
                </c:pt>
                <c:pt idx="25">
                  <c:v>53.10448958988664</c:v>
                </c:pt>
                <c:pt idx="26">
                  <c:v>53.81471921833352</c:v>
                </c:pt>
                <c:pt idx="27">
                  <c:v>54.3975607000915</c:v>
                </c:pt>
                <c:pt idx="28">
                  <c:v>54.86162744118046</c:v>
                </c:pt>
                <c:pt idx="29">
                  <c:v>55.27264687723649</c:v>
                </c:pt>
                <c:pt idx="30">
                  <c:v>55.67207272226072</c:v>
                </c:pt>
                <c:pt idx="31">
                  <c:v>56.0181849905001</c:v>
                </c:pt>
                <c:pt idx="32">
                  <c:v>56.31385447372325</c:v>
                </c:pt>
                <c:pt idx="33">
                  <c:v>56.54339495664616</c:v>
                </c:pt>
                <c:pt idx="34">
                  <c:v>56.71710673209561</c:v>
                </c:pt>
                <c:pt idx="35">
                  <c:v>56.79210511665108</c:v>
                </c:pt>
                <c:pt idx="36">
                  <c:v>56.82447783230384</c:v>
                </c:pt>
                <c:pt idx="37">
                  <c:v>56.87830990833368</c:v>
                </c:pt>
                <c:pt idx="38">
                  <c:v>56.914811950161</c:v>
                </c:pt>
                <c:pt idx="39">
                  <c:v>56.94387091571055</c:v>
                </c:pt>
                <c:pt idx="40">
                  <c:v>56.97191491631313</c:v>
                </c:pt>
                <c:pt idx="41">
                  <c:v>56.99890636067442</c:v>
                </c:pt>
                <c:pt idx="42">
                  <c:v>57.02683758739401</c:v>
                </c:pt>
                <c:pt idx="43">
                  <c:v>57.05488158799659</c:v>
                </c:pt>
                <c:pt idx="44">
                  <c:v>57.0840157361348</c:v>
                </c:pt>
                <c:pt idx="45">
                  <c:v>57.11269878874104</c:v>
                </c:pt>
                <c:pt idx="46">
                  <c:v>57.1436373190072</c:v>
                </c:pt>
                <c:pt idx="47">
                  <c:v>57.1829211166151</c:v>
                </c:pt>
                <c:pt idx="48">
                  <c:v>57.2298660422786</c:v>
                </c:pt>
                <c:pt idx="49">
                  <c:v>57.28448243801578</c:v>
                </c:pt>
                <c:pt idx="50">
                  <c:v>57.34087462531901</c:v>
                </c:pt>
                <c:pt idx="51">
                  <c:v>57.39742466076144</c:v>
                </c:pt>
                <c:pt idx="52">
                  <c:v>57.45113342969819</c:v>
                </c:pt>
                <c:pt idx="53">
                  <c:v>57.5007381470156</c:v>
                </c:pt>
                <c:pt idx="54">
                  <c:v>57.55136887723786</c:v>
                </c:pt>
                <c:pt idx="55">
                  <c:v>57.605393342453</c:v>
                </c:pt>
                <c:pt idx="56">
                  <c:v>57.66194337789545</c:v>
                </c:pt>
                <c:pt idx="57">
                  <c:v>57.7160073051454</c:v>
                </c:pt>
                <c:pt idx="58">
                  <c:v>57.76888737135133</c:v>
                </c:pt>
                <c:pt idx="59">
                  <c:v>57.82220151994006</c:v>
                </c:pt>
                <c:pt idx="60">
                  <c:v>57.87548060218128</c:v>
                </c:pt>
                <c:pt idx="61">
                  <c:v>57.93148953843296</c:v>
                </c:pt>
                <c:pt idx="62">
                  <c:v>57.98513313221675</c:v>
                </c:pt>
                <c:pt idx="63">
                  <c:v>58.03037131258788</c:v>
                </c:pt>
                <c:pt idx="64">
                  <c:v>58.07244162358238</c:v>
                </c:pt>
                <c:pt idx="65">
                  <c:v>58.11379388418483</c:v>
                </c:pt>
                <c:pt idx="66">
                  <c:v>58.1551461447873</c:v>
                </c:pt>
                <c:pt idx="67">
                  <c:v>58.19725869404014</c:v>
                </c:pt>
                <c:pt idx="68">
                  <c:v>58.23366907841505</c:v>
                </c:pt>
                <c:pt idx="69">
                  <c:v>58.269488127173</c:v>
                </c:pt>
                <c:pt idx="70">
                  <c:v>58.30606746458133</c:v>
                </c:pt>
                <c:pt idx="71">
                  <c:v>58.33812730834567</c:v>
                </c:pt>
                <c:pt idx="72">
                  <c:v>58.36921567216784</c:v>
                </c:pt>
                <c:pt idx="73">
                  <c:v>58.3960802101545</c:v>
                </c:pt>
                <c:pt idx="74">
                  <c:v>58.42336713072471</c:v>
                </c:pt>
                <c:pt idx="75">
                  <c:v>58.45382192067156</c:v>
                </c:pt>
                <c:pt idx="76">
                  <c:v>58.4841922341017</c:v>
                </c:pt>
                <c:pt idx="77">
                  <c:v>58.51291525545597</c:v>
                </c:pt>
                <c:pt idx="78">
                  <c:v>58.5395263638925</c:v>
                </c:pt>
                <c:pt idx="79">
                  <c:v>58.56334924444118</c:v>
                </c:pt>
                <c:pt idx="80">
                  <c:v>58.58670750414796</c:v>
                </c:pt>
                <c:pt idx="81">
                  <c:v>58.61251608567574</c:v>
                </c:pt>
                <c:pt idx="82">
                  <c:v>58.6376910933282</c:v>
                </c:pt>
                <c:pt idx="83">
                  <c:v>58.66054249393472</c:v>
                </c:pt>
                <c:pt idx="84">
                  <c:v>58.68199952917911</c:v>
                </c:pt>
                <c:pt idx="85">
                  <c:v>58.70624479231135</c:v>
                </c:pt>
                <c:pt idx="86">
                  <c:v>58.7343342397903</c:v>
                </c:pt>
                <c:pt idx="87">
                  <c:v>58.76293054636951</c:v>
                </c:pt>
                <c:pt idx="88">
                  <c:v>58.79304743024952</c:v>
                </c:pt>
                <c:pt idx="89">
                  <c:v>58.82096792469506</c:v>
                </c:pt>
                <c:pt idx="90">
                  <c:v>58.84491802285522</c:v>
                </c:pt>
                <c:pt idx="91">
                  <c:v>58.86819180604529</c:v>
                </c:pt>
                <c:pt idx="92">
                  <c:v>58.88888855263929</c:v>
                </c:pt>
                <c:pt idx="93">
                  <c:v>58.90776905412402</c:v>
                </c:pt>
                <c:pt idx="94">
                  <c:v>58.9270719381923</c:v>
                </c:pt>
                <c:pt idx="95">
                  <c:v>58.94772644652794</c:v>
                </c:pt>
                <c:pt idx="96">
                  <c:v>58.96972607057892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3242456"/>
        <c:axId val="2072423352"/>
      </c:scatterChart>
      <c:scatterChart>
        <c:scatterStyle val="lineMarker"/>
        <c:varyColors val="0"/>
        <c:ser>
          <c:idx val="8"/>
          <c:order val="6"/>
          <c:tx>
            <c:v>CFU (log/ml)</c:v>
          </c:tx>
          <c:spPr>
            <a:ln>
              <a:solidFill>
                <a:schemeClr val="accent2">
                  <a:lumMod val="60000"/>
                  <a:lumOff val="40000"/>
                </a:schemeClr>
              </a:solidFill>
            </a:ln>
          </c:spPr>
          <c:marker>
            <c:symbol val="circle"/>
            <c:size val="8"/>
            <c:spPr>
              <a:solidFill>
                <a:schemeClr val="bg1"/>
              </a:solidFill>
              <a:ln w="25400"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</c:marker>
          <c:xVal>
            <c:numRef>
              <c:f>'Plate Count'!#REF!</c:f>
            </c:numRef>
          </c:xVal>
          <c:yVal>
            <c:numRef>
              <c:f>'Flow cytometer'!$N$4:$N$13</c:f>
              <c:numCache>
                <c:formatCode>General</c:formatCode>
                <c:ptCount val="10"/>
                <c:pt idx="0">
                  <c:v>9127.0</c:v>
                </c:pt>
                <c:pt idx="1">
                  <c:v>11964.0</c:v>
                </c:pt>
                <c:pt idx="2">
                  <c:v>19638.0</c:v>
                </c:pt>
                <c:pt idx="3">
                  <c:v>3976.0</c:v>
                </c:pt>
                <c:pt idx="4">
                  <c:v>5248.0</c:v>
                </c:pt>
                <c:pt idx="5">
                  <c:v>15256.0</c:v>
                </c:pt>
                <c:pt idx="6">
                  <c:v>22325.0</c:v>
                </c:pt>
                <c:pt idx="7">
                  <c:v>30632.0</c:v>
                </c:pt>
                <c:pt idx="8">
                  <c:v>46209.0</c:v>
                </c:pt>
                <c:pt idx="9">
                  <c:v>40227.0</c:v>
                </c:pt>
              </c:numCache>
            </c:numRef>
          </c:yVal>
          <c:smooth val="0"/>
        </c:ser>
        <c:ser>
          <c:idx val="5"/>
          <c:order val="8"/>
          <c:tx>
            <c:v>OD 600 nm</c:v>
          </c:tx>
          <c:spPr>
            <a:ln>
              <a:solidFill>
                <a:schemeClr val="tx1"/>
              </a:solidFill>
            </a:ln>
          </c:spPr>
          <c:marker>
            <c:symbol val="circle"/>
            <c:size val="8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OD600nm!$J$4:$J$20</c:f>
                <c:numCache>
                  <c:formatCode>General</c:formatCode>
                  <c:ptCount val="17"/>
                  <c:pt idx="0">
                    <c:v>5.44133936696422E-17</c:v>
                  </c:pt>
                  <c:pt idx="1">
                    <c:v>0.0</c:v>
                  </c:pt>
                  <c:pt idx="2">
                    <c:v>0.0756461307294255</c:v>
                  </c:pt>
                  <c:pt idx="3">
                    <c:v>0.00924164575891835</c:v>
                  </c:pt>
                  <c:pt idx="4">
                    <c:v>0.032014</c:v>
                  </c:pt>
                  <c:pt idx="5">
                    <c:v>0.0402833999351263</c:v>
                  </c:pt>
                  <c:pt idx="6">
                    <c:v>0.258766081249714</c:v>
                  </c:pt>
                  <c:pt idx="7">
                    <c:v>0.284546656075942</c:v>
                  </c:pt>
                  <c:pt idx="8">
                    <c:v>0.205821223641619</c:v>
                  </c:pt>
                  <c:pt idx="9">
                    <c:v>0.328566176964904</c:v>
                  </c:pt>
                  <c:pt idx="10">
                    <c:v>0.0184832915178367</c:v>
                  </c:pt>
                  <c:pt idx="11">
                    <c:v>0.151292261458851</c:v>
                  </c:pt>
                  <c:pt idx="12">
                    <c:v>0.0184832915178367</c:v>
                  </c:pt>
                  <c:pt idx="13">
                    <c:v>0.213159716384999</c:v>
                  </c:pt>
                  <c:pt idx="14">
                    <c:v>0.0554498745535101</c:v>
                  </c:pt>
                  <c:pt idx="15">
                    <c:v>0.0423505412362109</c:v>
                  </c:pt>
                  <c:pt idx="16">
                    <c:v>0.16634962366053</c:v>
                  </c:pt>
                </c:numCache>
              </c:numRef>
            </c:plus>
            <c:minus>
              <c:numRef>
                <c:f>OD600nm!$J$4:$J$20</c:f>
                <c:numCache>
                  <c:formatCode>General</c:formatCode>
                  <c:ptCount val="17"/>
                  <c:pt idx="0">
                    <c:v>5.44133936696422E-17</c:v>
                  </c:pt>
                  <c:pt idx="1">
                    <c:v>0.0</c:v>
                  </c:pt>
                  <c:pt idx="2">
                    <c:v>0.0756461307294255</c:v>
                  </c:pt>
                  <c:pt idx="3">
                    <c:v>0.00924164575891835</c:v>
                  </c:pt>
                  <c:pt idx="4">
                    <c:v>0.032014</c:v>
                  </c:pt>
                  <c:pt idx="5">
                    <c:v>0.0402833999351263</c:v>
                  </c:pt>
                  <c:pt idx="6">
                    <c:v>0.258766081249714</c:v>
                  </c:pt>
                  <c:pt idx="7">
                    <c:v>0.284546656075942</c:v>
                  </c:pt>
                  <c:pt idx="8">
                    <c:v>0.205821223641619</c:v>
                  </c:pt>
                  <c:pt idx="9">
                    <c:v>0.328566176964904</c:v>
                  </c:pt>
                  <c:pt idx="10">
                    <c:v>0.0184832915178367</c:v>
                  </c:pt>
                  <c:pt idx="11">
                    <c:v>0.151292261458851</c:v>
                  </c:pt>
                  <c:pt idx="12">
                    <c:v>0.0184832915178367</c:v>
                  </c:pt>
                  <c:pt idx="13">
                    <c:v>0.213159716384999</c:v>
                  </c:pt>
                  <c:pt idx="14">
                    <c:v>0.0554498745535101</c:v>
                  </c:pt>
                  <c:pt idx="15">
                    <c:v>0.0423505412362109</c:v>
                  </c:pt>
                  <c:pt idx="16">
                    <c:v>0.16634962366053</c:v>
                  </c:pt>
                </c:numCache>
              </c:numRef>
            </c:minus>
          </c:errBars>
          <c:xVal>
            <c:numRef>
              <c:f>OD600nm!$D$4:$D$20</c:f>
              <c:numCache>
                <c:formatCode>0</c:formatCode>
                <c:ptCount val="17"/>
                <c:pt idx="0">
                  <c:v>0.166666666666667</c:v>
                </c:pt>
                <c:pt idx="1">
                  <c:v>2.0</c:v>
                </c:pt>
                <c:pt idx="2">
                  <c:v>3.333333333333333</c:v>
                </c:pt>
                <c:pt idx="3">
                  <c:v>4.666666666666667</c:v>
                </c:pt>
                <c:pt idx="4">
                  <c:v>6.0</c:v>
                </c:pt>
                <c:pt idx="5">
                  <c:v>7.333333333333332</c:v>
                </c:pt>
                <c:pt idx="6">
                  <c:v>8.666666666666665</c:v>
                </c:pt>
                <c:pt idx="7">
                  <c:v>10.0</c:v>
                </c:pt>
                <c:pt idx="8">
                  <c:v>11.33333333333333</c:v>
                </c:pt>
                <c:pt idx="9">
                  <c:v>12.66666666666667</c:v>
                </c:pt>
                <c:pt idx="10">
                  <c:v>14.0</c:v>
                </c:pt>
                <c:pt idx="11">
                  <c:v>15.33333333333333</c:v>
                </c:pt>
                <c:pt idx="12">
                  <c:v>16.66666666666667</c:v>
                </c:pt>
                <c:pt idx="13">
                  <c:v>18.0</c:v>
                </c:pt>
                <c:pt idx="14">
                  <c:v>24.0</c:v>
                </c:pt>
                <c:pt idx="15">
                  <c:v>30.0</c:v>
                </c:pt>
                <c:pt idx="16">
                  <c:v>48.0</c:v>
                </c:pt>
              </c:numCache>
            </c:numRef>
          </c:xVal>
          <c:yVal>
            <c:numRef>
              <c:f>OD600nm!$I$4:$I$20</c:f>
              <c:numCache>
                <c:formatCode>0.000</c:formatCode>
                <c:ptCount val="17"/>
                <c:pt idx="0">
                  <c:v>0.2907323</c:v>
                </c:pt>
                <c:pt idx="1">
                  <c:v>0.4556044</c:v>
                </c:pt>
                <c:pt idx="2">
                  <c:v>0.869098333333333</c:v>
                </c:pt>
                <c:pt idx="3">
                  <c:v>1.525385333333333</c:v>
                </c:pt>
                <c:pt idx="4">
                  <c:v>2.779267</c:v>
                </c:pt>
                <c:pt idx="5">
                  <c:v>4.705442666666666</c:v>
                </c:pt>
                <c:pt idx="6">
                  <c:v>6.817751333333334</c:v>
                </c:pt>
                <c:pt idx="7">
                  <c:v>9.112088</c:v>
                </c:pt>
                <c:pt idx="8">
                  <c:v>9.538941333333334</c:v>
                </c:pt>
                <c:pt idx="9">
                  <c:v>8.525164666666666</c:v>
                </c:pt>
                <c:pt idx="10">
                  <c:v>8.429122666666668</c:v>
                </c:pt>
                <c:pt idx="11">
                  <c:v>8.076968666666667</c:v>
                </c:pt>
                <c:pt idx="12">
                  <c:v>7.596758666666668</c:v>
                </c:pt>
                <c:pt idx="13">
                  <c:v>7.938241333333334</c:v>
                </c:pt>
                <c:pt idx="14">
                  <c:v>4.908198</c:v>
                </c:pt>
                <c:pt idx="15">
                  <c:v>3.067393</c:v>
                </c:pt>
                <c:pt idx="16">
                  <c:v>2.731246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3920216"/>
        <c:axId val="-2077932136"/>
      </c:scatterChart>
      <c:valAx>
        <c:axId val="-2113242456"/>
        <c:scaling>
          <c:orientation val="minMax"/>
          <c:max val="48.0"/>
        </c:scaling>
        <c:delete val="0"/>
        <c:axPos val="b"/>
        <c:title>
          <c:tx>
            <c:rich>
              <a:bodyPr/>
              <a:lstStyle/>
              <a:p>
                <a:pPr>
                  <a:defRPr sz="1050"/>
                </a:pPr>
                <a:r>
                  <a:rPr lang="nl-BE" sz="1050"/>
                  <a:t>Time (h)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100" b="1" baseline="0"/>
            </a:pPr>
            <a:endParaRPr lang="en-US"/>
          </a:p>
        </c:txPr>
        <c:crossAx val="2072423352"/>
        <c:crosses val="autoZero"/>
        <c:crossBetween val="midCat"/>
        <c:majorUnit val="6.0"/>
      </c:valAx>
      <c:valAx>
        <c:axId val="2072423352"/>
        <c:scaling>
          <c:orientation val="minMax"/>
          <c:max val="140.0"/>
          <c:min val="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050"/>
                </a:pPr>
                <a:r>
                  <a:rPr lang="nl-BE" sz="1050" b="1"/>
                  <a:t>Concentration (mM)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100" b="1" baseline="0"/>
            </a:pPr>
            <a:endParaRPr lang="en-US"/>
          </a:p>
        </c:txPr>
        <c:crossAx val="-2113242456"/>
        <c:crosses val="autoZero"/>
        <c:crossBetween val="midCat"/>
      </c:valAx>
      <c:valAx>
        <c:axId val="-2077932136"/>
        <c:scaling>
          <c:orientation val="minMax"/>
          <c:max val="11.0"/>
          <c:min val="0.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050"/>
                </a:pPr>
                <a:r>
                  <a:rPr lang="nl-NL" sz="1050"/>
                  <a:t>Cell growth (OD</a:t>
                </a:r>
                <a:r>
                  <a:rPr lang="nl-NL" sz="1050" baseline="0"/>
                  <a:t> 600 nm)</a:t>
                </a:r>
                <a:endParaRPr lang="nl-NL" sz="1050"/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100" b="1" i="0" baseline="0"/>
            </a:pPr>
            <a:endParaRPr lang="en-US"/>
          </a:p>
        </c:txPr>
        <c:crossAx val="-2113920216"/>
        <c:crosses val="max"/>
        <c:crossBetween val="midCat"/>
        <c:majorUnit val="1.0"/>
        <c:minorUnit val="0.2"/>
      </c:valAx>
      <c:valAx>
        <c:axId val="-21139202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-2077932136"/>
        <c:crosses val="autoZero"/>
        <c:crossBetween val="midCat"/>
      </c:valAx>
      <c:spPr>
        <a:ln>
          <a:solidFill>
            <a:sysClr val="windowText" lastClr="000000"/>
          </a:solidFill>
        </a:ln>
      </c:spPr>
    </c:plotArea>
    <c:plotVisOnly val="1"/>
    <c:dispBlanksAs val="gap"/>
    <c:showDLblsOverMax val="0"/>
  </c:chart>
  <c:spPr>
    <a:ln>
      <a:noFill/>
    </a:ln>
  </c:sp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workbookViewId="0"/>
  </sheetViews>
  <pageMargins left="0.7" right="0.7" top="0.75" bottom="0.75" header="0.3" footer="0.3"/>
  <pageSetup paperSize="9" orientation="landscape" horizontalDpi="4294967292" verticalDpi="4294967292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pageSetup paperSize="9" orientation="landscape" horizontalDpi="4294967292" verticalDpi="429496729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436880</xdr:colOff>
      <xdr:row>21</xdr:row>
      <xdr:rowOff>0</xdr:rowOff>
    </xdr:from>
    <xdr:to>
      <xdr:col>22</xdr:col>
      <xdr:colOff>152400</xdr:colOff>
      <xdr:row>46</xdr:row>
      <xdr:rowOff>5080</xdr:rowOff>
    </xdr:to>
    <xdr:graphicFrame macro="">
      <xdr:nvGraphicFramePr>
        <xdr:cNvPr id="2" name="Grafiek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436880</xdr:colOff>
      <xdr:row>21</xdr:row>
      <xdr:rowOff>0</xdr:rowOff>
    </xdr:from>
    <xdr:to>
      <xdr:col>20</xdr:col>
      <xdr:colOff>360680</xdr:colOff>
      <xdr:row>46</xdr:row>
      <xdr:rowOff>5080</xdr:rowOff>
    </xdr:to>
    <xdr:graphicFrame macro="">
      <xdr:nvGraphicFramePr>
        <xdr:cNvPr id="2" name="Grafiek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436880</xdr:colOff>
      <xdr:row>21</xdr:row>
      <xdr:rowOff>0</xdr:rowOff>
    </xdr:from>
    <xdr:to>
      <xdr:col>20</xdr:col>
      <xdr:colOff>360680</xdr:colOff>
      <xdr:row>46</xdr:row>
      <xdr:rowOff>5080</xdr:rowOff>
    </xdr:to>
    <xdr:graphicFrame macro="">
      <xdr:nvGraphicFramePr>
        <xdr:cNvPr id="2" name="Grafiek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Grafiek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evin/Desktop/PhD/ELN/BATCH/Monocultures/Faecalibacterium%20prausnitzii/2014_10_29_Batch4_FP_Fructose%20%20%20/Batch_4_FP_Calculation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rmentation"/>
      <sheetName val="Calculation"/>
      <sheetName val="Plate Count"/>
      <sheetName val="Flow cytometer"/>
      <sheetName val="Calibration F. prausnitzii"/>
      <sheetName val="Determination cell count"/>
      <sheetName val="OD600nm"/>
      <sheetName val="CDM"/>
      <sheetName val="H2"/>
      <sheetName val="CO2"/>
      <sheetName val="Metabolites"/>
      <sheetName val="D-Fructose"/>
      <sheetName val="Formic acid"/>
      <sheetName val="Acetic acid"/>
      <sheetName val="Propionic acid"/>
      <sheetName val="Butyric acid"/>
      <sheetName val="Lactic acid"/>
      <sheetName val="Ethanol"/>
      <sheetName val="Graph"/>
      <sheetName val="Graph (2)"/>
      <sheetName val="Carbon recovery"/>
    </sheetNames>
    <sheetDataSet>
      <sheetData sheetId="0"/>
      <sheetData sheetId="1"/>
      <sheetData sheetId="2"/>
      <sheetData sheetId="3"/>
      <sheetData sheetId="4">
        <row r="4">
          <cell r="R4">
            <v>8.6158560019212569</v>
          </cell>
        </row>
        <row r="5">
          <cell r="R5">
            <v>7.5787871690098934</v>
          </cell>
        </row>
        <row r="7">
          <cell r="R7">
            <v>5.1662524519541604</v>
          </cell>
        </row>
        <row r="8">
          <cell r="R8">
            <v>4.3271429450900092</v>
          </cell>
        </row>
        <row r="9">
          <cell r="R9">
            <v>8.5970052819172</v>
          </cell>
        </row>
        <row r="12">
          <cell r="R12">
            <v>7.6386549561082937</v>
          </cell>
        </row>
        <row r="13">
          <cell r="R13">
            <v>7.3179159600467427</v>
          </cell>
        </row>
        <row r="14">
          <cell r="R14">
            <v>6.9795002471622967</v>
          </cell>
        </row>
        <row r="15">
          <cell r="R15">
            <v>6.7271414012566968</v>
          </cell>
        </row>
        <row r="16">
          <cell r="R16">
            <v>6.2583457855668376</v>
          </cell>
        </row>
        <row r="17">
          <cell r="R17">
            <v>5.8987549482286576</v>
          </cell>
        </row>
        <row r="18">
          <cell r="R18">
            <v>5.5136855181177333</v>
          </cell>
        </row>
        <row r="23">
          <cell r="L23">
            <v>7.6159380716908052</v>
          </cell>
        </row>
        <row r="24">
          <cell r="L24">
            <v>10.997216745498585</v>
          </cell>
        </row>
        <row r="26">
          <cell r="L26">
            <v>18.925162836196829</v>
          </cell>
        </row>
        <row r="27">
          <cell r="L27">
            <v>22.150716984552947</v>
          </cell>
        </row>
        <row r="28">
          <cell r="L28">
            <v>7.9267727615103674</v>
          </cell>
        </row>
        <row r="31">
          <cell r="L31">
            <v>11.083116857376252</v>
          </cell>
        </row>
        <row r="32">
          <cell r="L32">
            <v>13.441737818883412</v>
          </cell>
        </row>
        <row r="33">
          <cell r="L33">
            <v>14.034818339513295</v>
          </cell>
        </row>
        <row r="34">
          <cell r="L34">
            <v>13.999122309850209</v>
          </cell>
        </row>
        <row r="35">
          <cell r="L35">
            <v>15.792017944819285</v>
          </cell>
        </row>
        <row r="36">
          <cell r="L36">
            <v>16.969425527420196</v>
          </cell>
        </row>
        <row r="37">
          <cell r="L37">
            <v>17.467782664464469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  <sheetData sheetId="19" refreshError="1"/>
      <sheetData sheetId="20"/>
    </sheetDataSet>
  </externalBook>
</externalLink>
</file>

<file path=xl/queryTables/queryTable1.xml><?xml version="1.0" encoding="utf-8"?>
<queryTable xmlns="http://schemas.openxmlformats.org/spreadsheetml/2006/main" name="2012_06_08_BIF_REC_OLI_1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2012_05_10_FPRAU_fruc1" connectionId="1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2012_06_08_BIF_REC_OLI_1" connectionId="3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Relationship Id="rId2" Type="http://schemas.openxmlformats.org/officeDocument/2006/relationships/queryTable" Target="../queryTables/query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workbookViewId="0">
      <selection activeCell="C5" sqref="C5"/>
    </sheetView>
  </sheetViews>
  <sheetFormatPr baseColWidth="10" defaultColWidth="8.83203125" defaultRowHeight="14" x14ac:dyDescent="0"/>
  <cols>
    <col min="1" max="1" width="23.33203125" style="2" customWidth="1"/>
    <col min="2" max="2" width="13.6640625" style="2" bestFit="1" customWidth="1"/>
    <col min="3" max="3" width="98.33203125" style="2" customWidth="1"/>
    <col min="4" max="16384" width="8.83203125" style="2"/>
  </cols>
  <sheetData>
    <row r="1" spans="1:3">
      <c r="A1" s="128" t="s">
        <v>0</v>
      </c>
      <c r="B1" s="129"/>
      <c r="C1" s="34">
        <v>42109</v>
      </c>
    </row>
    <row r="2" spans="1:3" ht="16">
      <c r="A2" s="128" t="s">
        <v>1</v>
      </c>
      <c r="B2" s="130"/>
      <c r="C2" s="32" t="s">
        <v>180</v>
      </c>
    </row>
    <row r="3" spans="1:3">
      <c r="A3" s="11"/>
      <c r="B3" s="11"/>
      <c r="C3" s="10"/>
    </row>
    <row r="4" spans="1:3">
      <c r="A4" s="131" t="s">
        <v>49</v>
      </c>
      <c r="B4" s="131"/>
      <c r="C4" s="7" t="s">
        <v>107</v>
      </c>
    </row>
    <row r="6" spans="1:3">
      <c r="A6" s="41" t="s">
        <v>83</v>
      </c>
      <c r="B6" s="41" t="s">
        <v>84</v>
      </c>
      <c r="C6" s="41" t="s">
        <v>69</v>
      </c>
    </row>
    <row r="7" spans="1:3">
      <c r="A7" s="32" t="s">
        <v>85</v>
      </c>
      <c r="B7" s="37" t="s">
        <v>86</v>
      </c>
      <c r="C7" s="37" t="s">
        <v>101</v>
      </c>
    </row>
    <row r="8" spans="1:3">
      <c r="A8" s="32" t="s">
        <v>87</v>
      </c>
      <c r="B8" s="37" t="s">
        <v>88</v>
      </c>
      <c r="C8" s="37" t="s">
        <v>101</v>
      </c>
    </row>
    <row r="9" spans="1:3">
      <c r="A9" s="32" t="s">
        <v>89</v>
      </c>
      <c r="B9" s="37" t="s">
        <v>90</v>
      </c>
      <c r="C9" s="37" t="s">
        <v>101</v>
      </c>
    </row>
    <row r="10" spans="1:3">
      <c r="A10" s="32" t="s">
        <v>91</v>
      </c>
      <c r="B10" s="37" t="s">
        <v>92</v>
      </c>
      <c r="C10" s="37" t="s">
        <v>101</v>
      </c>
    </row>
    <row r="11" spans="1:3">
      <c r="A11" s="32" t="s">
        <v>181</v>
      </c>
      <c r="B11" s="40" t="s">
        <v>182</v>
      </c>
      <c r="C11" s="32" t="s">
        <v>101</v>
      </c>
    </row>
    <row r="12" spans="1:3">
      <c r="A12" s="32" t="s">
        <v>73</v>
      </c>
      <c r="B12" s="37" t="s">
        <v>93</v>
      </c>
      <c r="C12" s="37" t="s">
        <v>101</v>
      </c>
    </row>
    <row r="13" spans="1:3" ht="16">
      <c r="A13" s="71" t="s">
        <v>77</v>
      </c>
      <c r="B13" s="37" t="s">
        <v>94</v>
      </c>
      <c r="C13" s="37" t="s">
        <v>101</v>
      </c>
    </row>
    <row r="14" spans="1:3" ht="16">
      <c r="A14" s="71" t="s">
        <v>76</v>
      </c>
      <c r="B14" s="37" t="s">
        <v>94</v>
      </c>
      <c r="C14" s="37" t="s">
        <v>101</v>
      </c>
    </row>
    <row r="15" spans="1:3" ht="16">
      <c r="A15" s="32" t="s">
        <v>109</v>
      </c>
      <c r="B15" s="37" t="s">
        <v>95</v>
      </c>
      <c r="C15" s="37" t="s">
        <v>101</v>
      </c>
    </row>
    <row r="16" spans="1:3" ht="16">
      <c r="A16" s="32" t="s">
        <v>108</v>
      </c>
      <c r="B16" s="37" t="s">
        <v>94</v>
      </c>
      <c r="C16" s="37" t="s">
        <v>101</v>
      </c>
    </row>
    <row r="17" spans="1:3" ht="16">
      <c r="A17" s="32" t="s">
        <v>110</v>
      </c>
      <c r="B17" s="37" t="s">
        <v>94</v>
      </c>
      <c r="C17" s="37" t="s">
        <v>101</v>
      </c>
    </row>
    <row r="18" spans="1:3" ht="16">
      <c r="A18" s="32" t="s">
        <v>111</v>
      </c>
      <c r="B18" s="37" t="s">
        <v>150</v>
      </c>
      <c r="C18" s="37" t="s">
        <v>101</v>
      </c>
    </row>
    <row r="19" spans="1:3" ht="16">
      <c r="A19" s="32" t="s">
        <v>75</v>
      </c>
      <c r="B19" s="37" t="s">
        <v>151</v>
      </c>
      <c r="C19" s="37" t="s">
        <v>101</v>
      </c>
    </row>
    <row r="20" spans="1:3" ht="16">
      <c r="A20" s="32" t="s">
        <v>112</v>
      </c>
      <c r="B20" s="37" t="s">
        <v>96</v>
      </c>
      <c r="C20" s="37" t="s">
        <v>101</v>
      </c>
    </row>
    <row r="21" spans="1:3" ht="16">
      <c r="A21" s="32" t="s">
        <v>113</v>
      </c>
      <c r="B21" s="37" t="s">
        <v>97</v>
      </c>
      <c r="C21" s="37" t="s">
        <v>101</v>
      </c>
    </row>
    <row r="22" spans="1:3" ht="16">
      <c r="A22" s="32" t="s">
        <v>114</v>
      </c>
      <c r="B22" s="37" t="s">
        <v>98</v>
      </c>
      <c r="C22" s="37" t="s">
        <v>101</v>
      </c>
    </row>
    <row r="23" spans="1:3" ht="16">
      <c r="A23" s="32" t="s">
        <v>115</v>
      </c>
      <c r="B23" s="37" t="s">
        <v>98</v>
      </c>
      <c r="C23" s="37" t="s">
        <v>101</v>
      </c>
    </row>
    <row r="24" spans="1:3">
      <c r="A24" s="32" t="s">
        <v>99</v>
      </c>
      <c r="B24" s="37" t="s">
        <v>98</v>
      </c>
      <c r="C24" s="37" t="s">
        <v>101</v>
      </c>
    </row>
    <row r="25" spans="1:3">
      <c r="A25" s="32" t="s">
        <v>100</v>
      </c>
      <c r="B25" s="37" t="s">
        <v>98</v>
      </c>
      <c r="C25" s="37" t="s">
        <v>101</v>
      </c>
    </row>
    <row r="26" spans="1:3">
      <c r="A26" s="32" t="s">
        <v>74</v>
      </c>
      <c r="B26" s="37" t="s">
        <v>102</v>
      </c>
      <c r="C26" s="37" t="s">
        <v>103</v>
      </c>
    </row>
    <row r="27" spans="1:3">
      <c r="A27" s="32" t="s">
        <v>104</v>
      </c>
      <c r="B27" s="37" t="s">
        <v>101</v>
      </c>
      <c r="C27" s="37" t="s">
        <v>106</v>
      </c>
    </row>
    <row r="28" spans="1:3">
      <c r="A28" s="32" t="s">
        <v>105</v>
      </c>
      <c r="B28" s="37" t="s">
        <v>101</v>
      </c>
      <c r="C28" s="37" t="s">
        <v>106</v>
      </c>
    </row>
    <row r="29" spans="1:3" ht="16">
      <c r="A29" s="29" t="s">
        <v>145</v>
      </c>
      <c r="B29" s="29" t="s">
        <v>146</v>
      </c>
      <c r="C29" s="29" t="s">
        <v>147</v>
      </c>
    </row>
  </sheetData>
  <mergeCells count="3">
    <mergeCell ref="A1:B1"/>
    <mergeCell ref="A2:B2"/>
    <mergeCell ref="A4:B4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8"/>
  <sheetViews>
    <sheetView workbookViewId="0">
      <selection activeCell="H69" sqref="H69"/>
    </sheetView>
  </sheetViews>
  <sheetFormatPr baseColWidth="10" defaultRowHeight="14" x14ac:dyDescent="0"/>
  <cols>
    <col min="14" max="14" width="18.83203125" customWidth="1"/>
    <col min="15" max="15" width="20.1640625" customWidth="1"/>
    <col min="16" max="16" width="18.5" customWidth="1"/>
    <col min="17" max="18" width="19.1640625" customWidth="1"/>
    <col min="19" max="19" width="26" customWidth="1"/>
  </cols>
  <sheetData>
    <row r="1" spans="1:29">
      <c r="A1" s="103" t="s">
        <v>266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</row>
    <row r="2" spans="1:29">
      <c r="A2" s="132" t="s">
        <v>4</v>
      </c>
      <c r="B2" s="132" t="s">
        <v>117</v>
      </c>
      <c r="C2" s="132" t="s">
        <v>117</v>
      </c>
      <c r="D2" s="132" t="s">
        <v>5</v>
      </c>
      <c r="E2" s="144" t="s">
        <v>221</v>
      </c>
      <c r="F2" s="144" t="s">
        <v>222</v>
      </c>
      <c r="G2" s="144" t="s">
        <v>223</v>
      </c>
      <c r="H2" s="146" t="s">
        <v>224</v>
      </c>
      <c r="I2" s="146" t="s">
        <v>225</v>
      </c>
      <c r="J2" s="146" t="s">
        <v>226</v>
      </c>
      <c r="K2" s="144" t="s">
        <v>227</v>
      </c>
      <c r="L2" s="144" t="s">
        <v>228</v>
      </c>
      <c r="M2" s="144" t="s">
        <v>229</v>
      </c>
      <c r="N2" s="144" t="s">
        <v>230</v>
      </c>
      <c r="O2" s="144" t="s">
        <v>231</v>
      </c>
      <c r="P2" s="146" t="s">
        <v>232</v>
      </c>
      <c r="Q2" s="146" t="s">
        <v>267</v>
      </c>
      <c r="R2" s="146" t="s">
        <v>234</v>
      </c>
      <c r="S2" s="146" t="s">
        <v>235</v>
      </c>
      <c r="T2" s="85"/>
      <c r="U2" s="85"/>
      <c r="V2" s="85"/>
      <c r="W2" s="85"/>
      <c r="X2" s="85"/>
      <c r="Y2" s="85"/>
      <c r="Z2" s="85"/>
      <c r="AA2" s="85"/>
      <c r="AB2" s="85"/>
      <c r="AC2" s="85"/>
    </row>
    <row r="3" spans="1:29">
      <c r="A3" s="133"/>
      <c r="B3" s="133"/>
      <c r="C3" s="133"/>
      <c r="D3" s="133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  <c r="T3" s="85"/>
      <c r="U3" s="85"/>
      <c r="V3" s="85"/>
      <c r="W3" s="85"/>
      <c r="X3" s="85"/>
      <c r="Y3" s="85"/>
      <c r="Z3" s="85"/>
      <c r="AA3" s="85"/>
      <c r="AB3" s="85"/>
      <c r="AC3" s="85"/>
    </row>
    <row r="4" spans="1:29">
      <c r="A4" s="40">
        <v>0</v>
      </c>
      <c r="B4" s="32">
        <v>10</v>
      </c>
      <c r="C4" s="32">
        <f>B4</f>
        <v>10</v>
      </c>
      <c r="D4" s="13">
        <f t="shared" ref="D4:D20" si="0">C4/60</f>
        <v>0.16666666666666666</v>
      </c>
      <c r="E4" s="99">
        <v>24.094087600708008</v>
      </c>
      <c r="F4" s="99">
        <v>24.269912719726562</v>
      </c>
      <c r="G4" s="104">
        <v>23.787202835083008</v>
      </c>
      <c r="H4" s="110">
        <f>(E4-$H$55)+$H$68</f>
        <v>24.109101901910243</v>
      </c>
      <c r="I4" s="110">
        <f>(F4-$H$55)+$H$68</f>
        <v>24.284927020928798</v>
      </c>
      <c r="J4" s="110">
        <f>(G4-$H$55)+$H$68</f>
        <v>23.802217136285243</v>
      </c>
      <c r="K4" s="104">
        <f>((H4-'CalibrationB. hydrogenotrophica'!$D$45)/('CalibrationB. hydrogenotrophica'!$D$44))+$B$24</f>
        <v>7.6704331033749611</v>
      </c>
      <c r="L4" s="104">
        <f>((I4-'CalibrationB. hydrogenotrophica'!$D$45)/('CalibrationB. hydrogenotrophica'!$D$44))+$B$24</f>
        <v>7.6263589251936876</v>
      </c>
      <c r="M4" s="104">
        <f>((J4-'CalibrationB. hydrogenotrophica'!$D$45)/('CalibrationB. hydrogenotrophica'!$D$44))+$B$24</f>
        <v>7.7473600744287801</v>
      </c>
      <c r="N4" s="105">
        <f>AVERAGE(K4:M4)</f>
        <v>7.6813840343324769</v>
      </c>
      <c r="O4" s="105">
        <f>STDEV(K4:M4)</f>
        <v>6.1239380268585955E-2</v>
      </c>
      <c r="P4" s="106">
        <f>(AVERAGE(POWER(10,K4),POWER(10,L4),POWER(10,M4)))*Calculation!$I4/Calculation!$K3</f>
        <v>48424659.923469491</v>
      </c>
      <c r="Q4" s="106">
        <f>(STDEV(POWER(10,K4),POWER(10,L4),POWER(10,M4)))*Calculation!$I4/Calculation!$K3</f>
        <v>6934143.6207430987</v>
      </c>
      <c r="R4" s="105">
        <f>LOG(P4)</f>
        <v>7.6850665794401056</v>
      </c>
      <c r="S4" s="105">
        <f>O4*Calculation!$I4/Calculation!$K3</f>
        <v>6.1348606273821243E-2</v>
      </c>
      <c r="T4" s="85"/>
      <c r="U4" s="85"/>
      <c r="V4" s="85"/>
      <c r="W4" s="85"/>
      <c r="X4" s="85"/>
      <c r="Y4" s="85"/>
      <c r="Z4" s="85"/>
      <c r="AA4" s="85"/>
      <c r="AB4" s="85"/>
      <c r="AC4" s="85"/>
    </row>
    <row r="5" spans="1:29">
      <c r="A5" s="40">
        <v>1</v>
      </c>
      <c r="B5" s="32">
        <v>110</v>
      </c>
      <c r="C5" s="32">
        <f>C4+B5</f>
        <v>120</v>
      </c>
      <c r="D5" s="13">
        <f t="shared" si="0"/>
        <v>2</v>
      </c>
      <c r="E5" s="99">
        <v>22.716886520385742</v>
      </c>
      <c r="F5" s="99">
        <v>23.092708587646484</v>
      </c>
      <c r="G5" s="104">
        <v>22.788228988647461</v>
      </c>
      <c r="H5" s="110">
        <f>(E5-$H$55)+$H$68</f>
        <v>22.731900821587978</v>
      </c>
      <c r="I5" s="110">
        <f>(F5-$H$55)+$H$68</f>
        <v>23.10772288884872</v>
      </c>
      <c r="J5" s="110">
        <f>(G5-$H$55)+$H$68</f>
        <v>22.803243289849696</v>
      </c>
      <c r="K5" s="104">
        <f>((H5-'CalibrationB. hydrogenotrophica'!$D$45)/('CalibrationB. hydrogenotrophica'!$D$44))+$B$24</f>
        <v>8.0156568469696428</v>
      </c>
      <c r="L5" s="104">
        <f>((I5-'CalibrationB. hydrogenotrophica'!$D$45)/('CalibrationB. hydrogenotrophica'!$D$44))+$B$24</f>
        <v>7.9214493250332776</v>
      </c>
      <c r="M5" s="104">
        <f>((J5-'CalibrationB. hydrogenotrophica'!$D$45)/('CalibrationB. hydrogenotrophica'!$D$44))+$B$24</f>
        <v>7.9977733916612639</v>
      </c>
      <c r="N5" s="105">
        <f t="shared" ref="N5:N20" si="1">AVERAGE(K5:M5)</f>
        <v>7.9782931878880605</v>
      </c>
      <c r="O5" s="105">
        <f t="shared" ref="O5:O20" si="2">STDEV(K5:M5)</f>
        <v>5.0033719146509587E-2</v>
      </c>
      <c r="P5" s="106">
        <f>(AVERAGE(POWER(10,K5),POWER(10,L5),POWER(10,M5)))*Calculation!$I5/Calculation!$K4</f>
        <v>95825308.043545142</v>
      </c>
      <c r="Q5" s="106">
        <f>(STDEV(POWER(10,K5),POWER(10,L5),POWER(10,M5)))*Calculation!$I5/Calculation!$K4</f>
        <v>10703653.790471712</v>
      </c>
      <c r="R5" s="105">
        <f t="shared" ref="R5:R20" si="3">LOG(P5)</f>
        <v>7.9814802240275826</v>
      </c>
      <c r="S5" s="105">
        <f>O5*Calculation!$I5/Calculation!$K4</f>
        <v>5.018419641534997E-2</v>
      </c>
      <c r="T5" s="85"/>
      <c r="U5" s="85"/>
      <c r="V5" s="85"/>
      <c r="W5" s="85"/>
      <c r="X5" s="85"/>
      <c r="Y5" s="85"/>
      <c r="Z5" s="85"/>
      <c r="AA5" s="85"/>
      <c r="AB5" s="85"/>
      <c r="AC5" s="85"/>
    </row>
    <row r="6" spans="1:29">
      <c r="A6" s="40">
        <v>2</v>
      </c>
      <c r="B6" s="32">
        <v>80</v>
      </c>
      <c r="C6" s="32">
        <f>C5+B6</f>
        <v>200</v>
      </c>
      <c r="D6" s="13">
        <f t="shared" si="0"/>
        <v>3.3333333333333335</v>
      </c>
      <c r="E6" s="99">
        <v>22.200498580932617</v>
      </c>
      <c r="F6" s="99">
        <v>22.05198860168457</v>
      </c>
      <c r="G6" s="104">
        <v>21.637351989746094</v>
      </c>
      <c r="H6" s="110">
        <f>(E6-$H$55)+$H$68</f>
        <v>22.215512882134853</v>
      </c>
      <c r="I6" s="110">
        <f>(F6-$H$55)+$H$68</f>
        <v>22.067002902886806</v>
      </c>
      <c r="J6" s="110">
        <f>(G6-$H$55)+$H$68</f>
        <v>21.652366290948329</v>
      </c>
      <c r="K6" s="104">
        <f>((H6-'CalibrationB. hydrogenotrophica'!$D$45)/('CalibrationB. hydrogenotrophica'!$D$44))+$B$24</f>
        <v>8.1451000925147579</v>
      </c>
      <c r="L6" s="104">
        <f>((I6-'CalibrationB. hydrogenotrophica'!$D$45)/('CalibrationB. hydrogenotrophica'!$D$44))+$B$24</f>
        <v>8.1823271697583966</v>
      </c>
      <c r="M6" s="104">
        <f>((J6-'CalibrationB. hydrogenotrophica'!$D$45)/('CalibrationB. hydrogenotrophica'!$D$44))+$B$24</f>
        <v>8.2862643547127686</v>
      </c>
      <c r="N6" s="105">
        <f t="shared" si="1"/>
        <v>8.2045638723286416</v>
      </c>
      <c r="O6" s="105">
        <f t="shared" si="2"/>
        <v>7.3162083324460586E-2</v>
      </c>
      <c r="P6" s="106">
        <f>(AVERAGE(POWER(10,K6),POWER(10,L6),POWER(10,M6)))*Calculation!$I6/Calculation!$K5</f>
        <v>162407370.0172897</v>
      </c>
      <c r="Q6" s="106">
        <f>(STDEV(POWER(10,K6),POWER(10,L6),POWER(10,M6)))*Calculation!$I6/Calculation!$K5</f>
        <v>28188124.418352619</v>
      </c>
      <c r="R6" s="105">
        <f t="shared" si="3"/>
        <v>8.210605733557955</v>
      </c>
      <c r="S6" s="105">
        <f>O6*Calculation!$I6/Calculation!$K5</f>
        <v>7.3474134742338049E-2</v>
      </c>
      <c r="T6" s="85"/>
      <c r="U6" s="85"/>
      <c r="V6" s="85"/>
      <c r="W6" s="85"/>
      <c r="X6" s="85"/>
      <c r="Y6" s="85"/>
      <c r="Z6" s="85"/>
      <c r="AA6" s="85"/>
      <c r="AB6" s="85"/>
      <c r="AC6" s="85"/>
    </row>
    <row r="7" spans="1:29">
      <c r="A7" s="40">
        <v>3</v>
      </c>
      <c r="B7" s="32">
        <v>80</v>
      </c>
      <c r="C7" s="32">
        <f>C6+B7</f>
        <v>280</v>
      </c>
      <c r="D7" s="13">
        <f t="shared" si="0"/>
        <v>4.666666666666667</v>
      </c>
      <c r="E7" s="99">
        <v>20.9097900390625</v>
      </c>
      <c r="F7" s="99">
        <v>20.98774528503418</v>
      </c>
      <c r="G7" s="104"/>
      <c r="H7" s="110">
        <f>(E7-$H$55)+$H$68</f>
        <v>20.924804340264735</v>
      </c>
      <c r="I7" s="110">
        <f>(F7-$H$55)+$H$68</f>
        <v>21.002759586236415</v>
      </c>
      <c r="J7" s="110">
        <f>(G7-$H$55)+$H$68</f>
        <v>1.5014301202237235E-2</v>
      </c>
      <c r="K7" s="104">
        <f>((H7-'CalibrationB. hydrogenotrophica'!$D$45)/('CalibrationB. hydrogenotrophica'!$D$44))+$B$24</f>
        <v>8.468642704469266</v>
      </c>
      <c r="L7" s="104">
        <f>((I7-'CalibrationB. hydrogenotrophica'!$D$45)/('CalibrationB. hydrogenotrophica'!$D$44))+$B$24</f>
        <v>8.4491016205769327</v>
      </c>
      <c r="M7" s="104"/>
      <c r="N7" s="105">
        <f t="shared" si="1"/>
        <v>8.4588721625231003</v>
      </c>
      <c r="O7" s="105">
        <f t="shared" si="2"/>
        <v>1.3817632932004114E-2</v>
      </c>
      <c r="P7" s="106">
        <f>(AVERAGE(POWER(10,K7),POWER(10,L7),POWER(10,M7)))*Calculation!$I7/Calculation!$K6</f>
        <v>193258192.42600352</v>
      </c>
      <c r="Q7" s="106">
        <f>(STDEV(POWER(10,K7),POWER(10,L7),POWER(10,M7)))*Calculation!$I7/Calculation!$K6</f>
        <v>167493477.97509792</v>
      </c>
      <c r="R7" s="105">
        <f t="shared" si="3"/>
        <v>8.286137913198349</v>
      </c>
      <c r="S7" s="105">
        <f>O7*Calculation!$I7/Calculation!$K6</f>
        <v>1.3921331116995518E-2</v>
      </c>
      <c r="T7" s="85"/>
      <c r="U7" s="85"/>
      <c r="V7" s="85"/>
      <c r="W7" s="85"/>
      <c r="X7" s="85"/>
      <c r="Y7" s="85"/>
      <c r="Z7" s="85"/>
      <c r="AA7" s="85"/>
      <c r="AB7" s="85"/>
      <c r="AC7" s="85"/>
    </row>
    <row r="8" spans="1:29">
      <c r="A8" s="40">
        <v>4</v>
      </c>
      <c r="B8" s="32">
        <v>80</v>
      </c>
      <c r="C8" s="32">
        <f t="shared" ref="C8:C18" si="4">C7+B8</f>
        <v>360</v>
      </c>
      <c r="D8" s="13">
        <f t="shared" si="0"/>
        <v>6</v>
      </c>
      <c r="E8" s="99">
        <v>19.675271987915039</v>
      </c>
      <c r="F8" s="99">
        <v>19.529579162597656</v>
      </c>
      <c r="G8" s="104">
        <v>19.190374374389648</v>
      </c>
      <c r="H8" s="110">
        <f>(E8-$H$55)+$H$68</f>
        <v>19.690286289117275</v>
      </c>
      <c r="I8" s="110">
        <f>(F8-$H$55)+$H$68</f>
        <v>19.544593463799892</v>
      </c>
      <c r="J8" s="110">
        <f>(G8-$H$55)+$H$68</f>
        <v>19.205388675591884</v>
      </c>
      <c r="K8" s="104">
        <f>((H8-'CalibrationB. hydrogenotrophica'!$D$45)/('CalibrationB. hydrogenotrophica'!$D$44))+$B$24</f>
        <v>8.7781000155633073</v>
      </c>
      <c r="L8" s="104">
        <f>((I8-'CalibrationB. hydrogenotrophica'!$D$45)/('CalibrationB. hydrogenotrophica'!$D$44))+$B$24</f>
        <v>8.8146209152994466</v>
      </c>
      <c r="M8" s="104">
        <f>((J8-'CalibrationB. hydrogenotrophica'!$D$45)/('CalibrationB. hydrogenotrophica'!$D$44))+$B$24</f>
        <v>8.8996495639866868</v>
      </c>
      <c r="N8" s="105">
        <f t="shared" si="1"/>
        <v>8.8307901649498124</v>
      </c>
      <c r="O8" s="105">
        <f t="shared" si="2"/>
        <v>6.2367111975574034E-2</v>
      </c>
      <c r="P8" s="106">
        <f>(AVERAGE(POWER(10,K8),POWER(10,L8),POWER(10,M8)))*Calculation!$I8/Calculation!$K7</f>
        <v>690820943.03749943</v>
      </c>
      <c r="Q8" s="106">
        <f>(STDEV(POWER(10,K8),POWER(10,L8),POWER(10,M8)))*Calculation!$I8/Calculation!$K7</f>
        <v>101477831.8207957</v>
      </c>
      <c r="R8" s="105">
        <f t="shared" si="3"/>
        <v>8.8393654952355334</v>
      </c>
      <c r="S8" s="105">
        <f>O8*Calculation!$I8/Calculation!$K7</f>
        <v>6.3168285068565186E-2</v>
      </c>
      <c r="T8" s="85"/>
      <c r="U8" s="85"/>
      <c r="V8" s="85"/>
      <c r="W8" s="85"/>
      <c r="X8" s="85"/>
      <c r="Y8" s="85"/>
      <c r="Z8" s="85"/>
      <c r="AA8" s="85"/>
      <c r="AB8" s="85"/>
      <c r="AC8" s="85"/>
    </row>
    <row r="9" spans="1:29">
      <c r="A9" s="40">
        <v>5</v>
      </c>
      <c r="B9" s="32">
        <v>80</v>
      </c>
      <c r="C9" s="32">
        <f t="shared" si="4"/>
        <v>440</v>
      </c>
      <c r="D9" s="13">
        <f t="shared" si="0"/>
        <v>7.333333333333333</v>
      </c>
      <c r="E9" s="99">
        <v>18.580842971801758</v>
      </c>
      <c r="F9" s="99">
        <v>18.74595832824707</v>
      </c>
      <c r="G9" s="104">
        <v>18.670379638671875</v>
      </c>
      <c r="H9" s="110">
        <f>(E9-$H$55)+$H$68</f>
        <v>18.595857273003993</v>
      </c>
      <c r="I9" s="110">
        <f>(F9-$H$55)+$H$68</f>
        <v>18.760972629449306</v>
      </c>
      <c r="J9" s="110">
        <f>(G9-$H$55)+$H$68</f>
        <v>18.68539393987411</v>
      </c>
      <c r="K9" s="104">
        <f>((H9-'CalibrationB. hydrogenotrophica'!$D$45)/('CalibrationB. hydrogenotrophica'!$D$44))+$B$24</f>
        <v>9.0524411320783056</v>
      </c>
      <c r="L9" s="104">
        <f>((I9-'CalibrationB. hydrogenotrophica'!$D$45)/('CalibrationB. hydrogenotrophica'!$D$44))+$B$24</f>
        <v>9.0110515759042116</v>
      </c>
      <c r="M9" s="104">
        <f>((J9-'CalibrationB. hydrogenotrophica'!$D$45)/('CalibrationB. hydrogenotrophica'!$D$44))+$B$24</f>
        <v>9.0299969271124922</v>
      </c>
      <c r="N9" s="105">
        <f t="shared" si="1"/>
        <v>9.0311632116983365</v>
      </c>
      <c r="O9" s="105">
        <f t="shared" si="2"/>
        <v>2.0719411306152121E-2</v>
      </c>
      <c r="P9" s="106">
        <f>(AVERAGE(POWER(10,K9),POWER(10,L9),POWER(10,M9)))*Calculation!$I9/Calculation!$K8</f>
        <v>1097905640.9929669</v>
      </c>
      <c r="Q9" s="106">
        <f>(STDEV(POWER(10,K9),POWER(10,L9),POWER(10,M9)))*Calculation!$I9/Calculation!$K8</f>
        <v>52469161.353293642</v>
      </c>
      <c r="R9" s="105">
        <f t="shared" si="3"/>
        <v>9.0405650164738098</v>
      </c>
      <c r="S9" s="105">
        <f>O9*Calculation!$I9/Calculation!$K8</f>
        <v>2.1156768936372267E-2</v>
      </c>
      <c r="T9" s="85"/>
      <c r="U9" s="85"/>
      <c r="V9" s="85"/>
      <c r="W9" s="85"/>
      <c r="X9" s="85"/>
      <c r="Y9" s="85"/>
      <c r="Z9" s="85"/>
      <c r="AA9" s="85"/>
      <c r="AB9" s="85"/>
      <c r="AC9" s="85"/>
    </row>
    <row r="10" spans="1:29">
      <c r="A10" s="40">
        <v>6</v>
      </c>
      <c r="B10" s="32">
        <v>80</v>
      </c>
      <c r="C10" s="32">
        <f t="shared" si="4"/>
        <v>520</v>
      </c>
      <c r="D10" s="13">
        <f t="shared" si="0"/>
        <v>8.6666666666666661</v>
      </c>
      <c r="E10" s="99">
        <v>17.975898742675781</v>
      </c>
      <c r="F10" s="99">
        <v>18.035091400146484</v>
      </c>
      <c r="G10" s="104">
        <v>17.783456802368164</v>
      </c>
      <c r="H10" s="110">
        <f>(E10-$H$55)+$H$68</f>
        <v>17.990913043878017</v>
      </c>
      <c r="I10" s="110">
        <f>(F10-$H$55)+$H$68</f>
        <v>18.05010570134872</v>
      </c>
      <c r="J10" s="110">
        <f>(G10-$H$55)+$H$68</f>
        <v>17.7984711035704</v>
      </c>
      <c r="K10" s="104">
        <f>((H10-'CalibrationB. hydrogenotrophica'!$D$45)/('CalibrationB. hydrogenotrophica'!$D$44))+$B$24</f>
        <v>9.2040828309041576</v>
      </c>
      <c r="L10" s="104">
        <f>((I10-'CalibrationB. hydrogenotrophica'!$D$45)/('CalibrationB. hydrogenotrophica'!$D$44))+$B$24</f>
        <v>9.1892449752726684</v>
      </c>
      <c r="M10" s="104">
        <f>((J10-'CalibrationB. hydrogenotrophica'!$D$45)/('CalibrationB. hydrogenotrophica'!$D$44))+$B$24</f>
        <v>9.2523223567126003</v>
      </c>
      <c r="N10" s="105">
        <f t="shared" si="1"/>
        <v>9.2152167209631433</v>
      </c>
      <c r="O10" s="105">
        <f t="shared" si="2"/>
        <v>3.2979715632701141E-2</v>
      </c>
      <c r="P10" s="106">
        <f>(AVERAGE(POWER(10,K10),POWER(10,L10),POWER(10,M10)))*Calculation!$I10/Calculation!$K9</f>
        <v>1699127907.9221933</v>
      </c>
      <c r="Q10" s="106">
        <f>(STDEV(POWER(10,K10),POWER(10,L10),POWER(10,M10)))*Calculation!$I10/Calculation!$K9</f>
        <v>131110437.06111312</v>
      </c>
      <c r="R10" s="105">
        <f t="shared" si="3"/>
        <v>9.2302260731679837</v>
      </c>
      <c r="S10" s="105">
        <f>O10*Calculation!$I10/Calculation!$K9</f>
        <v>3.4073157515874419E-2</v>
      </c>
      <c r="T10" s="85"/>
      <c r="U10" s="85"/>
      <c r="V10" s="85"/>
      <c r="W10" s="85"/>
      <c r="X10" s="85"/>
      <c r="Y10" s="85"/>
      <c r="Z10" s="85"/>
      <c r="AA10" s="85"/>
      <c r="AB10" s="85"/>
      <c r="AC10" s="85"/>
    </row>
    <row r="11" spans="1:29">
      <c r="A11" s="40">
        <v>7</v>
      </c>
      <c r="B11" s="32">
        <v>80</v>
      </c>
      <c r="C11" s="32">
        <f t="shared" si="4"/>
        <v>600</v>
      </c>
      <c r="D11" s="13">
        <f t="shared" si="0"/>
        <v>10</v>
      </c>
      <c r="E11" s="99">
        <v>17.747505187988281</v>
      </c>
      <c r="F11" s="99">
        <v>17.487762451171875</v>
      </c>
      <c r="G11" s="104">
        <v>17.177297592163086</v>
      </c>
      <c r="H11" s="110">
        <f>(E11-$H$55)+$H$68</f>
        <v>17.762519489190517</v>
      </c>
      <c r="I11" s="110">
        <f>(F11-$H$55)+$H$68</f>
        <v>17.50277675237411</v>
      </c>
      <c r="J11" s="110">
        <f>(G11-$H$55)+$H$68</f>
        <v>17.192311893365321</v>
      </c>
      <c r="K11" s="104">
        <f>((H11-'CalibrationB. hydrogenotrophica'!$D$45)/('CalibrationB. hydrogenotrophica'!$D$44))+$B$24</f>
        <v>9.2613343674362572</v>
      </c>
      <c r="L11" s="104">
        <f>((I11-'CalibrationB. hydrogenotrophica'!$D$45)/('CalibrationB. hydrogenotrophica'!$D$44))+$B$24</f>
        <v>9.3264442204972973</v>
      </c>
      <c r="M11" s="104">
        <f>((J11-'CalibrationB. hydrogenotrophica'!$D$45)/('CalibrationB. hydrogenotrophica'!$D$44))+$B$24</f>
        <v>9.4042686155061421</v>
      </c>
      <c r="N11" s="105">
        <f t="shared" si="1"/>
        <v>9.3306824011465661</v>
      </c>
      <c r="O11" s="105">
        <f t="shared" si="2"/>
        <v>7.1561312517572848E-2</v>
      </c>
      <c r="P11" s="106">
        <f>(AVERAGE(POWER(10,K11),POWER(10,L11),POWER(10,M11)))*Calculation!$I11/Calculation!$K10</f>
        <v>2264084110.316246</v>
      </c>
      <c r="Q11" s="106">
        <f>(STDEV(POWER(10,K11),POWER(10,L11),POWER(10,M11)))*Calculation!$I11/Calculation!$K10</f>
        <v>374483968.24232262</v>
      </c>
      <c r="R11" s="105">
        <f t="shared" si="3"/>
        <v>9.3548925567775818</v>
      </c>
      <c r="S11" s="105">
        <f>O11*Calculation!$I11/Calculation!$K10</f>
        <v>7.4980408178321509E-2</v>
      </c>
      <c r="T11" s="85"/>
      <c r="U11" s="85"/>
      <c r="V11" s="85"/>
      <c r="W11" s="85"/>
      <c r="X11" s="85"/>
      <c r="Y11" s="85"/>
      <c r="Z11" s="85"/>
      <c r="AA11" s="85"/>
      <c r="AB11" s="85"/>
      <c r="AC11" s="85"/>
    </row>
    <row r="12" spans="1:29">
      <c r="A12" s="40">
        <v>8</v>
      </c>
      <c r="B12" s="32">
        <v>80</v>
      </c>
      <c r="C12" s="32">
        <f t="shared" si="4"/>
        <v>680</v>
      </c>
      <c r="D12" s="13">
        <f t="shared" si="0"/>
        <v>11.333333333333334</v>
      </c>
      <c r="E12" s="99">
        <v>16.862735748291016</v>
      </c>
      <c r="F12" s="99">
        <v>16.767074584960938</v>
      </c>
      <c r="G12" s="104">
        <v>15.996901512145996</v>
      </c>
      <c r="H12" s="110">
        <f>(E12-$H$55)+$H$68</f>
        <v>16.877750049493251</v>
      </c>
      <c r="I12" s="110">
        <f>(F12-$H$55)+$H$68</f>
        <v>16.782088886163173</v>
      </c>
      <c r="J12" s="110">
        <f>(G12-$H$55)+$H$68</f>
        <v>16.011915813348232</v>
      </c>
      <c r="K12" s="104">
        <f>((H12-'CalibrationB. hydrogenotrophica'!$D$45)/('CalibrationB. hydrogenotrophica'!$D$44))+$B$24</f>
        <v>9.4831200039382164</v>
      </c>
      <c r="L12" s="104">
        <f>((I12-'CalibrationB. hydrogenotrophica'!$D$45)/('CalibrationB. hydrogenotrophica'!$D$44))+$B$24</f>
        <v>9.5070994397615625</v>
      </c>
      <c r="M12" s="104">
        <f>((J12-'CalibrationB. hydrogenotrophica'!$D$45)/('CalibrationB. hydrogenotrophica'!$D$44))+$B$24</f>
        <v>9.7001591426705804</v>
      </c>
      <c r="N12" s="105">
        <f>AVERAGE(K12:M12)</f>
        <v>9.5634595287901192</v>
      </c>
      <c r="O12" s="105">
        <f>STDEV(K12:M12)</f>
        <v>0.11899093100695433</v>
      </c>
      <c r="P12" s="106">
        <f>(AVERAGE(POWER(10,K12),POWER(10,L12),POWER(10,M12)))*Calculation!$I12/Calculation!$K11</f>
        <v>3978724942.9165745</v>
      </c>
      <c r="Q12" s="106">
        <f>(STDEV(POWER(10,K12),POWER(10,L12),POWER(10,M12)))*Calculation!$I12/Calculation!$K11</f>
        <v>1156669238.0310171</v>
      </c>
      <c r="R12" s="105">
        <f t="shared" si="3"/>
        <v>9.5997439165521303</v>
      </c>
      <c r="S12" s="105">
        <f>O12*Calculation!$I12/Calculation!$K11</f>
        <v>0.12602642816716042</v>
      </c>
      <c r="T12" s="85"/>
      <c r="U12" s="85"/>
      <c r="V12" s="85"/>
      <c r="W12" s="85"/>
      <c r="X12" s="85"/>
      <c r="Y12" s="85"/>
      <c r="Z12" s="85"/>
      <c r="AA12" s="85"/>
      <c r="AB12" s="85"/>
      <c r="AC12" s="85"/>
    </row>
    <row r="13" spans="1:29">
      <c r="A13" s="40">
        <v>9</v>
      </c>
      <c r="B13" s="32">
        <v>80</v>
      </c>
      <c r="C13" s="32">
        <f t="shared" si="4"/>
        <v>760</v>
      </c>
      <c r="D13" s="13">
        <f t="shared" si="0"/>
        <v>12.666666666666666</v>
      </c>
      <c r="E13" s="99">
        <v>16.173879623413086</v>
      </c>
      <c r="F13" s="99">
        <v>16.439237594604492</v>
      </c>
      <c r="G13" s="104">
        <v>15.979767799377441</v>
      </c>
      <c r="H13" s="110">
        <f>(E13-$H$55)+$H$68</f>
        <v>16.188893924615321</v>
      </c>
      <c r="I13" s="110">
        <f>(F13-$H$55)+$H$68</f>
        <v>16.454251895806728</v>
      </c>
      <c r="J13" s="110">
        <f>(G13-$H$55)+$H$68</f>
        <v>15.994782100579679</v>
      </c>
      <c r="K13" s="104">
        <f>((H13-'CalibrationB. hydrogenotrophica'!$D$45)/('CalibrationB. hydrogenotrophica'!$D$44))+$B$24</f>
        <v>9.6557959432954785</v>
      </c>
      <c r="L13" s="104">
        <f>((I13-'CalibrationB. hydrogenotrophica'!$D$45)/('CalibrationB. hydrogenotrophica'!$D$44))+$B$24</f>
        <v>9.5892785163806309</v>
      </c>
      <c r="M13" s="104">
        <f>((J13-'CalibrationB. hydrogenotrophica'!$D$45)/('CalibrationB. hydrogenotrophica'!$D$44))+$B$24</f>
        <v>9.7044540597659488</v>
      </c>
      <c r="N13" s="105">
        <f t="shared" si="1"/>
        <v>9.6498428398140206</v>
      </c>
      <c r="O13" s="105">
        <f t="shared" si="2"/>
        <v>5.7818085659432993E-2</v>
      </c>
      <c r="P13" s="106">
        <f>(AVERAGE(POWER(10,K13),POWER(10,L13),POWER(10,M13)))*Calculation!$I13/Calculation!$K12</f>
        <v>4764060517.5083389</v>
      </c>
      <c r="Q13" s="106">
        <f>(STDEV(POWER(10,K13),POWER(10,L13),POWER(10,M13)))*Calculation!$I13/Calculation!$K12</f>
        <v>626411202.37274885</v>
      </c>
      <c r="R13" s="105">
        <f t="shared" si="3"/>
        <v>9.6779772696564574</v>
      </c>
      <c r="S13" s="105">
        <f>O13*Calculation!$I13/Calculation!$K12</f>
        <v>6.132724369443808E-2</v>
      </c>
      <c r="T13" s="85"/>
      <c r="U13" s="85"/>
      <c r="V13" s="85"/>
      <c r="W13" s="85"/>
      <c r="X13" s="85"/>
      <c r="Y13" s="85"/>
      <c r="Z13" s="85"/>
      <c r="AA13" s="85"/>
      <c r="AB13" s="85"/>
      <c r="AC13" s="85"/>
    </row>
    <row r="14" spans="1:29">
      <c r="A14" s="40">
        <v>10</v>
      </c>
      <c r="B14" s="32">
        <v>80</v>
      </c>
      <c r="C14" s="32">
        <f t="shared" si="4"/>
        <v>840</v>
      </c>
      <c r="D14" s="13">
        <f t="shared" si="0"/>
        <v>14</v>
      </c>
      <c r="E14" s="99">
        <v>15.95469856262207</v>
      </c>
      <c r="F14" s="99">
        <v>16.086101531982422</v>
      </c>
      <c r="G14" s="104">
        <v>15.661896705627441</v>
      </c>
      <c r="H14" s="110">
        <f>(E14-$H$55)+$H$68</f>
        <v>15.969712863824308</v>
      </c>
      <c r="I14" s="110">
        <f>(F14-$H$55)+$H$68</f>
        <v>16.101115833184657</v>
      </c>
      <c r="J14" s="110">
        <f>(G14-$H$55)+$H$68</f>
        <v>15.676911006829679</v>
      </c>
      <c r="K14" s="104">
        <f>((H14-'CalibrationB. hydrogenotrophica'!$D$45)/('CalibrationB. hydrogenotrophica'!$D$44))+$B$24</f>
        <v>9.7107381789736724</v>
      </c>
      <c r="L14" s="104">
        <f>((I14-'CalibrationB. hydrogenotrophica'!$D$45)/('CalibrationB. hydrogenotrophica'!$D$44))+$B$24</f>
        <v>9.6777993251997394</v>
      </c>
      <c r="M14" s="104">
        <f>((J14-'CalibrationB. hydrogenotrophica'!$D$45)/('CalibrationB. hydrogenotrophica'!$D$44))+$B$24</f>
        <v>9.7841349796641754</v>
      </c>
      <c r="N14" s="105">
        <f t="shared" si="1"/>
        <v>9.7242241612791958</v>
      </c>
      <c r="O14" s="105">
        <f t="shared" si="2"/>
        <v>5.4435481458821051E-2</v>
      </c>
      <c r="P14" s="106">
        <f>(AVERAGE(POWER(10,K14),POWER(10,L14),POWER(10,M14)))*Calculation!$I14/Calculation!$K13</f>
        <v>5659536152.5836687</v>
      </c>
      <c r="Q14" s="106">
        <f>(STDEV(POWER(10,K14),POWER(10,L14),POWER(10,M14)))*Calculation!$I14/Calculation!$K13</f>
        <v>723220274.38143742</v>
      </c>
      <c r="R14" s="105">
        <f t="shared" si="3"/>
        <v>9.7527808384977668</v>
      </c>
      <c r="S14" s="105">
        <f>O14*Calculation!$I14/Calculation!$K13</f>
        <v>5.7827490469076183E-2</v>
      </c>
      <c r="T14" s="85"/>
      <c r="U14" s="85"/>
      <c r="V14" s="85"/>
      <c r="W14" s="85"/>
      <c r="X14" s="85"/>
      <c r="Y14" s="85"/>
      <c r="Z14" s="85"/>
      <c r="AA14" s="85"/>
      <c r="AB14" s="85"/>
      <c r="AC14" s="85"/>
    </row>
    <row r="15" spans="1:29">
      <c r="A15" s="40">
        <v>11</v>
      </c>
      <c r="B15" s="32">
        <v>80</v>
      </c>
      <c r="C15" s="32">
        <f t="shared" si="4"/>
        <v>920</v>
      </c>
      <c r="D15" s="13">
        <f t="shared" si="0"/>
        <v>15.333333333333334</v>
      </c>
      <c r="E15" s="99">
        <v>15.988049507141113</v>
      </c>
      <c r="F15" s="99">
        <v>16.116432189941406</v>
      </c>
      <c r="G15" s="104">
        <v>15.828205108642578</v>
      </c>
      <c r="H15" s="110">
        <f>(E15-$H$55)+$H$68</f>
        <v>16.003063808343349</v>
      </c>
      <c r="I15" s="110">
        <f>(F15-$H$55)+$H$68</f>
        <v>16.131446491143642</v>
      </c>
      <c r="J15" s="110">
        <f>(G15-$H$55)+$H$68</f>
        <v>15.843219409844815</v>
      </c>
      <c r="K15" s="104">
        <f>((H15-'CalibrationB. hydrogenotrophica'!$D$45)/('CalibrationB. hydrogenotrophica'!$D$44))+$B$24</f>
        <v>9.7023780795780272</v>
      </c>
      <c r="L15" s="104">
        <f>((I15-'CalibrationB. hydrogenotrophica'!$D$45)/('CalibrationB. hydrogenotrophica'!$D$44))+$B$24</f>
        <v>9.6701963226782475</v>
      </c>
      <c r="M15" s="104">
        <f>((J15-'CalibrationB. hydrogenotrophica'!$D$45)/('CalibrationB. hydrogenotrophica'!$D$44))+$B$24</f>
        <v>9.7424463618577608</v>
      </c>
      <c r="N15" s="105">
        <f t="shared" si="1"/>
        <v>9.7050069213713446</v>
      </c>
      <c r="O15" s="105">
        <f t="shared" si="2"/>
        <v>3.6196686964983744E-2</v>
      </c>
      <c r="P15" s="106">
        <f>(AVERAGE(POWER(10,K15),POWER(10,L15),POWER(10,M15)))*Calculation!$I15/Calculation!$K14</f>
        <v>5406989411.6363602</v>
      </c>
      <c r="Q15" s="106">
        <f>(STDEV(POWER(10,K15),POWER(10,L15),POWER(10,M15)))*Calculation!$I15/Calculation!$K14</f>
        <v>452283891.45915532</v>
      </c>
      <c r="R15" s="105">
        <f t="shared" si="3"/>
        <v>9.732955519109117</v>
      </c>
      <c r="S15" s="105">
        <f>O15*Calculation!$I15/Calculation!$K14</f>
        <v>3.8513178562116973E-2</v>
      </c>
      <c r="T15" s="85"/>
      <c r="U15" s="85"/>
      <c r="V15" s="85"/>
      <c r="W15" s="85"/>
      <c r="X15" s="85"/>
      <c r="Y15" s="85"/>
      <c r="Z15" s="85"/>
      <c r="AA15" s="85"/>
      <c r="AB15" s="85"/>
      <c r="AC15" s="85"/>
    </row>
    <row r="16" spans="1:29">
      <c r="A16" s="40">
        <v>12</v>
      </c>
      <c r="B16" s="32">
        <v>80</v>
      </c>
      <c r="C16" s="32">
        <f t="shared" si="4"/>
        <v>1000</v>
      </c>
      <c r="D16" s="13">
        <f t="shared" si="0"/>
        <v>16.666666666666668</v>
      </c>
      <c r="E16" s="99">
        <v>15.55045223236084</v>
      </c>
      <c r="F16" s="99">
        <v>16.00970458984375</v>
      </c>
      <c r="G16" s="104">
        <v>15.557328224182129</v>
      </c>
      <c r="H16" s="110">
        <f>(E16-$H$55)+$H$68</f>
        <v>15.565466533563077</v>
      </c>
      <c r="I16" s="110">
        <f>(F16-$H$55)+$H$68</f>
        <v>16.024718891045985</v>
      </c>
      <c r="J16" s="110">
        <f>(G16-$H$55)+$H$68</f>
        <v>15.572342525384366</v>
      </c>
      <c r="K16" s="104">
        <f>((H16-'CalibrationB. hydrogenotrophica'!$D$45)/('CalibrationB. hydrogenotrophica'!$D$44))+$B$24</f>
        <v>9.8120708263707677</v>
      </c>
      <c r="L16" s="104">
        <f>((I16-'CalibrationB. hydrogenotrophica'!$D$45)/('CalibrationB. hydrogenotrophica'!$D$44))+$B$24</f>
        <v>9.6969497882229945</v>
      </c>
      <c r="M16" s="104">
        <f>((J16-'CalibrationB. hydrogenotrophica'!$D$45)/('CalibrationB. hydrogenotrophica'!$D$44))+$B$24</f>
        <v>9.810347217762418</v>
      </c>
      <c r="N16" s="105">
        <f t="shared" si="1"/>
        <v>9.7731226107853928</v>
      </c>
      <c r="O16" s="105">
        <f t="shared" si="2"/>
        <v>6.5973228505968443E-2</v>
      </c>
      <c r="P16" s="106">
        <f>(AVERAGE(POWER(10,K16),POWER(10,L16),POWER(10,M16)))*Calculation!$I16/Calculation!$K15</f>
        <v>6362967712.2357864</v>
      </c>
      <c r="Q16" s="106">
        <f>(STDEV(POWER(10,K16),POWER(10,L16),POWER(10,M16)))*Calculation!$I16/Calculation!$K15</f>
        <v>920935286.94667971</v>
      </c>
      <c r="R16" s="105">
        <f t="shared" si="3"/>
        <v>9.8036597194906001</v>
      </c>
      <c r="S16" s="105">
        <f>O16*Calculation!$I16/Calculation!$K15</f>
        <v>7.0253448210579786E-2</v>
      </c>
      <c r="T16" s="85"/>
      <c r="U16" s="85"/>
      <c r="V16" s="85"/>
      <c r="W16" s="85"/>
      <c r="X16" s="85"/>
      <c r="Y16" s="85"/>
      <c r="Z16" s="85"/>
      <c r="AA16" s="85"/>
      <c r="AB16" s="85"/>
      <c r="AC16" s="85"/>
    </row>
    <row r="17" spans="1:29">
      <c r="A17" s="40">
        <v>13</v>
      </c>
      <c r="B17" s="32">
        <v>80</v>
      </c>
      <c r="C17" s="32">
        <f t="shared" si="4"/>
        <v>1080</v>
      </c>
      <c r="D17" s="13">
        <f t="shared" si="0"/>
        <v>18</v>
      </c>
      <c r="E17" s="99">
        <v>15.37884521484375</v>
      </c>
      <c r="F17" s="99">
        <v>15.194767951965332</v>
      </c>
      <c r="G17" s="104">
        <v>16.429607391357422</v>
      </c>
      <c r="H17" s="110">
        <f>(E17-$H$55)+$H$68</f>
        <v>15.393859516045987</v>
      </c>
      <c r="I17" s="110">
        <f>(F17-$H$55)+$H$68</f>
        <v>15.209782253167569</v>
      </c>
      <c r="J17" s="110">
        <f>(G17-$H$55)+$H$68</f>
        <v>16.444621692559657</v>
      </c>
      <c r="K17" s="104">
        <f>((H17-'CalibrationB. hydrogenotrophica'!$D$45)/('CalibrationB. hydrogenotrophica'!$D$44))+$B$24</f>
        <v>9.8550876507552676</v>
      </c>
      <c r="L17" s="104">
        <f>((I17-'CalibrationB. hydrogenotrophica'!$D$45)/('CalibrationB. hydrogenotrophica'!$D$44))+$B$24</f>
        <v>9.9012303983246195</v>
      </c>
      <c r="M17" s="104">
        <f>((J17-'CalibrationB. hydrogenotrophica'!$D$45)/('CalibrationB. hydrogenotrophica'!$D$44))+$B$24</f>
        <v>9.5916925246645572</v>
      </c>
      <c r="N17" s="105">
        <f t="shared" si="1"/>
        <v>9.7826701912481493</v>
      </c>
      <c r="O17" s="105">
        <f t="shared" si="2"/>
        <v>0.1669929343972287</v>
      </c>
      <c r="P17" s="106">
        <f>(AVERAGE(POWER(10,K17),POWER(10,L17),POWER(10,M17)))*Calculation!$I17/Calculation!$K16</f>
        <v>6756417734.4848623</v>
      </c>
      <c r="Q17" s="106">
        <f>(STDEV(POWER(10,K17),POWER(10,L17),POWER(10,M17)))*Calculation!$I17/Calculation!$K16</f>
        <v>2289666573.7142887</v>
      </c>
      <c r="R17" s="105">
        <f t="shared" si="3"/>
        <v>9.8297164932040584</v>
      </c>
      <c r="S17" s="105">
        <f>O17*Calculation!$I17/Calculation!$K16</f>
        <v>0.17782712372712065</v>
      </c>
      <c r="T17" s="85"/>
      <c r="U17" s="85"/>
      <c r="V17" s="85"/>
      <c r="W17" s="85"/>
      <c r="X17" s="85"/>
      <c r="Y17" s="85"/>
      <c r="Z17" s="85"/>
      <c r="AA17" s="85"/>
      <c r="AB17" s="85"/>
      <c r="AC17" s="85"/>
    </row>
    <row r="18" spans="1:29">
      <c r="A18" s="40">
        <v>14</v>
      </c>
      <c r="B18" s="32">
        <v>360</v>
      </c>
      <c r="C18" s="32">
        <f t="shared" si="4"/>
        <v>1440</v>
      </c>
      <c r="D18" s="13">
        <f t="shared" si="0"/>
        <v>24</v>
      </c>
      <c r="E18" s="99">
        <v>15.635233879089355</v>
      </c>
      <c r="F18" s="99">
        <v>15.897910118103027</v>
      </c>
      <c r="G18" s="104"/>
      <c r="H18" s="110">
        <f>(E18-$H$55)+$H$68</f>
        <v>15.650248180291593</v>
      </c>
      <c r="I18" s="110">
        <f>(F18-$H$55)+$H$68</f>
        <v>15.912924419305265</v>
      </c>
      <c r="J18" s="110">
        <f>(G18-$H$55)+$H$68</f>
        <v>1.5014301202237235E-2</v>
      </c>
      <c r="K18" s="104">
        <f>((H18-'CalibrationB. hydrogenotrophica'!$D$45)/('CalibrationB. hydrogenotrophica'!$D$44))+$B$24</f>
        <v>9.7908185648891752</v>
      </c>
      <c r="L18" s="104">
        <f>((I18-'CalibrationB. hydrogenotrophica'!$D$45)/('CalibrationB. hydrogenotrophica'!$D$44))+$B$24</f>
        <v>9.7249733692373876</v>
      </c>
      <c r="M18" s="104"/>
      <c r="N18" s="105">
        <f>AVERAGE(K18:M18)</f>
        <v>9.7578959670632806</v>
      </c>
      <c r="O18" s="105">
        <f t="shared" si="2"/>
        <v>4.6559584353933973E-2</v>
      </c>
      <c r="P18" s="106">
        <f>(AVERAGE(POWER(10,K18),POWER(10,L18),POWER(10,M18)))*Calculation!$I18/Calculation!$K17</f>
        <v>4080749499.1111584</v>
      </c>
      <c r="Q18" s="106">
        <f>(STDEV(POWER(10,K18),POWER(10,L18),POWER(10,M18)))*Calculation!$I18/Calculation!$K17</f>
        <v>3564250821.0967364</v>
      </c>
      <c r="R18" s="105">
        <f t="shared" si="3"/>
        <v>9.6107399359904253</v>
      </c>
      <c r="S18" s="105">
        <f>O18*Calculation!$I18/Calculation!$K17</f>
        <v>4.9624670130498073E-2</v>
      </c>
      <c r="T18" s="85"/>
      <c r="U18" s="85"/>
      <c r="V18" s="85"/>
      <c r="W18" s="85"/>
      <c r="X18" s="85"/>
      <c r="Y18" s="85"/>
      <c r="Z18" s="85"/>
      <c r="AA18" s="85"/>
      <c r="AB18" s="85"/>
      <c r="AC18" s="85"/>
    </row>
    <row r="19" spans="1:29">
      <c r="A19" s="40">
        <v>15</v>
      </c>
      <c r="B19" s="32">
        <v>360</v>
      </c>
      <c r="C19" s="32">
        <f>C18+B19</f>
        <v>1800</v>
      </c>
      <c r="D19" s="13">
        <f t="shared" si="0"/>
        <v>30</v>
      </c>
      <c r="E19" s="99">
        <v>17.702787399291992</v>
      </c>
      <c r="F19" s="99">
        <v>18.111572265625</v>
      </c>
      <c r="G19" s="104">
        <v>18.405868530273438</v>
      </c>
      <c r="H19" s="110">
        <f>(E19-$H$55)+$H$68</f>
        <v>17.717801700494228</v>
      </c>
      <c r="I19" s="110">
        <f>(F19-$H$55)+$H$68</f>
        <v>18.126586566827235</v>
      </c>
      <c r="J19" s="110">
        <f>(G19-$H$55)+$H$68</f>
        <v>18.420882831475673</v>
      </c>
      <c r="K19" s="104">
        <f>((H19-'CalibrationB. hydrogenotrophica'!$D$45)/('CalibrationB. hydrogenotrophica'!$D$44))+$B$24</f>
        <v>9.2725437998420137</v>
      </c>
      <c r="L19" s="104">
        <f>((I19-'CalibrationB. hydrogenotrophica'!$D$45)/('CalibrationB. hydrogenotrophica'!$D$44))+$B$24</f>
        <v>9.1700734751401853</v>
      </c>
      <c r="M19" s="104">
        <f>((J19-'CalibrationB. hydrogenotrophica'!$D$45)/('CalibrationB. hydrogenotrophica'!$D$44))+$B$24</f>
        <v>9.0963020704705837</v>
      </c>
      <c r="N19" s="105">
        <f t="shared" si="1"/>
        <v>9.1796397818175937</v>
      </c>
      <c r="O19" s="105">
        <f t="shared" si="2"/>
        <v>8.8509448425254433E-2</v>
      </c>
      <c r="P19" s="106">
        <f>(AVERAGE(POWER(10,K19),POWER(10,L19),POWER(10,M19)))*Calculation!$I19/Calculation!$K18</f>
        <v>1634500890.3418987</v>
      </c>
      <c r="Q19" s="106">
        <f>(STDEV(POWER(10,K19),POWER(10,L19),POWER(10,M19)))*Calculation!$I19/Calculation!$K18</f>
        <v>336687975.38815653</v>
      </c>
      <c r="R19" s="105">
        <f t="shared" si="3"/>
        <v>9.2133851614844318</v>
      </c>
      <c r="S19" s="105">
        <f>O19*Calculation!$I19/Calculation!$K18</f>
        <v>9.4336155326190496E-2</v>
      </c>
      <c r="T19" s="85"/>
      <c r="U19" s="85"/>
      <c r="V19" s="85"/>
      <c r="W19" s="85"/>
      <c r="X19" s="85"/>
      <c r="Y19" s="85"/>
      <c r="Z19" s="85"/>
      <c r="AA19" s="85"/>
      <c r="AB19" s="85"/>
      <c r="AC19" s="85"/>
    </row>
    <row r="20" spans="1:29">
      <c r="A20" s="40">
        <v>16</v>
      </c>
      <c r="B20" s="32">
        <v>1080</v>
      </c>
      <c r="C20" s="32">
        <f>C19+B20</f>
        <v>2880</v>
      </c>
      <c r="D20" s="13">
        <f t="shared" si="0"/>
        <v>48</v>
      </c>
      <c r="E20" s="99">
        <v>18.000698089599609</v>
      </c>
      <c r="F20" s="99">
        <v>18.354532241821289</v>
      </c>
      <c r="G20" s="104">
        <v>19.469516754150391</v>
      </c>
      <c r="H20" s="110">
        <f>(E20-$H$55)+$H$68</f>
        <v>18.015712390801845</v>
      </c>
      <c r="I20" s="110">
        <f>(F20-$H$55)+$H$68</f>
        <v>18.369546543023525</v>
      </c>
      <c r="J20" s="110">
        <f>(G20-$H$55)+$H$68</f>
        <v>19.484531055352626</v>
      </c>
      <c r="K20" s="104">
        <f>((H20-'CalibrationB. hydrogenotrophica'!$D$45)/('CalibrationB. hydrogenotrophica'!$D$44))+$B$24</f>
        <v>9.1978663651272488</v>
      </c>
      <c r="L20" s="104">
        <f>((I20-'CalibrationB. hydrogenotrophica'!$D$45)/('CalibrationB. hydrogenotrophica'!$D$44))+$B$24</f>
        <v>9.1091705658086504</v>
      </c>
      <c r="M20" s="104">
        <f>((J20-'CalibrationB. hydrogenotrophica'!$D$45)/('CalibrationB. hydrogenotrophica'!$D$44))+$B$24</f>
        <v>8.8296767918811199</v>
      </c>
      <c r="N20" s="105">
        <f t="shared" si="1"/>
        <v>9.0455712409390063</v>
      </c>
      <c r="O20" s="105">
        <f t="shared" si="2"/>
        <v>0.19215760732975815</v>
      </c>
      <c r="P20" s="106">
        <f>(AVERAGE(POWER(10,K20),POWER(10,L20),POWER(10,M20)))*Calculation!$I20/Calculation!$K19</f>
        <v>1258410779.1667781</v>
      </c>
      <c r="Q20" s="106">
        <f>(STDEV(POWER(10,K20),POWER(10,L20),POWER(10,M20)))*Calculation!$I20/Calculation!$K19</f>
        <v>490856164.0970524</v>
      </c>
      <c r="R20" s="105">
        <f t="shared" si="3"/>
        <v>9.0998224296665668</v>
      </c>
      <c r="S20" s="105">
        <f>O20*Calculation!$I20/Calculation!$K19</f>
        <v>0.20501346147126001</v>
      </c>
      <c r="T20" s="85"/>
      <c r="U20" s="85"/>
      <c r="V20" s="85"/>
      <c r="W20" s="85"/>
      <c r="X20" s="85"/>
      <c r="Y20" s="85"/>
      <c r="Z20" s="85"/>
      <c r="AA20" s="85"/>
      <c r="AB20" s="85"/>
      <c r="AC20" s="85"/>
    </row>
    <row r="21" spans="1:29">
      <c r="A21" s="85"/>
      <c r="B21" s="85"/>
      <c r="C21" s="85"/>
      <c r="D21" s="85"/>
      <c r="E21" s="85"/>
      <c r="F21" s="85"/>
      <c r="G21" s="85"/>
      <c r="H21" s="85"/>
      <c r="I21" s="85"/>
      <c r="J21" s="85"/>
      <c r="K21" s="85"/>
      <c r="L21" s="85"/>
      <c r="M21" s="85"/>
      <c r="N21" s="85"/>
      <c r="O21" s="85"/>
      <c r="P21" s="85"/>
      <c r="Q21" s="85"/>
      <c r="R21" s="85"/>
      <c r="S21" s="85"/>
      <c r="T21" s="85"/>
      <c r="U21" s="85"/>
      <c r="V21" s="85"/>
      <c r="W21" s="85"/>
      <c r="X21" s="85"/>
      <c r="Y21" s="85"/>
      <c r="Z21" s="85"/>
      <c r="AA21" s="85"/>
      <c r="AB21" s="85"/>
      <c r="AC21" s="85"/>
    </row>
    <row r="22" spans="1:29">
      <c r="A22" s="116"/>
      <c r="B22" s="117"/>
      <c r="C22" s="116"/>
      <c r="D22" s="117"/>
      <c r="E22" s="118"/>
      <c r="F22" s="118"/>
      <c r="G22" s="119"/>
      <c r="H22" s="112"/>
      <c r="I22" s="112"/>
      <c r="J22" s="112"/>
      <c r="K22" s="119"/>
      <c r="L22" s="119"/>
      <c r="M22" s="119"/>
      <c r="N22" s="120"/>
      <c r="O22" s="120"/>
      <c r="P22" s="121"/>
      <c r="Q22" s="121"/>
      <c r="R22" s="120"/>
      <c r="S22" s="120"/>
    </row>
    <row r="23" spans="1:29">
      <c r="A23" s="116"/>
      <c r="B23" s="117"/>
      <c r="C23" s="116"/>
      <c r="D23" s="117"/>
      <c r="E23" s="118"/>
      <c r="F23" s="118"/>
      <c r="G23" s="119"/>
      <c r="H23" s="112"/>
      <c r="I23" s="112"/>
      <c r="J23" s="112"/>
      <c r="K23" s="119"/>
      <c r="L23" s="119"/>
      <c r="M23" s="119"/>
      <c r="N23" s="120"/>
      <c r="O23" s="120"/>
      <c r="P23" s="121"/>
      <c r="Q23" s="121"/>
      <c r="R23" s="120"/>
      <c r="S23" s="120"/>
    </row>
    <row r="24" spans="1:29">
      <c r="A24" s="102" t="s">
        <v>236</v>
      </c>
      <c r="B24" s="109">
        <f>LOG(B25)</f>
        <v>3.6532125137753435</v>
      </c>
      <c r="C24" s="85"/>
      <c r="D24" s="85"/>
      <c r="E24" s="85"/>
      <c r="F24" s="85"/>
      <c r="G24" s="85"/>
      <c r="H24" s="85"/>
      <c r="I24" s="85"/>
      <c r="J24" s="85"/>
      <c r="K24" s="85"/>
      <c r="L24" s="85"/>
      <c r="M24" s="85"/>
      <c r="N24" s="85"/>
      <c r="O24" s="85"/>
      <c r="P24" s="85"/>
      <c r="Q24" s="85"/>
      <c r="R24" s="85"/>
      <c r="S24" s="85"/>
    </row>
    <row r="25" spans="1:29">
      <c r="A25" s="98" t="s">
        <v>268</v>
      </c>
      <c r="B25" s="85">
        <f>20*1800/4/2</f>
        <v>4500</v>
      </c>
      <c r="C25" s="85"/>
      <c r="D25" s="85"/>
      <c r="E25" s="85"/>
      <c r="F25" s="85"/>
      <c r="G25" s="85"/>
      <c r="H25" s="85"/>
      <c r="I25" s="85"/>
      <c r="J25" s="85"/>
      <c r="K25" s="85"/>
      <c r="L25" s="85"/>
      <c r="M25" s="85"/>
      <c r="N25" s="85"/>
      <c r="O25" s="85"/>
      <c r="P25" s="85"/>
      <c r="Q25" s="85"/>
      <c r="R25" s="85"/>
      <c r="S25" s="85"/>
    </row>
    <row r="26" spans="1:29">
      <c r="A26" s="85"/>
      <c r="B26" s="85"/>
      <c r="C26" s="85"/>
      <c r="D26" s="85"/>
      <c r="E26" s="85"/>
      <c r="F26" s="85"/>
      <c r="G26" s="85"/>
      <c r="H26" s="85"/>
      <c r="I26" s="85"/>
      <c r="J26" s="85"/>
      <c r="K26" s="85"/>
      <c r="L26" s="85"/>
      <c r="M26" s="85"/>
      <c r="N26" s="85"/>
      <c r="O26" s="85"/>
      <c r="P26" s="85"/>
      <c r="Q26" s="85"/>
      <c r="R26" s="85"/>
      <c r="S26" s="85"/>
    </row>
    <row r="27" spans="1:29">
      <c r="A27" s="61" t="s">
        <v>269</v>
      </c>
      <c r="B27" s="61"/>
      <c r="C27" s="61"/>
      <c r="D27" s="61"/>
      <c r="E27" s="111">
        <v>11.1</v>
      </c>
      <c r="F27" s="110">
        <v>11.4</v>
      </c>
      <c r="G27" s="110"/>
      <c r="H27" s="110">
        <f>AVERAGE(E27:G27)</f>
        <v>11.25</v>
      </c>
      <c r="I27" s="85"/>
      <c r="J27" s="85"/>
      <c r="K27" s="85"/>
      <c r="L27" s="85"/>
      <c r="M27" s="85"/>
      <c r="N27" s="85"/>
      <c r="O27" s="85"/>
      <c r="P27" s="85"/>
      <c r="Q27" s="85"/>
      <c r="R27" s="85"/>
      <c r="S27" s="85"/>
    </row>
    <row r="28" spans="1:29">
      <c r="A28" s="61" t="s">
        <v>270</v>
      </c>
      <c r="B28" s="61"/>
      <c r="C28" s="61"/>
      <c r="D28" s="61"/>
      <c r="E28" s="125">
        <v>10.7</v>
      </c>
      <c r="F28" s="126">
        <v>10.8</v>
      </c>
      <c r="G28" s="126">
        <v>10.7</v>
      </c>
      <c r="H28" s="110">
        <f t="shared" ref="H28:H59" si="5">AVERAGE(E28:G28)</f>
        <v>10.733333333333334</v>
      </c>
    </row>
    <row r="29" spans="1:29">
      <c r="A29" s="61" t="s">
        <v>271</v>
      </c>
      <c r="B29" s="61"/>
      <c r="C29" s="61"/>
      <c r="D29" s="61"/>
      <c r="E29" s="125">
        <v>11.5</v>
      </c>
      <c r="F29" s="126">
        <v>11.5</v>
      </c>
      <c r="G29" s="126">
        <v>11.5</v>
      </c>
      <c r="H29" s="110">
        <f t="shared" si="5"/>
        <v>11.5</v>
      </c>
    </row>
    <row r="30" spans="1:29">
      <c r="A30" s="61" t="s">
        <v>272</v>
      </c>
      <c r="B30" s="61"/>
      <c r="C30" s="61"/>
      <c r="D30" s="61"/>
      <c r="E30" s="125">
        <v>11.3</v>
      </c>
      <c r="F30" s="126">
        <v>11.6</v>
      </c>
      <c r="G30" s="126">
        <v>11.7</v>
      </c>
      <c r="H30" s="110">
        <f t="shared" si="5"/>
        <v>11.533333333333331</v>
      </c>
    </row>
    <row r="31" spans="1:29">
      <c r="A31" s="61" t="s">
        <v>273</v>
      </c>
      <c r="B31" s="61"/>
      <c r="C31" s="61"/>
      <c r="D31" s="61"/>
      <c r="E31" s="125">
        <v>11.5</v>
      </c>
      <c r="F31" s="126">
        <v>11.5</v>
      </c>
      <c r="G31" s="126">
        <v>11.5</v>
      </c>
      <c r="H31" s="110">
        <f t="shared" si="5"/>
        <v>11.5</v>
      </c>
    </row>
    <row r="32" spans="1:29">
      <c r="A32" s="61" t="s">
        <v>274</v>
      </c>
      <c r="B32" s="61"/>
      <c r="C32" s="61"/>
      <c r="D32" s="61"/>
      <c r="E32" s="125">
        <v>11.5</v>
      </c>
      <c r="F32" s="126">
        <v>11.5</v>
      </c>
      <c r="G32" s="126">
        <v>11.5</v>
      </c>
      <c r="H32" s="110">
        <f t="shared" si="5"/>
        <v>11.5</v>
      </c>
    </row>
    <row r="33" spans="1:8">
      <c r="A33" s="61" t="s">
        <v>275</v>
      </c>
      <c r="B33" s="61"/>
      <c r="C33" s="61"/>
      <c r="D33" s="61"/>
      <c r="E33" s="125">
        <v>11.6</v>
      </c>
      <c r="F33" s="126">
        <v>11.6</v>
      </c>
      <c r="G33" s="126">
        <v>11.6</v>
      </c>
      <c r="H33" s="110">
        <f t="shared" si="5"/>
        <v>11.6</v>
      </c>
    </row>
    <row r="34" spans="1:8">
      <c r="A34" s="61" t="s">
        <v>276</v>
      </c>
      <c r="B34" s="61"/>
      <c r="C34" s="61"/>
      <c r="D34" s="61"/>
      <c r="E34" s="125">
        <v>11.2</v>
      </c>
      <c r="F34" s="126">
        <v>11.2</v>
      </c>
      <c r="G34" s="126">
        <v>11.2</v>
      </c>
      <c r="H34" s="110">
        <f t="shared" si="5"/>
        <v>11.199999999999998</v>
      </c>
    </row>
    <row r="35" spans="1:8">
      <c r="A35" s="61" t="s">
        <v>299</v>
      </c>
      <c r="B35" s="61"/>
      <c r="C35" s="61"/>
      <c r="D35" s="61"/>
      <c r="E35" s="125">
        <v>10.4</v>
      </c>
      <c r="F35" s="126">
        <v>11.2</v>
      </c>
      <c r="G35" s="126">
        <v>11.4</v>
      </c>
      <c r="H35" s="110">
        <f t="shared" si="5"/>
        <v>11</v>
      </c>
    </row>
    <row r="36" spans="1:8">
      <c r="A36" s="61" t="s">
        <v>299</v>
      </c>
      <c r="B36" s="61"/>
      <c r="C36" s="61"/>
      <c r="D36" s="61"/>
      <c r="E36" s="125">
        <v>11.3</v>
      </c>
      <c r="F36" s="126">
        <v>11.5</v>
      </c>
      <c r="G36" s="126">
        <v>11.6</v>
      </c>
      <c r="H36" s="110">
        <f t="shared" si="5"/>
        <v>11.466666666666667</v>
      </c>
    </row>
    <row r="37" spans="1:8">
      <c r="A37" s="61" t="s">
        <v>315</v>
      </c>
      <c r="B37" s="61"/>
      <c r="C37" s="61"/>
      <c r="D37" s="61"/>
      <c r="E37" s="125">
        <v>11.7</v>
      </c>
      <c r="F37" s="126">
        <v>11.7</v>
      </c>
      <c r="G37" s="126">
        <v>11.7</v>
      </c>
      <c r="H37" s="110">
        <f t="shared" si="5"/>
        <v>11.699999999999998</v>
      </c>
    </row>
    <row r="38" spans="1:8">
      <c r="A38" s="61" t="s">
        <v>315</v>
      </c>
      <c r="B38" s="61"/>
      <c r="C38" s="61"/>
      <c r="D38" s="61"/>
      <c r="E38" s="125">
        <v>11.3</v>
      </c>
      <c r="F38" s="126">
        <v>11.5</v>
      </c>
      <c r="G38" s="126">
        <v>11</v>
      </c>
      <c r="H38" s="110">
        <f t="shared" si="5"/>
        <v>11.266666666666666</v>
      </c>
    </row>
    <row r="39" spans="1:8">
      <c r="A39" s="61" t="s">
        <v>316</v>
      </c>
      <c r="B39" s="61"/>
      <c r="C39" s="61"/>
      <c r="D39" s="61"/>
      <c r="E39" s="125">
        <v>11.2</v>
      </c>
      <c r="F39" s="126">
        <v>11.3</v>
      </c>
      <c r="G39" s="126">
        <v>11.4</v>
      </c>
      <c r="H39" s="110">
        <f t="shared" si="5"/>
        <v>11.299999999999999</v>
      </c>
    </row>
    <row r="40" spans="1:8">
      <c r="A40" s="61" t="s">
        <v>317</v>
      </c>
      <c r="B40" s="61"/>
      <c r="C40" s="61"/>
      <c r="D40" s="61"/>
      <c r="E40" s="125">
        <v>11.5</v>
      </c>
      <c r="F40" s="126">
        <v>11.5</v>
      </c>
      <c r="G40" s="126">
        <v>11.5</v>
      </c>
      <c r="H40" s="110">
        <f t="shared" si="5"/>
        <v>11.5</v>
      </c>
    </row>
    <row r="41" spans="1:8">
      <c r="A41" s="61" t="s">
        <v>318</v>
      </c>
      <c r="B41" s="61"/>
      <c r="C41" s="61"/>
      <c r="D41" s="61"/>
      <c r="E41" s="125">
        <v>11.3</v>
      </c>
      <c r="F41" s="126">
        <v>11.3</v>
      </c>
      <c r="G41" s="126">
        <v>11.3</v>
      </c>
      <c r="H41" s="110">
        <f t="shared" si="5"/>
        <v>11.300000000000002</v>
      </c>
    </row>
    <row r="42" spans="1:8">
      <c r="A42" s="61" t="s">
        <v>319</v>
      </c>
      <c r="B42" s="61"/>
      <c r="C42" s="61"/>
      <c r="D42" s="61"/>
      <c r="E42" s="125">
        <v>11.3</v>
      </c>
      <c r="F42" s="126">
        <v>11.3</v>
      </c>
      <c r="G42" s="126">
        <v>11.4</v>
      </c>
      <c r="H42" s="110">
        <f t="shared" si="5"/>
        <v>11.333333333333334</v>
      </c>
    </row>
    <row r="43" spans="1:8">
      <c r="A43" s="61" t="s">
        <v>320</v>
      </c>
      <c r="B43" s="61"/>
      <c r="C43" s="61"/>
      <c r="D43" s="61"/>
      <c r="E43" s="125">
        <v>11.1</v>
      </c>
      <c r="F43" s="126">
        <v>11.2</v>
      </c>
      <c r="G43" s="126">
        <v>11.2</v>
      </c>
      <c r="H43" s="110">
        <f t="shared" si="5"/>
        <v>11.166666666666666</v>
      </c>
    </row>
    <row r="44" spans="1:8">
      <c r="A44" s="61" t="s">
        <v>320</v>
      </c>
      <c r="B44" s="61"/>
      <c r="C44" s="61"/>
      <c r="D44" s="61"/>
      <c r="E44" s="125">
        <v>11.3</v>
      </c>
      <c r="F44" s="126">
        <v>11.3</v>
      </c>
      <c r="G44" s="126">
        <v>11.4</v>
      </c>
      <c r="H44" s="110">
        <f t="shared" si="5"/>
        <v>11.333333333333334</v>
      </c>
    </row>
    <row r="45" spans="1:8">
      <c r="A45" s="61" t="s">
        <v>321</v>
      </c>
      <c r="B45" s="61"/>
      <c r="C45" s="61"/>
      <c r="D45" s="61"/>
      <c r="E45" s="125">
        <v>11.3</v>
      </c>
      <c r="F45" s="126">
        <v>11.4</v>
      </c>
      <c r="G45" s="126">
        <v>11.3</v>
      </c>
      <c r="H45" s="110">
        <f t="shared" si="5"/>
        <v>11.333333333333334</v>
      </c>
    </row>
    <row r="46" spans="1:8">
      <c r="A46" s="61" t="s">
        <v>322</v>
      </c>
      <c r="B46" s="61"/>
      <c r="C46" s="61"/>
      <c r="D46" s="61"/>
      <c r="E46" s="125">
        <v>11.1</v>
      </c>
      <c r="F46" s="126">
        <v>11.4</v>
      </c>
      <c r="G46" s="126">
        <v>11.2</v>
      </c>
      <c r="H46" s="110">
        <f t="shared" si="5"/>
        <v>11.233333333333334</v>
      </c>
    </row>
    <row r="47" spans="1:8">
      <c r="A47" s="61" t="s">
        <v>322</v>
      </c>
      <c r="B47" s="61"/>
      <c r="C47" s="61"/>
      <c r="D47" s="61"/>
      <c r="E47" s="125">
        <v>11.4</v>
      </c>
      <c r="F47" s="126">
        <v>11.4</v>
      </c>
      <c r="G47" s="126">
        <v>11.4</v>
      </c>
      <c r="H47" s="110">
        <f t="shared" si="5"/>
        <v>11.4</v>
      </c>
    </row>
    <row r="48" spans="1:8">
      <c r="A48" s="61" t="s">
        <v>323</v>
      </c>
      <c r="B48" s="61"/>
      <c r="C48" s="61"/>
      <c r="D48" s="61"/>
      <c r="E48" s="125">
        <v>11.4</v>
      </c>
      <c r="F48" s="126">
        <v>11.4</v>
      </c>
      <c r="G48" s="126">
        <v>11.3</v>
      </c>
      <c r="H48" s="110">
        <f t="shared" si="5"/>
        <v>11.366666666666667</v>
      </c>
    </row>
    <row r="49" spans="1:8">
      <c r="A49" s="61" t="s">
        <v>324</v>
      </c>
      <c r="B49" s="61"/>
      <c r="C49" s="61"/>
      <c r="D49" s="61"/>
      <c r="E49" s="125">
        <v>11.4</v>
      </c>
      <c r="F49" s="126">
        <v>11.3</v>
      </c>
      <c r="G49" s="126">
        <v>11.3</v>
      </c>
      <c r="H49" s="110">
        <f t="shared" si="5"/>
        <v>11.333333333333334</v>
      </c>
    </row>
    <row r="50" spans="1:8">
      <c r="A50" s="61" t="s">
        <v>325</v>
      </c>
      <c r="B50" s="61"/>
      <c r="C50" s="61"/>
      <c r="D50" s="61"/>
      <c r="E50" s="125">
        <v>11.4</v>
      </c>
      <c r="F50" s="126">
        <v>11.4</v>
      </c>
      <c r="G50" s="126">
        <v>11.3</v>
      </c>
      <c r="H50" s="110">
        <f t="shared" si="5"/>
        <v>11.366666666666667</v>
      </c>
    </row>
    <row r="51" spans="1:8">
      <c r="A51" s="61" t="s">
        <v>350</v>
      </c>
      <c r="E51" s="111">
        <v>10.961522102355957</v>
      </c>
      <c r="F51" s="110">
        <v>10.991280555725098</v>
      </c>
      <c r="G51" s="110">
        <v>10.988773345947266</v>
      </c>
      <c r="H51" s="110">
        <f t="shared" si="5"/>
        <v>10.980525334676107</v>
      </c>
    </row>
    <row r="52" spans="1:8">
      <c r="A52" s="61" t="s">
        <v>351</v>
      </c>
      <c r="E52" s="111">
        <v>11.455920219421387</v>
      </c>
      <c r="F52" s="110">
        <v>11.47702693939209</v>
      </c>
      <c r="G52" s="110">
        <v>11.41429615020752</v>
      </c>
      <c r="H52" s="110">
        <f t="shared" si="5"/>
        <v>11.449081103006998</v>
      </c>
    </row>
    <row r="53" spans="1:8">
      <c r="A53" s="61" t="s">
        <v>352</v>
      </c>
      <c r="E53" s="111">
        <v>11.481462478637695</v>
      </c>
      <c r="F53" s="110">
        <v>11.294193267822266</v>
      </c>
      <c r="G53" s="110">
        <v>11.30172061920166</v>
      </c>
      <c r="H53" s="110">
        <f t="shared" si="5"/>
        <v>11.359125455220541</v>
      </c>
    </row>
    <row r="54" spans="1:8">
      <c r="A54" s="61" t="s">
        <v>352</v>
      </c>
      <c r="E54" s="111">
        <v>11.333268165588301</v>
      </c>
      <c r="F54" s="110">
        <v>11.3499765396118</v>
      </c>
      <c r="G54" s="110">
        <v>11.688117980956999</v>
      </c>
      <c r="H54" s="110">
        <f t="shared" si="5"/>
        <v>11.4571208953857</v>
      </c>
    </row>
    <row r="55" spans="1:8">
      <c r="A55" s="61" t="s">
        <v>353</v>
      </c>
      <c r="E55" s="111">
        <v>11.225685119628906</v>
      </c>
      <c r="F55" s="110">
        <v>11.295048713684082</v>
      </c>
      <c r="G55" s="110">
        <v>11.326059341430664</v>
      </c>
      <c r="H55" s="110">
        <f t="shared" si="5"/>
        <v>11.282264391581217</v>
      </c>
    </row>
    <row r="56" spans="1:8">
      <c r="A56" s="61" t="s">
        <v>361</v>
      </c>
      <c r="E56" s="111">
        <v>11.361672401428223</v>
      </c>
      <c r="F56" s="110">
        <v>11.304685592651367</v>
      </c>
      <c r="G56" s="110">
        <v>11.405701637268066</v>
      </c>
      <c r="H56" s="110">
        <f t="shared" si="5"/>
        <v>11.357353210449219</v>
      </c>
    </row>
    <row r="57" spans="1:8">
      <c r="A57" s="61" t="s">
        <v>362</v>
      </c>
      <c r="E57" s="111">
        <v>10.911848068237305</v>
      </c>
      <c r="F57" s="110">
        <v>10.950149536132812</v>
      </c>
      <c r="G57" s="110">
        <v>10.982019424438477</v>
      </c>
      <c r="H57" s="110">
        <f t="shared" si="5"/>
        <v>10.948005676269531</v>
      </c>
    </row>
    <row r="58" spans="1:8">
      <c r="A58" s="61" t="s">
        <v>363</v>
      </c>
      <c r="B58" s="61"/>
      <c r="C58" s="61"/>
      <c r="D58" s="85"/>
      <c r="E58" s="111">
        <v>11.097690582275391</v>
      </c>
      <c r="F58" s="110">
        <v>11.199633598327637</v>
      </c>
      <c r="G58" s="110">
        <v>11.211821556091309</v>
      </c>
      <c r="H58" s="110">
        <f t="shared" si="5"/>
        <v>11.169715245564779</v>
      </c>
    </row>
    <row r="59" spans="1:8">
      <c r="A59" s="61" t="s">
        <v>364</v>
      </c>
      <c r="B59" s="61"/>
      <c r="C59" s="61"/>
      <c r="D59" s="85"/>
      <c r="E59" s="111">
        <v>11.383224487304688</v>
      </c>
      <c r="F59" s="110">
        <v>11.329494476318359</v>
      </c>
      <c r="G59" s="110">
        <v>11.243021011352539</v>
      </c>
      <c r="H59" s="110">
        <f t="shared" si="5"/>
        <v>11.318579991658529</v>
      </c>
    </row>
    <row r="60" spans="1:8">
      <c r="A60" s="61" t="s">
        <v>364</v>
      </c>
      <c r="B60" s="61"/>
      <c r="C60" s="61"/>
      <c r="D60" s="85"/>
      <c r="E60" s="111">
        <v>11.171065330505371</v>
      </c>
      <c r="F60" s="110">
        <v>11.234642028808594</v>
      </c>
      <c r="G60" s="110">
        <v>11.325413703918457</v>
      </c>
      <c r="H60" s="110">
        <f>AVERAGE(E60:G60)</f>
        <v>11.243707021077475</v>
      </c>
    </row>
    <row r="61" spans="1:8">
      <c r="A61" s="61" t="s">
        <v>365</v>
      </c>
      <c r="B61" s="168"/>
      <c r="C61" s="85"/>
      <c r="D61" s="85"/>
      <c r="E61" s="111">
        <v>11.431556701660156</v>
      </c>
      <c r="F61" s="110">
        <v>11.393752098083496</v>
      </c>
      <c r="G61" s="110">
        <v>11.470895767211914</v>
      </c>
      <c r="H61" s="110">
        <f t="shared" ref="H61:H63" si="6">AVERAGE(E61:G61)</f>
        <v>11.432068188985189</v>
      </c>
    </row>
    <row r="62" spans="1:8">
      <c r="A62" s="61" t="s">
        <v>365</v>
      </c>
      <c r="B62" s="168"/>
      <c r="C62" s="85"/>
      <c r="D62" s="85"/>
      <c r="E62" s="111">
        <v>11.38902759552002</v>
      </c>
      <c r="F62" s="110">
        <v>11.318164825439453</v>
      </c>
      <c r="G62" s="110">
        <v>11.357851982116699</v>
      </c>
      <c r="H62" s="110">
        <f t="shared" si="6"/>
        <v>11.355014801025391</v>
      </c>
    </row>
    <row r="63" spans="1:8">
      <c r="A63" s="61" t="s">
        <v>366</v>
      </c>
      <c r="B63" s="168"/>
      <c r="C63" s="85"/>
      <c r="D63" s="85"/>
      <c r="E63" s="111">
        <v>10.827228546142578</v>
      </c>
      <c r="F63" s="110">
        <v>10.980537414550781</v>
      </c>
      <c r="G63" s="110">
        <v>10.733705520629883</v>
      </c>
      <c r="H63" s="110">
        <f t="shared" si="6"/>
        <v>10.84715716044108</v>
      </c>
    </row>
    <row r="64" spans="1:8">
      <c r="A64" s="61" t="s">
        <v>367</v>
      </c>
      <c r="B64" s="168"/>
      <c r="C64" s="85"/>
      <c r="D64" s="85"/>
      <c r="E64" s="111">
        <v>11.185029029846191</v>
      </c>
      <c r="F64" s="110">
        <v>11.096076965332031</v>
      </c>
      <c r="G64" s="110">
        <v>11.32984447479248</v>
      </c>
      <c r="H64" s="110">
        <f>AVERAGE(E64:G64)</f>
        <v>11.2036501566569</v>
      </c>
    </row>
    <row r="65" spans="1:8">
      <c r="A65" s="61" t="s">
        <v>367</v>
      </c>
      <c r="B65" s="168"/>
      <c r="C65" s="85"/>
      <c r="D65" s="85"/>
      <c r="E65" s="111">
        <v>11.051477432250977</v>
      </c>
      <c r="F65" s="110">
        <v>10.973122596740723</v>
      </c>
      <c r="G65" s="110">
        <v>10.89690113067627</v>
      </c>
      <c r="H65" s="110">
        <f>AVERAGE(E65:G65)</f>
        <v>10.973833719889322</v>
      </c>
    </row>
    <row r="66" spans="1:8">
      <c r="A66" s="61"/>
      <c r="B66" s="61"/>
      <c r="C66" s="61"/>
      <c r="D66" s="61"/>
      <c r="E66" s="112"/>
      <c r="F66" s="112"/>
      <c r="G66" s="112"/>
      <c r="H66" s="112"/>
    </row>
    <row r="67" spans="1:8">
      <c r="A67" s="61"/>
      <c r="B67" s="61"/>
      <c r="C67" s="61"/>
      <c r="D67" s="61"/>
      <c r="E67" s="61"/>
      <c r="F67" s="61"/>
      <c r="G67" s="61"/>
      <c r="H67" s="61"/>
    </row>
    <row r="68" spans="1:8">
      <c r="A68" s="61"/>
      <c r="B68" s="61"/>
      <c r="C68" s="61"/>
      <c r="D68" s="61"/>
      <c r="E68" s="61"/>
      <c r="F68" s="61"/>
      <c r="G68" s="61" t="s">
        <v>326</v>
      </c>
      <c r="H68" s="127">
        <f>AVERAGE(H27:H65)</f>
        <v>11.297278692783454</v>
      </c>
    </row>
  </sheetData>
  <mergeCells count="19">
    <mergeCell ref="L2:L3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S2:S3"/>
    <mergeCell ref="M2:M3"/>
    <mergeCell ref="N2:N3"/>
    <mergeCell ref="O2:O3"/>
    <mergeCell ref="P2:P3"/>
    <mergeCell ref="Q2:Q3"/>
    <mergeCell ref="R2:R3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2"/>
  <sheetViews>
    <sheetView topLeftCell="E1" workbookViewId="0">
      <selection activeCell="O5" sqref="O5"/>
    </sheetView>
  </sheetViews>
  <sheetFormatPr baseColWidth="10" defaultRowHeight="14" x14ac:dyDescent="0"/>
  <cols>
    <col min="5" max="5" width="17.33203125" customWidth="1"/>
    <col min="6" max="6" width="24.83203125" customWidth="1"/>
    <col min="12" max="12" width="21.1640625" customWidth="1"/>
    <col min="13" max="13" width="19.5" customWidth="1"/>
    <col min="15" max="15" width="16.1640625" customWidth="1"/>
  </cols>
  <sheetData>
    <row r="2" spans="1:17">
      <c r="A2" s="103" t="s">
        <v>220</v>
      </c>
      <c r="B2" s="85"/>
      <c r="C2" s="85"/>
      <c r="D2" s="85"/>
      <c r="H2" s="103" t="s">
        <v>266</v>
      </c>
      <c r="I2" s="85"/>
      <c r="J2" s="85"/>
      <c r="K2" s="85"/>
      <c r="O2" s="103" t="s">
        <v>296</v>
      </c>
    </row>
    <row r="3" spans="1:17">
      <c r="A3" s="132" t="s">
        <v>4</v>
      </c>
      <c r="B3" s="132" t="s">
        <v>117</v>
      </c>
      <c r="C3" s="132" t="s">
        <v>117</v>
      </c>
      <c r="D3" s="132" t="s">
        <v>5</v>
      </c>
      <c r="E3" s="149" t="s">
        <v>234</v>
      </c>
      <c r="F3" s="146" t="s">
        <v>235</v>
      </c>
      <c r="H3" s="132" t="s">
        <v>4</v>
      </c>
      <c r="I3" s="132" t="s">
        <v>117</v>
      </c>
      <c r="J3" s="132" t="s">
        <v>117</v>
      </c>
      <c r="K3" s="132" t="s">
        <v>5</v>
      </c>
      <c r="L3" s="149" t="s">
        <v>234</v>
      </c>
      <c r="M3" s="146" t="s">
        <v>235</v>
      </c>
      <c r="O3" s="149" t="s">
        <v>234</v>
      </c>
      <c r="P3" s="149" t="s">
        <v>234</v>
      </c>
      <c r="Q3" s="146" t="s">
        <v>235</v>
      </c>
    </row>
    <row r="4" spans="1:17">
      <c r="A4" s="133"/>
      <c r="B4" s="133"/>
      <c r="C4" s="133"/>
      <c r="D4" s="133"/>
      <c r="E4" s="153"/>
      <c r="F4" s="154"/>
      <c r="H4" s="133"/>
      <c r="I4" s="133"/>
      <c r="J4" s="133"/>
      <c r="K4" s="133"/>
      <c r="L4" s="153"/>
      <c r="M4" s="154"/>
      <c r="O4" s="153"/>
      <c r="P4" s="153"/>
      <c r="Q4" s="154"/>
    </row>
    <row r="5" spans="1:17">
      <c r="A5" s="40">
        <v>0</v>
      </c>
      <c r="B5" s="32">
        <v>10</v>
      </c>
      <c r="C5" s="32">
        <f>B5</f>
        <v>10</v>
      </c>
      <c r="D5" s="13">
        <f t="shared" ref="D5:D21" si="0">C5/60</f>
        <v>0.16666666666666666</v>
      </c>
      <c r="E5" s="105">
        <f>'Determination cell counts RI'!R4</f>
        <v>8.2737547946000127</v>
      </c>
      <c r="F5" s="105">
        <f>'Determination cell counts RI'!S4</f>
        <v>3.6625100137948251E-2</v>
      </c>
      <c r="H5" s="40">
        <v>0</v>
      </c>
      <c r="I5" s="32">
        <v>10</v>
      </c>
      <c r="J5" s="32">
        <f>I5</f>
        <v>10</v>
      </c>
      <c r="K5" s="13">
        <f t="shared" ref="K5:K21" si="1">J5/60</f>
        <v>0.16666666666666666</v>
      </c>
      <c r="L5" s="105">
        <f>'Determination cell counts BH'!R4</f>
        <v>7.6850665794401056</v>
      </c>
      <c r="M5" s="105">
        <f>'Determination cell counts BH'!S4</f>
        <v>6.1348606273821243E-2</v>
      </c>
      <c r="O5" s="31">
        <f>POWER(10,E5)+POWER(10,L5)+POWER(10,E26)</f>
        <v>246932808.50131366</v>
      </c>
      <c r="P5" s="124">
        <f>LOG(O5)</f>
        <v>8.392578795903896</v>
      </c>
      <c r="Q5" s="124">
        <f>F5+M5+F26</f>
        <v>0.14506313911763102</v>
      </c>
    </row>
    <row r="6" spans="1:17">
      <c r="A6" s="40">
        <v>1</v>
      </c>
      <c r="B6" s="32">
        <v>110</v>
      </c>
      <c r="C6" s="32">
        <f>C5+B6</f>
        <v>120</v>
      </c>
      <c r="D6" s="13">
        <f t="shared" si="0"/>
        <v>2</v>
      </c>
      <c r="E6" s="105">
        <f>'Determination cell counts RI'!R5</f>
        <v>8.4162331887389286</v>
      </c>
      <c r="F6" s="105">
        <f>'Determination cell counts RI'!S5</f>
        <v>6.6396877899172022E-2</v>
      </c>
      <c r="H6" s="40">
        <v>1</v>
      </c>
      <c r="I6" s="32">
        <v>110</v>
      </c>
      <c r="J6" s="32">
        <f>J5+I6</f>
        <v>120</v>
      </c>
      <c r="K6" s="13">
        <f t="shared" si="1"/>
        <v>2</v>
      </c>
      <c r="L6" s="105">
        <f>'Determination cell counts BH'!R5</f>
        <v>7.9814802240275826</v>
      </c>
      <c r="M6" s="105">
        <f>'Determination cell counts BH'!S5</f>
        <v>5.018419641534997E-2</v>
      </c>
      <c r="O6" s="31">
        <f t="shared" ref="O6:O20" si="2">POWER(10,E6)+POWER(10,L6)+POWER(10,E27)</f>
        <v>374393009.57698172</v>
      </c>
      <c r="P6" s="124">
        <f t="shared" ref="P6:P21" si="3">LOG(O6)</f>
        <v>8.573327731277379</v>
      </c>
      <c r="Q6" s="124">
        <f t="shared" ref="Q6:Q21" si="4">F6+M6+F27</f>
        <v>0.17137212584218611</v>
      </c>
    </row>
    <row r="7" spans="1:17">
      <c r="A7" s="40">
        <v>2</v>
      </c>
      <c r="B7" s="32">
        <v>80</v>
      </c>
      <c r="C7" s="32">
        <f>C6+B7</f>
        <v>200</v>
      </c>
      <c r="D7" s="13">
        <f t="shared" si="0"/>
        <v>3.3333333333333335</v>
      </c>
      <c r="E7" s="105">
        <f>'Determination cell counts RI'!R6</f>
        <v>8.5029360376966938</v>
      </c>
      <c r="F7" s="105">
        <f>'Determination cell counts RI'!S6</f>
        <v>1.7153375516814787E-2</v>
      </c>
      <c r="H7" s="40">
        <v>2</v>
      </c>
      <c r="I7" s="32">
        <v>80</v>
      </c>
      <c r="J7" s="32">
        <f>J6+I7</f>
        <v>200</v>
      </c>
      <c r="K7" s="13">
        <f t="shared" si="1"/>
        <v>3.3333333333333335</v>
      </c>
      <c r="L7" s="105">
        <f>'Determination cell counts BH'!R6</f>
        <v>8.210605733557955</v>
      </c>
      <c r="M7" s="105">
        <f>'Determination cell counts BH'!S6</f>
        <v>7.3474134742338049E-2</v>
      </c>
      <c r="O7" s="31">
        <f t="shared" si="2"/>
        <v>536313001.92552125</v>
      </c>
      <c r="P7" s="124">
        <f t="shared" si="3"/>
        <v>8.7294183257642253</v>
      </c>
      <c r="Q7" s="124">
        <f t="shared" si="4"/>
        <v>0.16907870589977464</v>
      </c>
    </row>
    <row r="8" spans="1:17">
      <c r="A8" s="40">
        <v>3</v>
      </c>
      <c r="B8" s="32">
        <v>80</v>
      </c>
      <c r="C8" s="32">
        <f>C7+B8</f>
        <v>280</v>
      </c>
      <c r="D8" s="13">
        <f t="shared" si="0"/>
        <v>4.666666666666667</v>
      </c>
      <c r="E8" s="105">
        <f>'Determination cell counts RI'!R7</f>
        <v>8.7566554828664991</v>
      </c>
      <c r="F8" s="105">
        <f>'Determination cell counts RI'!S7</f>
        <v>7.4227309997372787E-2</v>
      </c>
      <c r="H8" s="40">
        <v>3</v>
      </c>
      <c r="I8" s="32">
        <v>80</v>
      </c>
      <c r="J8" s="32">
        <f>J7+I8</f>
        <v>280</v>
      </c>
      <c r="K8" s="13">
        <f t="shared" si="1"/>
        <v>4.666666666666667</v>
      </c>
      <c r="L8" s="105">
        <f>'Determination cell counts BH'!R7</f>
        <v>8.286137913198349</v>
      </c>
      <c r="M8" s="105">
        <f>'Determination cell counts BH'!S7</f>
        <v>1.3921331116995518E-2</v>
      </c>
      <c r="O8" s="31">
        <f t="shared" si="2"/>
        <v>932787197.16707063</v>
      </c>
      <c r="P8" s="124">
        <f t="shared" si="3"/>
        <v>8.9697825766110668</v>
      </c>
      <c r="Q8" s="124">
        <f t="shared" si="4"/>
        <v>0.12116210398904737</v>
      </c>
    </row>
    <row r="9" spans="1:17">
      <c r="A9" s="40">
        <v>4</v>
      </c>
      <c r="B9" s="32">
        <v>80</v>
      </c>
      <c r="C9" s="32">
        <f t="shared" ref="C9:C19" si="5">C8+B9</f>
        <v>360</v>
      </c>
      <c r="D9" s="13">
        <f t="shared" si="0"/>
        <v>6</v>
      </c>
      <c r="E9" s="105">
        <f>'Determination cell counts RI'!R8</f>
        <v>9.0679540217598351</v>
      </c>
      <c r="F9" s="105">
        <f>'Determination cell counts RI'!S8</f>
        <v>7.2701748071271333E-2</v>
      </c>
      <c r="H9" s="40">
        <v>4</v>
      </c>
      <c r="I9" s="32">
        <v>80</v>
      </c>
      <c r="J9" s="32">
        <f t="shared" ref="J9:J19" si="6">J8+I9</f>
        <v>360</v>
      </c>
      <c r="K9" s="13">
        <f t="shared" si="1"/>
        <v>6</v>
      </c>
      <c r="L9" s="105">
        <f>'Determination cell counts BH'!R8</f>
        <v>8.8393654952355334</v>
      </c>
      <c r="M9" s="105">
        <f>'Determination cell counts BH'!S8</f>
        <v>6.3168285068565186E-2</v>
      </c>
      <c r="O9" s="31">
        <f t="shared" si="2"/>
        <v>2069574013.1319358</v>
      </c>
      <c r="P9" s="124">
        <f t="shared" si="3"/>
        <v>9.3158809624690893</v>
      </c>
      <c r="Q9" s="124">
        <f t="shared" si="4"/>
        <v>0.2558518282258081</v>
      </c>
    </row>
    <row r="10" spans="1:17">
      <c r="A10" s="40">
        <v>5</v>
      </c>
      <c r="B10" s="32">
        <v>80</v>
      </c>
      <c r="C10" s="32">
        <f t="shared" si="5"/>
        <v>440</v>
      </c>
      <c r="D10" s="13">
        <f t="shared" si="0"/>
        <v>7.333333333333333</v>
      </c>
      <c r="E10" s="105">
        <f>'Determination cell counts RI'!R9</f>
        <v>9.3511736849999352</v>
      </c>
      <c r="F10" s="105">
        <f>'Determination cell counts RI'!S9</f>
        <v>7.3263264236108946E-2</v>
      </c>
      <c r="H10" s="40">
        <v>5</v>
      </c>
      <c r="I10" s="32">
        <v>80</v>
      </c>
      <c r="J10" s="32">
        <f t="shared" si="6"/>
        <v>440</v>
      </c>
      <c r="K10" s="13">
        <f t="shared" si="1"/>
        <v>7.333333333333333</v>
      </c>
      <c r="L10" s="105">
        <f>'Determination cell counts BH'!R9</f>
        <v>9.0405650164738098</v>
      </c>
      <c r="M10" s="105">
        <f>'Determination cell counts BH'!S9</f>
        <v>2.1156768936372267E-2</v>
      </c>
      <c r="O10" s="31">
        <f t="shared" si="2"/>
        <v>3851605450.7741709</v>
      </c>
      <c r="P10" s="124">
        <f t="shared" si="3"/>
        <v>9.585641792645724</v>
      </c>
      <c r="Q10" s="124">
        <f t="shared" si="4"/>
        <v>0.14682570271235151</v>
      </c>
    </row>
    <row r="11" spans="1:17">
      <c r="A11" s="40">
        <v>6</v>
      </c>
      <c r="B11" s="32">
        <v>80</v>
      </c>
      <c r="C11" s="32">
        <f t="shared" si="5"/>
        <v>520</v>
      </c>
      <c r="D11" s="13">
        <f t="shared" si="0"/>
        <v>8.6666666666666661</v>
      </c>
      <c r="E11" s="105">
        <f>'Determination cell counts RI'!R10</f>
        <v>9.5090776910843697</v>
      </c>
      <c r="F11" s="105">
        <f>'Determination cell counts RI'!S10</f>
        <v>4.9775051106251772E-2</v>
      </c>
      <c r="H11" s="40">
        <v>6</v>
      </c>
      <c r="I11" s="32">
        <v>80</v>
      </c>
      <c r="J11" s="32">
        <f t="shared" si="6"/>
        <v>520</v>
      </c>
      <c r="K11" s="13">
        <f t="shared" si="1"/>
        <v>8.6666666666666661</v>
      </c>
      <c r="L11" s="105">
        <f>'Determination cell counts BH'!R10</f>
        <v>9.2302260731679837</v>
      </c>
      <c r="M11" s="105">
        <f>'Determination cell counts BH'!S10</f>
        <v>3.4073157515874419E-2</v>
      </c>
      <c r="O11" s="31">
        <f t="shared" si="2"/>
        <v>5644609105.9341736</v>
      </c>
      <c r="P11" s="124">
        <f t="shared" si="3"/>
        <v>9.7516338720335671</v>
      </c>
      <c r="Q11" s="124">
        <f t="shared" si="4"/>
        <v>0.18671704441323345</v>
      </c>
    </row>
    <row r="12" spans="1:17">
      <c r="A12" s="40">
        <v>7</v>
      </c>
      <c r="B12" s="32">
        <v>80</v>
      </c>
      <c r="C12" s="32">
        <f t="shared" si="5"/>
        <v>600</v>
      </c>
      <c r="D12" s="13">
        <f t="shared" si="0"/>
        <v>10</v>
      </c>
      <c r="E12" s="105">
        <f>'Determination cell counts RI'!R11</f>
        <v>9.6806517504896838</v>
      </c>
      <c r="F12" s="105">
        <f>'Determination cell counts RI'!S11</f>
        <v>1.6730650137205708E-2</v>
      </c>
      <c r="H12" s="40">
        <v>7</v>
      </c>
      <c r="I12" s="32">
        <v>80</v>
      </c>
      <c r="J12" s="32">
        <f t="shared" si="6"/>
        <v>600</v>
      </c>
      <c r="K12" s="13">
        <f t="shared" si="1"/>
        <v>10</v>
      </c>
      <c r="L12" s="105">
        <f>'Determination cell counts BH'!R11</f>
        <v>9.3548925567775818</v>
      </c>
      <c r="M12" s="105">
        <f>'Determination cell counts BH'!S11</f>
        <v>7.4980408178321509E-2</v>
      </c>
      <c r="O12" s="31">
        <f t="shared" si="2"/>
        <v>8005656977.5057735</v>
      </c>
      <c r="P12" s="124">
        <f t="shared" si="3"/>
        <v>9.9033969777291269</v>
      </c>
      <c r="Q12" s="124">
        <f t="shared" si="4"/>
        <v>9.7381121527507719E-2</v>
      </c>
    </row>
    <row r="13" spans="1:17">
      <c r="A13" s="40">
        <v>8</v>
      </c>
      <c r="B13" s="32">
        <v>80</v>
      </c>
      <c r="C13" s="32">
        <f t="shared" si="5"/>
        <v>680</v>
      </c>
      <c r="D13" s="13">
        <f t="shared" si="0"/>
        <v>11.333333333333334</v>
      </c>
      <c r="E13" s="105">
        <f>'Determination cell counts RI'!R12</f>
        <v>9.7002053133195254</v>
      </c>
      <c r="F13" s="105">
        <f>'Determination cell counts RI'!S12</f>
        <v>2.743247749798303E-2</v>
      </c>
      <c r="H13" s="40">
        <v>8</v>
      </c>
      <c r="I13" s="32">
        <v>80</v>
      </c>
      <c r="J13" s="32">
        <f t="shared" si="6"/>
        <v>680</v>
      </c>
      <c r="K13" s="13">
        <f t="shared" si="1"/>
        <v>11.333333333333334</v>
      </c>
      <c r="L13" s="105">
        <f>'Determination cell counts BH'!R12</f>
        <v>9.5997439165521303</v>
      </c>
      <c r="M13" s="105">
        <f>'Determination cell counts BH'!S12</f>
        <v>0.12602642816716042</v>
      </c>
      <c r="O13" s="31">
        <f t="shared" si="2"/>
        <v>9998873290.8804874</v>
      </c>
      <c r="P13" s="124">
        <f t="shared" si="3"/>
        <v>9.9999510648878349</v>
      </c>
      <c r="Q13" s="124">
        <f t="shared" si="4"/>
        <v>0.19994528432021491</v>
      </c>
    </row>
    <row r="14" spans="1:17">
      <c r="A14" s="40">
        <v>9</v>
      </c>
      <c r="B14" s="32">
        <v>80</v>
      </c>
      <c r="C14" s="32">
        <f t="shared" si="5"/>
        <v>760</v>
      </c>
      <c r="D14" s="13">
        <f t="shared" si="0"/>
        <v>12.666666666666666</v>
      </c>
      <c r="E14" s="105">
        <f>'Determination cell counts RI'!R13</f>
        <v>9.6860149212135891</v>
      </c>
      <c r="F14" s="105">
        <f>'Determination cell counts RI'!S13</f>
        <v>4.6215968544870881E-2</v>
      </c>
      <c r="H14" s="40">
        <v>9</v>
      </c>
      <c r="I14" s="32">
        <v>80</v>
      </c>
      <c r="J14" s="32">
        <f t="shared" si="6"/>
        <v>760</v>
      </c>
      <c r="K14" s="13">
        <f t="shared" si="1"/>
        <v>12.666666666666666</v>
      </c>
      <c r="L14" s="105">
        <f>'Determination cell counts BH'!R13</f>
        <v>9.6779772696564574</v>
      </c>
      <c r="M14" s="105">
        <f>'Determination cell counts BH'!S13</f>
        <v>6.132724369443808E-2</v>
      </c>
      <c r="O14" s="31">
        <f t="shared" si="2"/>
        <v>10751062610.447828</v>
      </c>
      <c r="P14" s="124">
        <f t="shared" si="3"/>
        <v>10.031451391046698</v>
      </c>
      <c r="Q14" s="124">
        <f t="shared" si="4"/>
        <v>0.13707443577899403</v>
      </c>
    </row>
    <row r="15" spans="1:17">
      <c r="A15" s="40">
        <v>10</v>
      </c>
      <c r="B15" s="32">
        <v>80</v>
      </c>
      <c r="C15" s="32">
        <f t="shared" si="5"/>
        <v>840</v>
      </c>
      <c r="D15" s="13">
        <f t="shared" si="0"/>
        <v>14</v>
      </c>
      <c r="E15" s="105">
        <f>'Determination cell counts RI'!R14</f>
        <v>9.6922874004889437</v>
      </c>
      <c r="F15" s="105">
        <f>'Determination cell counts RI'!S14</f>
        <v>2.9767342963976168E-2</v>
      </c>
      <c r="H15" s="40">
        <v>10</v>
      </c>
      <c r="I15" s="32">
        <v>80</v>
      </c>
      <c r="J15" s="32">
        <f t="shared" si="6"/>
        <v>840</v>
      </c>
      <c r="K15" s="13">
        <f t="shared" si="1"/>
        <v>14</v>
      </c>
      <c r="L15" s="105">
        <f>'Determination cell counts BH'!R14</f>
        <v>9.7527808384977668</v>
      </c>
      <c r="M15" s="105">
        <f>'Determination cell counts BH'!S14</f>
        <v>5.7827490469076183E-2</v>
      </c>
      <c r="O15" s="31">
        <f t="shared" si="2"/>
        <v>11591099210.991623</v>
      </c>
      <c r="P15" s="124">
        <f t="shared" si="3"/>
        <v>10.064124623075918</v>
      </c>
      <c r="Q15" s="124">
        <f t="shared" si="4"/>
        <v>0.12703631098722593</v>
      </c>
    </row>
    <row r="16" spans="1:17">
      <c r="A16" s="40">
        <v>11</v>
      </c>
      <c r="B16" s="32">
        <v>80</v>
      </c>
      <c r="C16" s="32">
        <f t="shared" si="5"/>
        <v>920</v>
      </c>
      <c r="D16" s="13">
        <f t="shared" si="0"/>
        <v>15.333333333333334</v>
      </c>
      <c r="E16" s="105">
        <f>'Determination cell counts RI'!R15</f>
        <v>9.6255448457934722</v>
      </c>
      <c r="F16" s="105">
        <f>'Determination cell counts RI'!S15</f>
        <v>5.0984154124113959E-2</v>
      </c>
      <c r="H16" s="40">
        <v>11</v>
      </c>
      <c r="I16" s="32">
        <v>80</v>
      </c>
      <c r="J16" s="32">
        <f t="shared" si="6"/>
        <v>920</v>
      </c>
      <c r="K16" s="13">
        <f t="shared" si="1"/>
        <v>15.333333333333334</v>
      </c>
      <c r="L16" s="105">
        <f>'Determination cell counts BH'!R15</f>
        <v>9.732955519109117</v>
      </c>
      <c r="M16" s="105">
        <f>'Determination cell counts BH'!S15</f>
        <v>3.8513178562116973E-2</v>
      </c>
      <c r="O16" s="31">
        <f t="shared" si="2"/>
        <v>10677026100.29722</v>
      </c>
      <c r="P16" s="124">
        <f t="shared" si="3"/>
        <v>10.028450304370152</v>
      </c>
      <c r="Q16" s="124">
        <f t="shared" si="4"/>
        <v>0.13378385447820226</v>
      </c>
    </row>
    <row r="17" spans="1:17">
      <c r="A17" s="40">
        <v>12</v>
      </c>
      <c r="B17" s="32">
        <v>80</v>
      </c>
      <c r="C17" s="32">
        <f t="shared" si="5"/>
        <v>1000</v>
      </c>
      <c r="D17" s="13">
        <f t="shared" si="0"/>
        <v>16.666666666666668</v>
      </c>
      <c r="E17" s="105">
        <f>'Determination cell counts RI'!R16</f>
        <v>9.6299520653418078</v>
      </c>
      <c r="F17" s="105">
        <f>'Determination cell counts RI'!S16</f>
        <v>3.0398375328073678E-2</v>
      </c>
      <c r="H17" s="40">
        <v>12</v>
      </c>
      <c r="I17" s="32">
        <v>80</v>
      </c>
      <c r="J17" s="32">
        <f t="shared" si="6"/>
        <v>1000</v>
      </c>
      <c r="K17" s="13">
        <f t="shared" si="1"/>
        <v>16.666666666666668</v>
      </c>
      <c r="L17" s="105">
        <f>'Determination cell counts BH'!R16</f>
        <v>9.8036597194906001</v>
      </c>
      <c r="M17" s="105">
        <f>'Determination cell counts BH'!S16</f>
        <v>7.0253448210579786E-2</v>
      </c>
      <c r="O17" s="31">
        <f t="shared" si="2"/>
        <v>11685243075.272306</v>
      </c>
      <c r="P17" s="124">
        <f t="shared" si="3"/>
        <v>10.067637750973129</v>
      </c>
      <c r="Q17" s="124">
        <f t="shared" si="4"/>
        <v>0.12872485128405742</v>
      </c>
    </row>
    <row r="18" spans="1:17">
      <c r="A18" s="40">
        <v>13</v>
      </c>
      <c r="B18" s="32">
        <v>80</v>
      </c>
      <c r="C18" s="32">
        <f t="shared" si="5"/>
        <v>1080</v>
      </c>
      <c r="D18" s="13">
        <f t="shared" si="0"/>
        <v>18</v>
      </c>
      <c r="E18" s="105">
        <f>'Determination cell counts RI'!R17</f>
        <v>9.6022922220180984</v>
      </c>
      <c r="F18" s="105">
        <f>'Determination cell counts RI'!S17</f>
        <v>4.8921741060849254E-2</v>
      </c>
      <c r="H18" s="40">
        <v>13</v>
      </c>
      <c r="I18" s="32">
        <v>80</v>
      </c>
      <c r="J18" s="32">
        <f t="shared" si="6"/>
        <v>1080</v>
      </c>
      <c r="K18" s="13">
        <f t="shared" si="1"/>
        <v>18</v>
      </c>
      <c r="L18" s="105">
        <f>'Determination cell counts BH'!R17</f>
        <v>9.8297164932040584</v>
      </c>
      <c r="M18" s="105">
        <f>'Determination cell counts BH'!S17</f>
        <v>0.17782712372712065</v>
      </c>
      <c r="O18" s="31">
        <f t="shared" si="2"/>
        <v>11912467099.455894</v>
      </c>
      <c r="P18" s="124">
        <f t="shared" si="3"/>
        <v>10.076001714188294</v>
      </c>
      <c r="Q18" s="124">
        <f t="shared" si="4"/>
        <v>0.25274017867550963</v>
      </c>
    </row>
    <row r="19" spans="1:17">
      <c r="A19" s="40">
        <v>14</v>
      </c>
      <c r="B19" s="32">
        <v>360</v>
      </c>
      <c r="C19" s="32">
        <f t="shared" si="5"/>
        <v>1440</v>
      </c>
      <c r="D19" s="13">
        <f t="shared" si="0"/>
        <v>24</v>
      </c>
      <c r="E19" s="105">
        <f>'Determination cell counts RI'!R18</f>
        <v>9.7425616498974339</v>
      </c>
      <c r="F19" s="105">
        <f>'Determination cell counts RI'!S18</f>
        <v>4.1564114298110744E-2</v>
      </c>
      <c r="H19" s="40">
        <v>14</v>
      </c>
      <c r="I19" s="32">
        <v>360</v>
      </c>
      <c r="J19" s="32">
        <f t="shared" si="6"/>
        <v>1440</v>
      </c>
      <c r="K19" s="13">
        <f t="shared" si="1"/>
        <v>24</v>
      </c>
      <c r="L19" s="105">
        <f>'Determination cell counts BH'!R18</f>
        <v>9.6107399359904253</v>
      </c>
      <c r="M19" s="105">
        <f>'Determination cell counts BH'!S18</f>
        <v>4.9624670130498073E-2</v>
      </c>
      <c r="O19" s="31">
        <f t="shared" si="2"/>
        <v>10417250645.375751</v>
      </c>
      <c r="P19" s="124">
        <f t="shared" si="3"/>
        <v>10.017753113676143</v>
      </c>
      <c r="Q19" s="124">
        <f t="shared" si="4"/>
        <v>0.14156764463709365</v>
      </c>
    </row>
    <row r="20" spans="1:17">
      <c r="A20" s="40">
        <v>15</v>
      </c>
      <c r="B20" s="32">
        <v>360</v>
      </c>
      <c r="C20" s="32">
        <f>C19+B20</f>
        <v>1800</v>
      </c>
      <c r="D20" s="13">
        <f t="shared" si="0"/>
        <v>30</v>
      </c>
      <c r="E20" s="105">
        <f>'Determination cell counts RI'!R19</f>
        <v>9.4581978324035578</v>
      </c>
      <c r="F20" s="105">
        <f>'Determination cell counts RI'!S19</f>
        <v>7.3098528147946637E-2</v>
      </c>
      <c r="H20" s="40">
        <v>15</v>
      </c>
      <c r="I20" s="32">
        <v>360</v>
      </c>
      <c r="J20" s="32">
        <f>J19+I20</f>
        <v>1800</v>
      </c>
      <c r="K20" s="13">
        <f t="shared" si="1"/>
        <v>30</v>
      </c>
      <c r="L20" s="105">
        <f>'Determination cell counts BH'!R19</f>
        <v>9.2133851614844318</v>
      </c>
      <c r="M20" s="105">
        <f>'Determination cell counts BH'!S19</f>
        <v>9.4336155326190496E-2</v>
      </c>
      <c r="O20" s="31">
        <f t="shared" si="2"/>
        <v>4993338978.1488438</v>
      </c>
      <c r="P20" s="124">
        <f t="shared" si="3"/>
        <v>9.6983910496005628</v>
      </c>
      <c r="Q20" s="124">
        <f t="shared" si="4"/>
        <v>0.19338443591512636</v>
      </c>
    </row>
    <row r="21" spans="1:17">
      <c r="A21" s="40">
        <v>16</v>
      </c>
      <c r="B21" s="32">
        <v>1080</v>
      </c>
      <c r="C21" s="32">
        <f>C20+B21</f>
        <v>2880</v>
      </c>
      <c r="D21" s="13">
        <f t="shared" si="0"/>
        <v>48</v>
      </c>
      <c r="E21" s="105">
        <f>'Determination cell counts RI'!R20</f>
        <v>9.0930591856786123</v>
      </c>
      <c r="F21" s="105">
        <f>'Determination cell counts RI'!S20</f>
        <v>0.20252238012149745</v>
      </c>
      <c r="H21" s="40">
        <v>16</v>
      </c>
      <c r="I21" s="32">
        <v>1080</v>
      </c>
      <c r="J21" s="32">
        <f>J20+I21</f>
        <v>2880</v>
      </c>
      <c r="K21" s="13">
        <f t="shared" si="1"/>
        <v>48</v>
      </c>
      <c r="L21" s="105">
        <f>'Determination cell counts BH'!R20</f>
        <v>9.0998224296665668</v>
      </c>
      <c r="M21" s="105">
        <f>'Determination cell counts BH'!S20</f>
        <v>0.20501346147126001</v>
      </c>
      <c r="O21" s="31">
        <f>POWER(10,E21)+POWER(10,L21)+POWER(10,E42)</f>
        <v>2705182138.3703394</v>
      </c>
      <c r="P21" s="124">
        <f t="shared" si="3"/>
        <v>9.4321965112267598</v>
      </c>
      <c r="Q21" s="124">
        <f t="shared" si="4"/>
        <v>0.53066004258755839</v>
      </c>
    </row>
    <row r="23" spans="1:17">
      <c r="A23" s="103" t="s">
        <v>279</v>
      </c>
      <c r="B23" s="85"/>
      <c r="C23" s="85"/>
      <c r="D23" s="85"/>
    </row>
    <row r="24" spans="1:17">
      <c r="A24" s="132" t="s">
        <v>4</v>
      </c>
      <c r="B24" s="132" t="s">
        <v>117</v>
      </c>
      <c r="C24" s="132" t="s">
        <v>117</v>
      </c>
      <c r="D24" s="132" t="s">
        <v>5</v>
      </c>
      <c r="E24" s="149" t="s">
        <v>234</v>
      </c>
      <c r="F24" s="146" t="s">
        <v>235</v>
      </c>
    </row>
    <row r="25" spans="1:17">
      <c r="A25" s="133"/>
      <c r="B25" s="133"/>
      <c r="C25" s="133"/>
      <c r="D25" s="133"/>
      <c r="E25" s="153"/>
      <c r="F25" s="154"/>
    </row>
    <row r="26" spans="1:17">
      <c r="A26" s="40">
        <v>0</v>
      </c>
      <c r="B26" s="32">
        <v>10</v>
      </c>
      <c r="C26" s="32">
        <f>B26</f>
        <v>10</v>
      </c>
      <c r="D26" s="13">
        <f t="shared" ref="D26:D42" si="7">C26/60</f>
        <v>0.16666666666666666</v>
      </c>
      <c r="E26" s="105">
        <f>'Determination cell counts FP'!R4</f>
        <v>7.0286747049268179</v>
      </c>
      <c r="F26" s="105">
        <f>'Determination cell counts FP'!S4</f>
        <v>4.7089432705861523E-2</v>
      </c>
    </row>
    <row r="27" spans="1:17">
      <c r="A27" s="40">
        <v>1</v>
      </c>
      <c r="B27" s="32">
        <v>110</v>
      </c>
      <c r="C27" s="32">
        <f>C26+B27</f>
        <v>120</v>
      </c>
      <c r="D27" s="13">
        <f t="shared" si="7"/>
        <v>2</v>
      </c>
      <c r="E27" s="105">
        <f>'Determination cell counts FP'!R5</f>
        <v>7.2507218285512707</v>
      </c>
      <c r="F27" s="105">
        <f>'Determination cell counts FP'!S5</f>
        <v>5.4791051527664107E-2</v>
      </c>
    </row>
    <row r="28" spans="1:17">
      <c r="A28" s="40">
        <v>2</v>
      </c>
      <c r="B28" s="32">
        <v>80</v>
      </c>
      <c r="C28" s="32">
        <f>C27+B28</f>
        <v>200</v>
      </c>
      <c r="D28" s="13">
        <f t="shared" si="7"/>
        <v>3.3333333333333335</v>
      </c>
      <c r="E28" s="105">
        <f>'Determination cell counts FP'!R6</f>
        <v>7.7445493580325433</v>
      </c>
      <c r="F28" s="105">
        <f>'Determination cell counts FP'!S6</f>
        <v>7.8451195640621793E-2</v>
      </c>
    </row>
    <row r="29" spans="1:17">
      <c r="A29" s="40">
        <v>3</v>
      </c>
      <c r="B29" s="32">
        <v>80</v>
      </c>
      <c r="C29" s="32">
        <f>C28+B29</f>
        <v>280</v>
      </c>
      <c r="D29" s="13">
        <f t="shared" si="7"/>
        <v>4.666666666666667</v>
      </c>
      <c r="E29" s="105">
        <f>'Determination cell counts FP'!R7</f>
        <v>8.2266090056688661</v>
      </c>
      <c r="F29" s="105">
        <f>'Determination cell counts FP'!S7</f>
        <v>3.3013462874679059E-2</v>
      </c>
    </row>
    <row r="30" spans="1:17">
      <c r="A30" s="40">
        <v>4</v>
      </c>
      <c r="B30" s="32">
        <v>80</v>
      </c>
      <c r="C30" s="32">
        <f t="shared" ref="C30:C40" si="8">C29+B30</f>
        <v>360</v>
      </c>
      <c r="D30" s="13">
        <f t="shared" si="7"/>
        <v>6</v>
      </c>
      <c r="E30" s="105">
        <f>'Determination cell counts FP'!R8</f>
        <v>8.3209299809790931</v>
      </c>
      <c r="F30" s="105">
        <f>'Determination cell counts FP'!S8</f>
        <v>0.11998179508597154</v>
      </c>
    </row>
    <row r="31" spans="1:17">
      <c r="A31" s="40">
        <v>5</v>
      </c>
      <c r="B31" s="32">
        <v>80</v>
      </c>
      <c r="C31" s="32">
        <f t="shared" si="8"/>
        <v>440</v>
      </c>
      <c r="D31" s="13">
        <f t="shared" si="7"/>
        <v>7.333333333333333</v>
      </c>
      <c r="E31" s="105">
        <f>'Determination cell counts FP'!R9</f>
        <v>8.7066497943095449</v>
      </c>
      <c r="F31" s="105">
        <f>'Determination cell counts FP'!S9</f>
        <v>5.2405669539870317E-2</v>
      </c>
    </row>
    <row r="32" spans="1:17">
      <c r="A32" s="40">
        <v>6</v>
      </c>
      <c r="B32" s="32">
        <v>80</v>
      </c>
      <c r="C32" s="32">
        <f t="shared" si="8"/>
        <v>520</v>
      </c>
      <c r="D32" s="13">
        <f t="shared" si="7"/>
        <v>8.6666666666666661</v>
      </c>
      <c r="E32" s="105">
        <f>'Determination cell counts FP'!R10</f>
        <v>8.8551613230234327</v>
      </c>
      <c r="F32" s="105">
        <f>'Determination cell counts FP'!S10</f>
        <v>0.10286883579110725</v>
      </c>
    </row>
    <row r="33" spans="1:6">
      <c r="A33" s="40">
        <v>7</v>
      </c>
      <c r="B33" s="32">
        <v>80</v>
      </c>
      <c r="C33" s="32">
        <f t="shared" si="8"/>
        <v>600</v>
      </c>
      <c r="D33" s="13">
        <f t="shared" si="7"/>
        <v>10</v>
      </c>
      <c r="E33" s="105">
        <f>'Determination cell counts FP'!R11</f>
        <v>8.9768466787675525</v>
      </c>
      <c r="F33" s="105">
        <f>'Determination cell counts FP'!S11</f>
        <v>5.6700632119805082E-3</v>
      </c>
    </row>
    <row r="34" spans="1:6">
      <c r="A34" s="40">
        <v>8</v>
      </c>
      <c r="B34" s="32">
        <v>80</v>
      </c>
      <c r="C34" s="32">
        <f t="shared" si="8"/>
        <v>680</v>
      </c>
      <c r="D34" s="13">
        <f t="shared" si="7"/>
        <v>11.333333333333334</v>
      </c>
      <c r="E34" s="105">
        <f>'Determination cell counts FP'!R12</f>
        <v>9.0025574339981009</v>
      </c>
      <c r="F34" s="105">
        <f>'Determination cell counts FP'!S12</f>
        <v>4.6486378655071464E-2</v>
      </c>
    </row>
    <row r="35" spans="1:6">
      <c r="A35" s="40">
        <v>9</v>
      </c>
      <c r="B35" s="32">
        <v>80</v>
      </c>
      <c r="C35" s="32">
        <f t="shared" si="8"/>
        <v>760</v>
      </c>
      <c r="D35" s="13">
        <f t="shared" si="7"/>
        <v>12.666666666666666</v>
      </c>
      <c r="E35" s="105">
        <f>'Determination cell counts FP'!R13</f>
        <v>9.0545940417384525</v>
      </c>
      <c r="F35" s="105">
        <f>'Determination cell counts FP'!S13</f>
        <v>2.953122353968508E-2</v>
      </c>
    </row>
    <row r="36" spans="1:6">
      <c r="A36" s="40">
        <v>10</v>
      </c>
      <c r="B36" s="32">
        <v>80</v>
      </c>
      <c r="C36" s="32">
        <f t="shared" si="8"/>
        <v>840</v>
      </c>
      <c r="D36" s="13">
        <f t="shared" si="7"/>
        <v>14</v>
      </c>
      <c r="E36" s="105">
        <f>'Determination cell counts FP'!R14</f>
        <v>9.0034219622217648</v>
      </c>
      <c r="F36" s="105">
        <f>'Determination cell counts FP'!S14</f>
        <v>3.9441477554173571E-2</v>
      </c>
    </row>
    <row r="37" spans="1:6">
      <c r="A37" s="40">
        <v>11</v>
      </c>
      <c r="B37" s="32">
        <v>80</v>
      </c>
      <c r="C37" s="32">
        <f t="shared" si="8"/>
        <v>920</v>
      </c>
      <c r="D37" s="13">
        <f t="shared" si="7"/>
        <v>15.333333333333334</v>
      </c>
      <c r="E37" s="105">
        <f>'Determination cell counts FP'!R15</f>
        <v>9.0202692442864461</v>
      </c>
      <c r="F37" s="105">
        <f>'Determination cell counts FP'!S15</f>
        <v>4.4286521791971331E-2</v>
      </c>
    </row>
    <row r="38" spans="1:6">
      <c r="A38" s="40">
        <v>12</v>
      </c>
      <c r="B38" s="32">
        <v>80</v>
      </c>
      <c r="C38" s="32">
        <f t="shared" si="8"/>
        <v>1000</v>
      </c>
      <c r="D38" s="13">
        <f t="shared" si="7"/>
        <v>16.666666666666668</v>
      </c>
      <c r="E38" s="105">
        <f>'Determination cell counts FP'!R16</f>
        <v>9.0240548459037448</v>
      </c>
      <c r="F38" s="105">
        <f>'Determination cell counts FP'!S16</f>
        <v>2.8073027745403968E-2</v>
      </c>
    </row>
    <row r="39" spans="1:6">
      <c r="A39" s="40">
        <v>13</v>
      </c>
      <c r="B39" s="32">
        <v>80</v>
      </c>
      <c r="C39" s="32">
        <f t="shared" si="8"/>
        <v>1080</v>
      </c>
      <c r="D39" s="13">
        <f t="shared" si="7"/>
        <v>18</v>
      </c>
      <c r="E39" s="105">
        <f>'Determination cell counts FP'!R17</f>
        <v>9.0621718878517274</v>
      </c>
      <c r="F39" s="105">
        <f>'Determination cell counts FP'!S17</f>
        <v>2.5991313887539738E-2</v>
      </c>
    </row>
    <row r="40" spans="1:6">
      <c r="A40" s="40">
        <v>14</v>
      </c>
      <c r="B40" s="32">
        <v>360</v>
      </c>
      <c r="C40" s="32">
        <f t="shared" si="8"/>
        <v>1440</v>
      </c>
      <c r="D40" s="13">
        <f t="shared" si="7"/>
        <v>24</v>
      </c>
      <c r="E40" s="105">
        <f>'Determination cell counts FP'!R18</f>
        <v>8.9077242902609601</v>
      </c>
      <c r="F40" s="105">
        <f>'Determination cell counts FP'!S18</f>
        <v>5.0378860208484831E-2</v>
      </c>
    </row>
    <row r="41" spans="1:6">
      <c r="A41" s="40">
        <v>15</v>
      </c>
      <c r="B41" s="32">
        <v>360</v>
      </c>
      <c r="C41" s="32">
        <f>C40+B41</f>
        <v>1800</v>
      </c>
      <c r="D41" s="13">
        <f t="shared" si="7"/>
        <v>30</v>
      </c>
      <c r="E41" s="105">
        <f>'Determination cell counts FP'!R19</f>
        <v>8.6873055077004295</v>
      </c>
      <c r="F41" s="105">
        <f>'Determination cell counts FP'!S19</f>
        <v>2.5949752440989203E-2</v>
      </c>
    </row>
    <row r="42" spans="1:6">
      <c r="A42" s="40">
        <v>16</v>
      </c>
      <c r="B42" s="32">
        <v>1080</v>
      </c>
      <c r="C42" s="32">
        <f>C41+B42</f>
        <v>2880</v>
      </c>
      <c r="D42" s="13">
        <f t="shared" si="7"/>
        <v>48</v>
      </c>
      <c r="E42" s="105">
        <f>'Determination cell counts FP'!R20</f>
        <v>8.3176579530281138</v>
      </c>
      <c r="F42" s="105">
        <f>'Determination cell counts FP'!S20</f>
        <v>0.12312420099480093</v>
      </c>
    </row>
  </sheetData>
  <mergeCells count="21">
    <mergeCell ref="B3:B4"/>
    <mergeCell ref="C3:C4"/>
    <mergeCell ref="D3:D4"/>
    <mergeCell ref="E3:E4"/>
    <mergeCell ref="F3:F4"/>
    <mergeCell ref="O3:O4"/>
    <mergeCell ref="P3:P4"/>
    <mergeCell ref="Q3:Q4"/>
    <mergeCell ref="A24:A25"/>
    <mergeCell ref="B24:B25"/>
    <mergeCell ref="C24:C25"/>
    <mergeCell ref="D24:D25"/>
    <mergeCell ref="E24:E25"/>
    <mergeCell ref="F24:F25"/>
    <mergeCell ref="H3:H4"/>
    <mergeCell ref="I3:I4"/>
    <mergeCell ref="J3:J4"/>
    <mergeCell ref="K3:K4"/>
    <mergeCell ref="L3:L4"/>
    <mergeCell ref="M3:M4"/>
    <mergeCell ref="A3:A4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H22" sqref="H22"/>
    </sheetView>
  </sheetViews>
  <sheetFormatPr baseColWidth="10" defaultColWidth="8.83203125" defaultRowHeight="14" x14ac:dyDescent="0"/>
  <cols>
    <col min="1" max="16384" width="8.83203125" style="2"/>
  </cols>
  <sheetData>
    <row r="1" spans="1:10">
      <c r="A1" s="132" t="s">
        <v>4</v>
      </c>
      <c r="B1" s="132" t="s">
        <v>117</v>
      </c>
      <c r="C1" s="132" t="s">
        <v>117</v>
      </c>
      <c r="D1" s="132" t="s">
        <v>5</v>
      </c>
      <c r="E1" s="132" t="s">
        <v>19</v>
      </c>
      <c r="F1" s="132" t="s">
        <v>24</v>
      </c>
      <c r="G1" s="131" t="s">
        <v>25</v>
      </c>
      <c r="H1" s="128" t="s">
        <v>26</v>
      </c>
      <c r="I1" s="4" t="s">
        <v>27</v>
      </c>
      <c r="J1" s="53" t="s">
        <v>27</v>
      </c>
    </row>
    <row r="2" spans="1:10">
      <c r="A2" s="133"/>
      <c r="B2" s="133"/>
      <c r="C2" s="133"/>
      <c r="D2" s="133"/>
      <c r="E2" s="133"/>
      <c r="F2" s="133"/>
      <c r="G2" s="131"/>
      <c r="H2" s="128"/>
      <c r="I2" s="5" t="s">
        <v>28</v>
      </c>
      <c r="J2" s="54" t="s">
        <v>23</v>
      </c>
    </row>
    <row r="3" spans="1:10">
      <c r="A3" s="63" t="s">
        <v>6</v>
      </c>
      <c r="B3" s="32">
        <v>-10</v>
      </c>
      <c r="C3" s="32">
        <f>B3</f>
        <v>-10</v>
      </c>
      <c r="D3" s="13">
        <f>C3/60</f>
        <v>-0.16666666666666666</v>
      </c>
      <c r="E3" s="40">
        <v>1</v>
      </c>
      <c r="F3" s="50">
        <v>8.8999999999999996E-2</v>
      </c>
      <c r="G3" s="50">
        <v>8.8999999999999996E-2</v>
      </c>
      <c r="H3" s="50">
        <v>8.8999999999999996E-2</v>
      </c>
      <c r="I3" s="51">
        <f>E3*(AVERAGE(F3:H3)*1.6007-0.0118)</f>
        <v>0.13066230000000001</v>
      </c>
      <c r="J3" s="51">
        <f>E3*(STDEV(F3:H3)*1.6007)</f>
        <v>2.7206696834821082E-17</v>
      </c>
    </row>
    <row r="4" spans="1:10">
      <c r="A4" s="65">
        <v>0</v>
      </c>
      <c r="B4" s="32">
        <v>10</v>
      </c>
      <c r="C4" s="32">
        <f>B4</f>
        <v>10</v>
      </c>
      <c r="D4" s="13">
        <f t="shared" ref="D4:D20" si="0">C4/60</f>
        <v>0.16666666666666666</v>
      </c>
      <c r="E4" s="40">
        <v>1</v>
      </c>
      <c r="F4" s="50">
        <v>0.189</v>
      </c>
      <c r="G4" s="50">
        <v>0.189</v>
      </c>
      <c r="H4" s="50">
        <v>0.189</v>
      </c>
      <c r="I4" s="51">
        <f>E4*(AVERAGE(F4:H4)*1.6007-0.0118)</f>
        <v>0.2907323</v>
      </c>
      <c r="J4" s="51">
        <f t="shared" ref="J4:J9" si="1">E4*(STDEV(F4:H4)*1.6007)</f>
        <v>5.4413393669642165E-17</v>
      </c>
    </row>
    <row r="5" spans="1:10">
      <c r="A5" s="65">
        <v>1</v>
      </c>
      <c r="B5" s="32">
        <v>110</v>
      </c>
      <c r="C5" s="32">
        <f>C4+B5</f>
        <v>120</v>
      </c>
      <c r="D5" s="13">
        <f t="shared" si="0"/>
        <v>2</v>
      </c>
      <c r="E5" s="40">
        <v>1</v>
      </c>
      <c r="F5" s="50">
        <v>0.29199999999999998</v>
      </c>
      <c r="G5" s="50">
        <v>0.29199999999999998</v>
      </c>
      <c r="H5" s="50">
        <v>0.29199999999999998</v>
      </c>
      <c r="I5" s="51">
        <f t="shared" ref="I5:I9" si="2">E5*(AVERAGE(F5:H5)*1.6007-0.0118)</f>
        <v>0.45560440000000002</v>
      </c>
      <c r="J5" s="51">
        <f t="shared" si="1"/>
        <v>0</v>
      </c>
    </row>
    <row r="6" spans="1:10">
      <c r="A6" s="65">
        <v>2</v>
      </c>
      <c r="B6" s="32">
        <v>80</v>
      </c>
      <c r="C6" s="32">
        <f>C5+B6</f>
        <v>200</v>
      </c>
      <c r="D6" s="13">
        <f t="shared" si="0"/>
        <v>3.3333333333333335</v>
      </c>
      <c r="E6" s="40">
        <v>10</v>
      </c>
      <c r="F6" s="50">
        <v>0.06</v>
      </c>
      <c r="G6" s="50">
        <v>5.8000000000000003E-2</v>
      </c>
      <c r="H6" s="50">
        <v>6.7000000000000004E-2</v>
      </c>
      <c r="I6" s="51">
        <f t="shared" si="2"/>
        <v>0.86909833333333331</v>
      </c>
      <c r="J6" s="51">
        <f t="shared" si="1"/>
        <v>7.5646130729425526E-2</v>
      </c>
    </row>
    <row r="7" spans="1:10">
      <c r="A7" s="65">
        <v>3</v>
      </c>
      <c r="B7" s="32">
        <v>80</v>
      </c>
      <c r="C7" s="32">
        <f>C6+B7</f>
        <v>280</v>
      </c>
      <c r="D7" s="13">
        <f t="shared" si="0"/>
        <v>4.666666666666667</v>
      </c>
      <c r="E7" s="40">
        <v>10</v>
      </c>
      <c r="F7" s="50">
        <v>0.10299999999999999</v>
      </c>
      <c r="G7" s="50">
        <v>0.10199999999999999</v>
      </c>
      <c r="H7" s="50">
        <v>0.10299999999999999</v>
      </c>
      <c r="I7" s="51">
        <f t="shared" si="2"/>
        <v>1.5253853333333334</v>
      </c>
      <c r="J7" s="51">
        <f t="shared" si="1"/>
        <v>9.241645758918348E-3</v>
      </c>
    </row>
    <row r="8" spans="1:10">
      <c r="A8" s="65">
        <v>4</v>
      </c>
      <c r="B8" s="32">
        <v>80</v>
      </c>
      <c r="C8" s="32">
        <f t="shared" ref="C8:C18" si="3">C7+B8</f>
        <v>360</v>
      </c>
      <c r="D8" s="13">
        <f t="shared" si="0"/>
        <v>6</v>
      </c>
      <c r="E8" s="40">
        <v>10</v>
      </c>
      <c r="F8" s="50">
        <v>0.18099999999999999</v>
      </c>
      <c r="G8" s="50">
        <v>0.17899999999999999</v>
      </c>
      <c r="H8" s="50">
        <v>0.183</v>
      </c>
      <c r="I8" s="51">
        <f t="shared" si="2"/>
        <v>2.7792669999999999</v>
      </c>
      <c r="J8" s="51">
        <f t="shared" si="1"/>
        <v>3.2014000000000029E-2</v>
      </c>
    </row>
    <row r="9" spans="1:10">
      <c r="A9" s="65">
        <v>5</v>
      </c>
      <c r="B9" s="32">
        <v>80</v>
      </c>
      <c r="C9" s="32">
        <f t="shared" si="3"/>
        <v>440</v>
      </c>
      <c r="D9" s="13">
        <f t="shared" si="0"/>
        <v>7.333333333333333</v>
      </c>
      <c r="E9" s="40">
        <v>10</v>
      </c>
      <c r="F9" s="50">
        <v>0.30099999999999999</v>
      </c>
      <c r="G9" s="50">
        <v>0.30399999999999999</v>
      </c>
      <c r="H9" s="50">
        <v>0.29899999999999999</v>
      </c>
      <c r="I9" s="51">
        <f t="shared" si="2"/>
        <v>4.7054426666666664</v>
      </c>
      <c r="J9" s="51">
        <f t="shared" si="1"/>
        <v>4.0283399935126328E-2</v>
      </c>
    </row>
    <row r="10" spans="1:10">
      <c r="A10" s="65">
        <v>6</v>
      </c>
      <c r="B10" s="32">
        <v>80</v>
      </c>
      <c r="C10" s="32">
        <f t="shared" si="3"/>
        <v>520</v>
      </c>
      <c r="D10" s="13">
        <f t="shared" si="0"/>
        <v>8.6666666666666661</v>
      </c>
      <c r="E10" s="40">
        <v>20</v>
      </c>
      <c r="F10" s="50">
        <v>0.21099999999999999</v>
      </c>
      <c r="G10" s="50">
        <v>0.22500000000000001</v>
      </c>
      <c r="H10" s="50">
        <v>0.22500000000000001</v>
      </c>
      <c r="I10" s="51">
        <f t="shared" ref="I10:I20" si="4">E10*(AVERAGE(F10:H10)*1.6007-0.0118)</f>
        <v>6.8177513333333337</v>
      </c>
      <c r="J10" s="51">
        <f t="shared" ref="J10:J20" si="5">E10*(STDEV(F10:H10)*1.6007)</f>
        <v>0.25876608124971373</v>
      </c>
    </row>
    <row r="11" spans="1:10">
      <c r="A11" s="65">
        <v>7</v>
      </c>
      <c r="B11" s="32">
        <v>80</v>
      </c>
      <c r="C11" s="32">
        <f t="shared" si="3"/>
        <v>600</v>
      </c>
      <c r="D11" s="13">
        <f t="shared" si="0"/>
        <v>10</v>
      </c>
      <c r="E11" s="40">
        <v>20</v>
      </c>
      <c r="F11" s="50">
        <v>0.28499999999999998</v>
      </c>
      <c r="G11" s="50">
        <v>0.28899999999999998</v>
      </c>
      <c r="H11" s="50">
        <v>0.30199999999999999</v>
      </c>
      <c r="I11" s="51">
        <f t="shared" si="4"/>
        <v>9.112088</v>
      </c>
      <c r="J11" s="51">
        <f t="shared" si="5"/>
        <v>0.28454665607594154</v>
      </c>
    </row>
    <row r="12" spans="1:10">
      <c r="A12" s="65">
        <v>8</v>
      </c>
      <c r="B12" s="32">
        <v>80</v>
      </c>
      <c r="C12" s="32">
        <f t="shared" si="3"/>
        <v>680</v>
      </c>
      <c r="D12" s="13">
        <f t="shared" si="0"/>
        <v>11.333333333333334</v>
      </c>
      <c r="E12" s="40">
        <v>20</v>
      </c>
      <c r="F12" s="50">
        <v>0.29799999999999999</v>
      </c>
      <c r="G12" s="50">
        <v>0.31</v>
      </c>
      <c r="H12" s="50">
        <v>0.308</v>
      </c>
      <c r="I12" s="51">
        <f t="shared" si="4"/>
        <v>9.5389413333333337</v>
      </c>
      <c r="J12" s="51">
        <f t="shared" si="5"/>
        <v>0.20582122364161917</v>
      </c>
    </row>
    <row r="13" spans="1:10">
      <c r="A13" s="65">
        <v>9</v>
      </c>
      <c r="B13" s="32">
        <v>80</v>
      </c>
      <c r="C13" s="32">
        <f t="shared" si="3"/>
        <v>760</v>
      </c>
      <c r="D13" s="13">
        <f t="shared" si="0"/>
        <v>12.666666666666666</v>
      </c>
      <c r="E13" s="40">
        <v>20</v>
      </c>
      <c r="F13" s="50">
        <v>0.26500000000000001</v>
      </c>
      <c r="G13" s="50">
        <v>0.27100000000000002</v>
      </c>
      <c r="H13" s="50">
        <v>0.28499999999999998</v>
      </c>
      <c r="I13" s="51">
        <f t="shared" si="4"/>
        <v>8.5251646666666669</v>
      </c>
      <c r="J13" s="51">
        <f t="shared" si="5"/>
        <v>0.32856617696490442</v>
      </c>
    </row>
    <row r="14" spans="1:10">
      <c r="A14" s="65">
        <v>10</v>
      </c>
      <c r="B14" s="32">
        <v>80</v>
      </c>
      <c r="C14" s="32">
        <f t="shared" si="3"/>
        <v>840</v>
      </c>
      <c r="D14" s="13">
        <f t="shared" si="0"/>
        <v>14</v>
      </c>
      <c r="E14" s="40">
        <v>20</v>
      </c>
      <c r="F14" s="50">
        <v>0.27100000000000002</v>
      </c>
      <c r="G14" s="50">
        <v>0.27</v>
      </c>
      <c r="H14" s="50">
        <v>0.27100000000000002</v>
      </c>
      <c r="I14" s="51">
        <f t="shared" si="4"/>
        <v>8.4291226666666681</v>
      </c>
      <c r="J14" s="51">
        <f t="shared" si="5"/>
        <v>1.8483291517836696E-2</v>
      </c>
    </row>
    <row r="15" spans="1:10">
      <c r="A15" s="65">
        <v>11</v>
      </c>
      <c r="B15" s="32">
        <v>80</v>
      </c>
      <c r="C15" s="32">
        <f t="shared" si="3"/>
        <v>920</v>
      </c>
      <c r="D15" s="13">
        <f t="shared" si="0"/>
        <v>15.333333333333334</v>
      </c>
      <c r="E15" s="40">
        <v>20</v>
      </c>
      <c r="F15" s="50">
        <v>0.25600000000000001</v>
      </c>
      <c r="G15" s="50">
        <v>0.25800000000000001</v>
      </c>
      <c r="H15" s="50">
        <v>0.26500000000000001</v>
      </c>
      <c r="I15" s="51">
        <f t="shared" si="4"/>
        <v>8.0769686666666676</v>
      </c>
      <c r="J15" s="51">
        <f t="shared" si="5"/>
        <v>0.15129226145885113</v>
      </c>
    </row>
    <row r="16" spans="1:10">
      <c r="A16" s="65">
        <v>12</v>
      </c>
      <c r="B16" s="32">
        <v>80</v>
      </c>
      <c r="C16" s="32">
        <f t="shared" si="3"/>
        <v>1000</v>
      </c>
      <c r="D16" s="13">
        <f t="shared" si="0"/>
        <v>16.666666666666668</v>
      </c>
      <c r="E16" s="40">
        <v>20</v>
      </c>
      <c r="F16" s="50">
        <v>0.245</v>
      </c>
      <c r="G16" s="50">
        <v>0.24399999999999999</v>
      </c>
      <c r="H16" s="50">
        <v>0.245</v>
      </c>
      <c r="I16" s="51">
        <f t="shared" si="4"/>
        <v>7.596758666666668</v>
      </c>
      <c r="J16" s="51">
        <f t="shared" si="5"/>
        <v>1.8483291517836696E-2</v>
      </c>
    </row>
    <row r="17" spans="1:10">
      <c r="A17" s="65">
        <v>13</v>
      </c>
      <c r="B17" s="32">
        <v>80</v>
      </c>
      <c r="C17" s="32">
        <f t="shared" si="3"/>
        <v>1080</v>
      </c>
      <c r="D17" s="13">
        <f t="shared" si="0"/>
        <v>18</v>
      </c>
      <c r="E17" s="40">
        <v>20</v>
      </c>
      <c r="F17" s="50">
        <v>0.248</v>
      </c>
      <c r="G17" s="50">
        <v>0.26100000000000001</v>
      </c>
      <c r="H17" s="50">
        <v>0.25700000000000001</v>
      </c>
      <c r="I17" s="51">
        <f t="shared" si="4"/>
        <v>7.9382413333333348</v>
      </c>
      <c r="J17" s="51">
        <f t="shared" si="5"/>
        <v>0.21315971638499948</v>
      </c>
    </row>
    <row r="18" spans="1:10">
      <c r="A18" s="65">
        <v>14</v>
      </c>
      <c r="B18" s="32">
        <v>360</v>
      </c>
      <c r="C18" s="32">
        <f t="shared" si="3"/>
        <v>1440</v>
      </c>
      <c r="D18" s="13">
        <f t="shared" si="0"/>
        <v>24</v>
      </c>
      <c r="E18" s="40">
        <v>10</v>
      </c>
      <c r="F18" s="50">
        <v>0.312</v>
      </c>
      <c r="G18" s="50">
        <v>0.318</v>
      </c>
      <c r="H18" s="50">
        <v>0.312</v>
      </c>
      <c r="I18" s="51">
        <f>E18*(AVERAGE(F18:H18)*1.6007-0.0118)</f>
        <v>4.9081980000000005</v>
      </c>
      <c r="J18" s="51">
        <f t="shared" si="5"/>
        <v>5.5449874553510095E-2</v>
      </c>
    </row>
    <row r="19" spans="1:10">
      <c r="A19" s="65">
        <v>15</v>
      </c>
      <c r="B19" s="32">
        <v>360</v>
      </c>
      <c r="C19" s="32">
        <f>C18+B19</f>
        <v>1800</v>
      </c>
      <c r="D19" s="13">
        <f t="shared" si="0"/>
        <v>30</v>
      </c>
      <c r="E19" s="40">
        <v>10</v>
      </c>
      <c r="F19" s="50">
        <v>0.20200000000000001</v>
      </c>
      <c r="G19" s="50">
        <v>0.19700000000000001</v>
      </c>
      <c r="H19" s="50">
        <v>0.19800000000000001</v>
      </c>
      <c r="I19" s="51">
        <f>E19*(AVERAGE(F19:H19)*1.6007-0.0118)</f>
        <v>3.067393</v>
      </c>
      <c r="J19" s="51">
        <f t="shared" si="5"/>
        <v>4.2350541236210938E-2</v>
      </c>
    </row>
    <row r="20" spans="1:10">
      <c r="A20" s="65">
        <v>16</v>
      </c>
      <c r="B20" s="32">
        <v>1080</v>
      </c>
      <c r="C20" s="32">
        <f>C19+B20</f>
        <v>2880</v>
      </c>
      <c r="D20" s="13">
        <f t="shared" si="0"/>
        <v>48</v>
      </c>
      <c r="E20" s="40">
        <v>10</v>
      </c>
      <c r="F20" s="50">
        <v>0.184</v>
      </c>
      <c r="G20" s="50">
        <v>0.184</v>
      </c>
      <c r="H20" s="50">
        <v>0.16600000000000001</v>
      </c>
      <c r="I20" s="51">
        <f t="shared" si="4"/>
        <v>2.7312460000000005</v>
      </c>
      <c r="J20" s="51">
        <f t="shared" si="5"/>
        <v>0.16634962366052999</v>
      </c>
    </row>
  </sheetData>
  <mergeCells count="8">
    <mergeCell ref="A1:A2"/>
    <mergeCell ref="B1:B2"/>
    <mergeCell ref="C1:C2"/>
    <mergeCell ref="D1:D2"/>
    <mergeCell ref="H1:H2"/>
    <mergeCell ref="E1:E2"/>
    <mergeCell ref="F1:F2"/>
    <mergeCell ref="G1:G2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activeCell="D19" sqref="D19"/>
    </sheetView>
  </sheetViews>
  <sheetFormatPr baseColWidth="10" defaultColWidth="8.83203125" defaultRowHeight="14" x14ac:dyDescent="0"/>
  <cols>
    <col min="1" max="2" width="8.83203125" style="2"/>
    <col min="3" max="3" width="10.83203125" style="2" bestFit="1" customWidth="1"/>
    <col min="4" max="4" width="12.1640625" style="2" bestFit="1" customWidth="1"/>
    <col min="5" max="16384" width="8.83203125" style="2"/>
  </cols>
  <sheetData>
    <row r="1" spans="1:7">
      <c r="A1" s="132" t="s">
        <v>4</v>
      </c>
      <c r="B1" s="132" t="s">
        <v>117</v>
      </c>
      <c r="C1" s="132" t="s">
        <v>117</v>
      </c>
      <c r="D1" s="132" t="s">
        <v>5</v>
      </c>
      <c r="E1" s="4" t="s">
        <v>29</v>
      </c>
      <c r="F1" s="4" t="s">
        <v>2</v>
      </c>
      <c r="G1" s="4" t="s">
        <v>32</v>
      </c>
    </row>
    <row r="2" spans="1:7">
      <c r="A2" s="133"/>
      <c r="B2" s="133"/>
      <c r="C2" s="133"/>
      <c r="D2" s="133"/>
      <c r="E2" s="5" t="s">
        <v>30</v>
      </c>
      <c r="F2" s="5" t="s">
        <v>31</v>
      </c>
      <c r="G2" s="5" t="s">
        <v>33</v>
      </c>
    </row>
    <row r="3" spans="1:7">
      <c r="A3" s="63" t="s">
        <v>6</v>
      </c>
      <c r="B3" s="32">
        <v>-10</v>
      </c>
      <c r="C3" s="32">
        <f>B3</f>
        <v>-10</v>
      </c>
      <c r="D3" s="13">
        <f>C3/60</f>
        <v>-0.16666666666666666</v>
      </c>
      <c r="E3" s="1"/>
      <c r="F3" s="1"/>
      <c r="G3" s="1" t="e">
        <f>(F3-$C$22)/E3*1000*Calculation!I4/Calculation!K3</f>
        <v>#DIV/0!</v>
      </c>
    </row>
    <row r="4" spans="1:7">
      <c r="A4" s="65">
        <v>0</v>
      </c>
      <c r="B4" s="32">
        <v>10</v>
      </c>
      <c r="C4" s="32">
        <f>B4</f>
        <v>10</v>
      </c>
      <c r="D4" s="13">
        <f t="shared" ref="D4:D20" si="0">C4/60</f>
        <v>0.16666666666666666</v>
      </c>
      <c r="E4" s="1"/>
      <c r="F4" s="1"/>
      <c r="G4" s="1" t="e">
        <f>(F4-$C$22)/E4*1000*Calculation!I5/Calculation!K4</f>
        <v>#DIV/0!</v>
      </c>
    </row>
    <row r="5" spans="1:7">
      <c r="A5" s="65">
        <v>1</v>
      </c>
      <c r="B5" s="32">
        <v>110</v>
      </c>
      <c r="C5" s="32">
        <f>C4+B5</f>
        <v>120</v>
      </c>
      <c r="D5" s="13">
        <f t="shared" si="0"/>
        <v>2</v>
      </c>
      <c r="E5" s="1"/>
      <c r="F5" s="1"/>
      <c r="G5" s="1" t="e">
        <f>(F5-$C$22)/E5*1000*Calculation!I6/Calculation!K5</f>
        <v>#DIV/0!</v>
      </c>
    </row>
    <row r="6" spans="1:7">
      <c r="A6" s="65">
        <v>2</v>
      </c>
      <c r="B6" s="32">
        <v>80</v>
      </c>
      <c r="C6" s="32">
        <f>C5+B6</f>
        <v>200</v>
      </c>
      <c r="D6" s="13">
        <f t="shared" si="0"/>
        <v>3.3333333333333335</v>
      </c>
      <c r="E6" s="1"/>
      <c r="F6" s="1"/>
      <c r="G6" s="1" t="e">
        <f>(F6-$C$22)/E6*1000*Calculation!I7/Calculation!K6</f>
        <v>#DIV/0!</v>
      </c>
    </row>
    <row r="7" spans="1:7">
      <c r="A7" s="65">
        <v>3</v>
      </c>
      <c r="B7" s="32">
        <v>80</v>
      </c>
      <c r="C7" s="32">
        <f>C6+B7</f>
        <v>280</v>
      </c>
      <c r="D7" s="13">
        <f t="shared" si="0"/>
        <v>4.666666666666667</v>
      </c>
      <c r="E7" s="1"/>
      <c r="F7" s="1"/>
      <c r="G7" s="1" t="e">
        <f>(F7-$C$22)/E7*1000*Calculation!I8/Calculation!K7</f>
        <v>#DIV/0!</v>
      </c>
    </row>
    <row r="8" spans="1:7">
      <c r="A8" s="65">
        <v>4</v>
      </c>
      <c r="B8" s="32">
        <v>80</v>
      </c>
      <c r="C8" s="32">
        <f t="shared" ref="C8:C18" si="1">C7+B8</f>
        <v>360</v>
      </c>
      <c r="D8" s="13">
        <f t="shared" si="0"/>
        <v>6</v>
      </c>
      <c r="E8" s="1"/>
      <c r="F8" s="1"/>
      <c r="G8" s="1" t="e">
        <f>(F8-$C$22)/E8*1000*Calculation!I9/Calculation!K8</f>
        <v>#DIV/0!</v>
      </c>
    </row>
    <row r="9" spans="1:7">
      <c r="A9" s="65">
        <v>5</v>
      </c>
      <c r="B9" s="32">
        <v>80</v>
      </c>
      <c r="C9" s="32">
        <f t="shared" si="1"/>
        <v>440</v>
      </c>
      <c r="D9" s="13">
        <f t="shared" si="0"/>
        <v>7.333333333333333</v>
      </c>
      <c r="E9" s="1"/>
      <c r="F9" s="1"/>
      <c r="G9" s="1" t="e">
        <f>(F9-$C$22)/E9*1000*Calculation!I10/Calculation!K9</f>
        <v>#DIV/0!</v>
      </c>
    </row>
    <row r="10" spans="1:7">
      <c r="A10" s="65">
        <v>6</v>
      </c>
      <c r="B10" s="32">
        <v>80</v>
      </c>
      <c r="C10" s="32">
        <f t="shared" si="1"/>
        <v>520</v>
      </c>
      <c r="D10" s="13">
        <f t="shared" si="0"/>
        <v>8.6666666666666661</v>
      </c>
      <c r="E10" s="1"/>
      <c r="F10" s="1"/>
      <c r="G10" s="1" t="e">
        <f>(F10-$C$22)/E10*1000*Calculation!I11/Calculation!K10</f>
        <v>#DIV/0!</v>
      </c>
    </row>
    <row r="11" spans="1:7">
      <c r="A11" s="65">
        <v>7</v>
      </c>
      <c r="B11" s="32">
        <v>80</v>
      </c>
      <c r="C11" s="32">
        <f t="shared" si="1"/>
        <v>600</v>
      </c>
      <c r="D11" s="13">
        <f t="shared" si="0"/>
        <v>10</v>
      </c>
      <c r="E11" s="1"/>
      <c r="F11" s="1"/>
      <c r="G11" s="1" t="e">
        <f>(F11-$C$22)/E11*1000*Calculation!I12/Calculation!K11</f>
        <v>#DIV/0!</v>
      </c>
    </row>
    <row r="12" spans="1:7">
      <c r="A12" s="65">
        <v>8</v>
      </c>
      <c r="B12" s="32">
        <v>80</v>
      </c>
      <c r="C12" s="32">
        <f t="shared" si="1"/>
        <v>680</v>
      </c>
      <c r="D12" s="13">
        <f t="shared" si="0"/>
        <v>11.333333333333334</v>
      </c>
      <c r="E12" s="1"/>
      <c r="F12" s="1"/>
      <c r="G12" s="1" t="e">
        <f>(F12-$C$22)/E12*1000*Calculation!I13/Calculation!K12</f>
        <v>#DIV/0!</v>
      </c>
    </row>
    <row r="13" spans="1:7">
      <c r="A13" s="65">
        <v>9</v>
      </c>
      <c r="B13" s="32">
        <v>80</v>
      </c>
      <c r="C13" s="32">
        <f t="shared" si="1"/>
        <v>760</v>
      </c>
      <c r="D13" s="13">
        <f t="shared" si="0"/>
        <v>12.666666666666666</v>
      </c>
      <c r="E13" s="37"/>
      <c r="F13" s="37"/>
      <c r="G13" s="37" t="e">
        <f>(F13-$C$22)/E13*1000*Calculation!I14/Calculation!K13</f>
        <v>#DIV/0!</v>
      </c>
    </row>
    <row r="14" spans="1:7">
      <c r="A14" s="65">
        <v>10</v>
      </c>
      <c r="B14" s="32">
        <v>80</v>
      </c>
      <c r="C14" s="32">
        <f t="shared" si="1"/>
        <v>840</v>
      </c>
      <c r="D14" s="13">
        <f t="shared" si="0"/>
        <v>14</v>
      </c>
      <c r="E14" s="37"/>
      <c r="F14" s="37"/>
      <c r="G14" s="37" t="e">
        <f>(F14-$C$22)/E14*1000*Calculation!I15/Calculation!K14</f>
        <v>#DIV/0!</v>
      </c>
    </row>
    <row r="15" spans="1:7">
      <c r="A15" s="65">
        <v>11</v>
      </c>
      <c r="B15" s="32">
        <v>80</v>
      </c>
      <c r="C15" s="32">
        <f t="shared" si="1"/>
        <v>920</v>
      </c>
      <c r="D15" s="13">
        <f t="shared" si="0"/>
        <v>15.333333333333334</v>
      </c>
      <c r="E15" s="37"/>
      <c r="F15" s="37"/>
      <c r="G15" s="37" t="e">
        <f>(F15-$C$22)/E15*1000*Calculation!I16/Calculation!K15</f>
        <v>#DIV/0!</v>
      </c>
    </row>
    <row r="16" spans="1:7">
      <c r="A16" s="65">
        <v>12</v>
      </c>
      <c r="B16" s="32">
        <v>80</v>
      </c>
      <c r="C16" s="32">
        <f t="shared" si="1"/>
        <v>1000</v>
      </c>
      <c r="D16" s="13">
        <f t="shared" si="0"/>
        <v>16.666666666666668</v>
      </c>
      <c r="E16" s="37"/>
      <c r="F16" s="37"/>
      <c r="G16" s="37" t="e">
        <f>(F16-$C$22)/E16*1000*Calculation!I17/Calculation!K16</f>
        <v>#DIV/0!</v>
      </c>
    </row>
    <row r="17" spans="1:7" ht="15" customHeight="1">
      <c r="A17" s="65">
        <v>13</v>
      </c>
      <c r="B17" s="32">
        <v>80</v>
      </c>
      <c r="C17" s="32">
        <f t="shared" si="1"/>
        <v>1080</v>
      </c>
      <c r="D17" s="13">
        <f t="shared" si="0"/>
        <v>18</v>
      </c>
      <c r="E17" s="37"/>
      <c r="F17" s="37"/>
      <c r="G17" s="37" t="e">
        <f>(F17-$C$22)/E17*1000*Calculation!I18/Calculation!K17</f>
        <v>#DIV/0!</v>
      </c>
    </row>
    <row r="18" spans="1:7">
      <c r="A18" s="65">
        <v>14</v>
      </c>
      <c r="B18" s="32">
        <v>360</v>
      </c>
      <c r="C18" s="32">
        <f t="shared" si="1"/>
        <v>1440</v>
      </c>
      <c r="D18" s="13">
        <f t="shared" si="0"/>
        <v>24</v>
      </c>
      <c r="E18" s="37"/>
      <c r="F18" s="37"/>
      <c r="G18" s="37" t="e">
        <f>(F18-$C$22)/E18*1000*Calculation!I19/Calculation!K18</f>
        <v>#DIV/0!</v>
      </c>
    </row>
    <row r="19" spans="1:7">
      <c r="A19" s="65">
        <v>15</v>
      </c>
      <c r="B19" s="32">
        <v>360</v>
      </c>
      <c r="C19" s="32">
        <f>C18+B19</f>
        <v>1800</v>
      </c>
      <c r="D19" s="13">
        <f t="shared" si="0"/>
        <v>30</v>
      </c>
      <c r="E19" s="40"/>
      <c r="F19" s="40"/>
      <c r="G19" s="40" t="e">
        <f>(F19-$C$22)/E19*1000*Calculation!I21/Calculation!K19</f>
        <v>#DIV/0!</v>
      </c>
    </row>
    <row r="20" spans="1:7">
      <c r="A20" s="65">
        <v>16</v>
      </c>
      <c r="B20" s="32">
        <v>1080</v>
      </c>
      <c r="C20" s="32">
        <f>C19+B20</f>
        <v>2880</v>
      </c>
      <c r="D20" s="13">
        <f t="shared" si="0"/>
        <v>48</v>
      </c>
      <c r="E20" s="40"/>
      <c r="F20" s="40"/>
      <c r="G20" s="40" t="e">
        <f>(F20-$C$22)/E20*1000*Calculation!I22/Calculation!K20</f>
        <v>#DIV/0!</v>
      </c>
    </row>
    <row r="22" spans="1:7">
      <c r="A22" s="155" t="s">
        <v>3</v>
      </c>
      <c r="B22" s="156"/>
      <c r="C22" s="1"/>
    </row>
  </sheetData>
  <mergeCells count="5">
    <mergeCell ref="A22:B22"/>
    <mergeCell ref="A1:A2"/>
    <mergeCell ref="B1:B2"/>
    <mergeCell ref="C1:C2"/>
    <mergeCell ref="D1:D2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J101"/>
  <sheetViews>
    <sheetView topLeftCell="A78" workbookViewId="0">
      <selection activeCell="H98" sqref="H98"/>
    </sheetView>
  </sheetViews>
  <sheetFormatPr baseColWidth="10" defaultColWidth="8.83203125" defaultRowHeight="14" x14ac:dyDescent="0"/>
  <cols>
    <col min="4" max="4" width="9.33203125" bestFit="1" customWidth="1"/>
    <col min="5" max="5" width="22.33203125" bestFit="1" customWidth="1"/>
    <col min="6" max="6" width="13.6640625" bestFit="1" customWidth="1"/>
    <col min="10" max="10" width="12" bestFit="1" customWidth="1"/>
    <col min="11" max="11" width="8.5" customWidth="1"/>
  </cols>
  <sheetData>
    <row r="1" spans="1:10">
      <c r="A1" s="23" t="s">
        <v>50</v>
      </c>
      <c r="B1" s="12">
        <v>70.099999999999994</v>
      </c>
      <c r="C1" s="26" t="s">
        <v>51</v>
      </c>
      <c r="D1" s="2"/>
      <c r="E1" s="2"/>
      <c r="F1" s="2"/>
      <c r="G1" s="2"/>
    </row>
    <row r="2" spans="1:10">
      <c r="A2" s="2"/>
      <c r="B2" s="2"/>
      <c r="C2" s="2"/>
      <c r="D2" s="2"/>
      <c r="E2" s="2"/>
      <c r="F2" s="2"/>
      <c r="G2" s="2"/>
    </row>
    <row r="3" spans="1:10">
      <c r="A3" s="131" t="s">
        <v>5</v>
      </c>
      <c r="B3" s="131" t="s">
        <v>36</v>
      </c>
      <c r="C3" s="131"/>
      <c r="D3" s="131" t="s">
        <v>52</v>
      </c>
      <c r="E3" s="131"/>
      <c r="F3" s="131"/>
      <c r="G3" s="23" t="s">
        <v>53</v>
      </c>
    </row>
    <row r="4" spans="1:10">
      <c r="A4" s="131"/>
      <c r="B4" s="23" t="s">
        <v>54</v>
      </c>
      <c r="C4" s="23" t="s">
        <v>55</v>
      </c>
      <c r="D4" s="23" t="s">
        <v>56</v>
      </c>
      <c r="E4" s="23" t="s">
        <v>57</v>
      </c>
      <c r="F4" s="23" t="s">
        <v>58</v>
      </c>
      <c r="G4" s="23" t="s">
        <v>59</v>
      </c>
    </row>
    <row r="5" spans="1:10">
      <c r="A5" s="12">
        <v>0</v>
      </c>
      <c r="B5" s="12">
        <v>4472.26</v>
      </c>
      <c r="C5" s="12">
        <f t="shared" ref="C5:C36" si="0">B5/1000</f>
        <v>4.4722600000000003</v>
      </c>
      <c r="D5" s="12">
        <f>C5/1000*$B$1</f>
        <v>0.31350542600000003</v>
      </c>
      <c r="E5" s="12">
        <f>D5/22.4</f>
        <v>1.3995777946428574E-2</v>
      </c>
      <c r="F5" s="12">
        <f>E5/Calculation!K$4*1000</f>
        <v>8.5648996270592092E-3</v>
      </c>
      <c r="G5" s="12">
        <f>(0+F5)/2*30</f>
        <v>0.12847349440588815</v>
      </c>
      <c r="I5" s="80">
        <v>-0.16666666666666666</v>
      </c>
      <c r="J5" t="s">
        <v>162</v>
      </c>
    </row>
    <row r="6" spans="1:10">
      <c r="A6" s="12">
        <v>0.5</v>
      </c>
      <c r="B6" s="12">
        <v>9462.81</v>
      </c>
      <c r="C6" s="12">
        <f t="shared" si="0"/>
        <v>9.4628099999999993</v>
      </c>
      <c r="D6" s="12">
        <f>C6/1000*$B$1</f>
        <v>0.66334298099999989</v>
      </c>
      <c r="E6" s="12">
        <f>D6/22.4</f>
        <v>2.9613525937499996E-2</v>
      </c>
      <c r="F6" s="12">
        <f>E6/Calculation!K$4*1000</f>
        <v>1.8122385067042644E-2</v>
      </c>
      <c r="G6" s="12">
        <f>G5+(F6+F5)/2*30</f>
        <v>0.52878276481741593</v>
      </c>
      <c r="I6" s="80">
        <v>0.16666666666666666</v>
      </c>
      <c r="J6" t="s">
        <v>163</v>
      </c>
    </row>
    <row r="7" spans="1:10">
      <c r="A7" s="12">
        <v>1</v>
      </c>
      <c r="B7" s="12">
        <v>10647.24</v>
      </c>
      <c r="C7" s="12">
        <f t="shared" si="0"/>
        <v>10.64724</v>
      </c>
      <c r="D7" s="12">
        <f t="shared" ref="D7:D69" si="1">C7/1000*$B$1</f>
        <v>0.74637152399999995</v>
      </c>
      <c r="E7" s="12">
        <f t="shared" ref="E7:E69" si="2">D7/22.4</f>
        <v>3.3320157321428574E-2</v>
      </c>
      <c r="F7" s="12">
        <f>E7/Calculation!K$4*1000</f>
        <v>2.0390706690847558E-2</v>
      </c>
      <c r="G7" s="12">
        <f t="shared" ref="G7:G70" si="3">G6+(F7+F6)/2*30</f>
        <v>1.1064791411857691</v>
      </c>
      <c r="I7" s="80">
        <v>2</v>
      </c>
      <c r="J7" t="s">
        <v>164</v>
      </c>
    </row>
    <row r="8" spans="1:10">
      <c r="A8" s="12">
        <v>1.5</v>
      </c>
      <c r="B8" s="12">
        <v>809.78</v>
      </c>
      <c r="C8" s="12">
        <f t="shared" si="0"/>
        <v>0.80977999999999994</v>
      </c>
      <c r="D8" s="12">
        <f t="shared" si="1"/>
        <v>5.676557799999999E-2</v>
      </c>
      <c r="E8" s="12">
        <f t="shared" si="2"/>
        <v>2.5341775892857138E-3</v>
      </c>
      <c r="F8" s="12">
        <f>E8/Calculation!K$4*1000</f>
        <v>1.5508231677049198E-3</v>
      </c>
      <c r="G8" s="12">
        <f t="shared" si="3"/>
        <v>1.4356020890640562</v>
      </c>
      <c r="I8" s="80">
        <v>3.3333333333333335</v>
      </c>
      <c r="J8" t="s">
        <v>165</v>
      </c>
    </row>
    <row r="9" spans="1:10">
      <c r="A9" s="12">
        <v>2</v>
      </c>
      <c r="B9" s="12">
        <v>14153.48</v>
      </c>
      <c r="C9" s="12">
        <f t="shared" si="0"/>
        <v>14.15348</v>
      </c>
      <c r="D9" s="12">
        <f t="shared" si="1"/>
        <v>0.99215894799999993</v>
      </c>
      <c r="E9" s="12">
        <f t="shared" si="2"/>
        <v>4.429281017857143E-2</v>
      </c>
      <c r="F9" s="12">
        <f>E9/Calculation!K$5*1000</f>
        <v>2.7853305056542276E-2</v>
      </c>
      <c r="G9" s="12">
        <f t="shared" si="3"/>
        <v>1.876664012427764</v>
      </c>
      <c r="I9" s="80">
        <v>4.666666666666667</v>
      </c>
      <c r="J9" t="s">
        <v>166</v>
      </c>
    </row>
    <row r="10" spans="1:10">
      <c r="A10" s="12">
        <v>2.5</v>
      </c>
      <c r="B10" s="12">
        <v>16197.24</v>
      </c>
      <c r="C10" s="12">
        <f t="shared" si="0"/>
        <v>16.197240000000001</v>
      </c>
      <c r="D10" s="12">
        <f t="shared" si="1"/>
        <v>1.1354265240000001</v>
      </c>
      <c r="E10" s="12">
        <f t="shared" si="2"/>
        <v>5.0688684107142862E-2</v>
      </c>
      <c r="F10" s="12">
        <f>E10/Calculation!K$5*1000</f>
        <v>3.1875317363222952E-2</v>
      </c>
      <c r="G10" s="12">
        <f t="shared" si="3"/>
        <v>2.7725933487242425</v>
      </c>
      <c r="I10" s="80">
        <v>6</v>
      </c>
      <c r="J10" t="s">
        <v>167</v>
      </c>
    </row>
    <row r="11" spans="1:10">
      <c r="A11" s="12">
        <v>3</v>
      </c>
      <c r="B11" s="12">
        <v>22540.22</v>
      </c>
      <c r="C11" s="12">
        <f t="shared" si="0"/>
        <v>22.540220000000001</v>
      </c>
      <c r="D11" s="12">
        <f t="shared" si="1"/>
        <v>1.580069422</v>
      </c>
      <c r="E11" s="12">
        <f t="shared" si="2"/>
        <v>7.0538813482142859E-2</v>
      </c>
      <c r="F11" s="12">
        <f>E11/Calculation!K$5*1000</f>
        <v>4.4357968761150987E-2</v>
      </c>
      <c r="G11" s="12">
        <f t="shared" si="3"/>
        <v>3.9160926405898513</v>
      </c>
      <c r="I11" s="80">
        <v>7.333333333333333</v>
      </c>
      <c r="J11" t="s">
        <v>168</v>
      </c>
    </row>
    <row r="12" spans="1:10">
      <c r="A12" s="12">
        <v>3.5</v>
      </c>
      <c r="B12" s="12">
        <v>29719.03</v>
      </c>
      <c r="C12" s="12">
        <f t="shared" si="0"/>
        <v>29.71903</v>
      </c>
      <c r="D12" s="12">
        <f t="shared" si="1"/>
        <v>2.0833040029999998</v>
      </c>
      <c r="E12" s="12">
        <f t="shared" si="2"/>
        <v>9.3004642991071432E-2</v>
      </c>
      <c r="F12" s="12">
        <f>E12/Calculation!K$6*1000</f>
        <v>6.0258920664559998E-2</v>
      </c>
      <c r="G12" s="12">
        <f t="shared" si="3"/>
        <v>5.4853459819755166</v>
      </c>
      <c r="I12" s="80">
        <v>8.6666666666666661</v>
      </c>
      <c r="J12" t="s">
        <v>169</v>
      </c>
    </row>
    <row r="13" spans="1:10">
      <c r="A13" s="12">
        <v>4</v>
      </c>
      <c r="B13" s="12">
        <v>41277.68</v>
      </c>
      <c r="C13" s="12">
        <f t="shared" si="0"/>
        <v>41.277680000000004</v>
      </c>
      <c r="D13" s="12">
        <f t="shared" si="1"/>
        <v>2.893565368</v>
      </c>
      <c r="E13" s="12">
        <f t="shared" si="2"/>
        <v>0.12917702535714287</v>
      </c>
      <c r="F13" s="12">
        <f>E13/Calculation!K$6*1000</f>
        <v>8.3695478766874137E-2</v>
      </c>
      <c r="G13" s="12">
        <f t="shared" si="3"/>
        <v>7.6446619734470289</v>
      </c>
      <c r="I13" s="80">
        <v>10</v>
      </c>
      <c r="J13" t="s">
        <v>170</v>
      </c>
    </row>
    <row r="14" spans="1:10">
      <c r="A14" s="12">
        <v>4.5</v>
      </c>
      <c r="B14" s="12">
        <v>47020.05</v>
      </c>
      <c r="C14" s="12">
        <f t="shared" si="0"/>
        <v>47.020050000000005</v>
      </c>
      <c r="D14" s="12">
        <f t="shared" si="1"/>
        <v>3.2961055050000003</v>
      </c>
      <c r="E14" s="12">
        <f t="shared" si="2"/>
        <v>0.14714756718750002</v>
      </c>
      <c r="F14" s="12">
        <f>E14/Calculation!K$6*1000</f>
        <v>9.5338827094748543E-2</v>
      </c>
      <c r="G14" s="12">
        <f t="shared" si="3"/>
        <v>10.330176561371369</v>
      </c>
      <c r="I14" s="80">
        <v>11.333333333333334</v>
      </c>
      <c r="J14" t="s">
        <v>171</v>
      </c>
    </row>
    <row r="15" spans="1:10">
      <c r="A15" s="12">
        <v>5</v>
      </c>
      <c r="B15" s="12">
        <v>46159.87</v>
      </c>
      <c r="C15" s="12">
        <f t="shared" si="0"/>
        <v>46.159870000000005</v>
      </c>
      <c r="D15" s="12">
        <f t="shared" si="1"/>
        <v>3.2358068870000003</v>
      </c>
      <c r="E15" s="12">
        <f t="shared" si="2"/>
        <v>0.1444556645982143</v>
      </c>
      <c r="F15" s="12">
        <f>E15/Calculation!K$7*1000</f>
        <v>9.6447827321285221E-2</v>
      </c>
      <c r="G15" s="12">
        <f t="shared" si="3"/>
        <v>13.206976377611875</v>
      </c>
      <c r="I15" s="80">
        <v>12.666666666666666</v>
      </c>
      <c r="J15" t="s">
        <v>172</v>
      </c>
    </row>
    <row r="16" spans="1:10">
      <c r="A16" s="12">
        <v>5.5</v>
      </c>
      <c r="B16" s="12">
        <v>48210.36</v>
      </c>
      <c r="C16" s="12">
        <f t="shared" si="0"/>
        <v>48.210360000000001</v>
      </c>
      <c r="D16" s="12">
        <f t="shared" si="1"/>
        <v>3.3795462359999999</v>
      </c>
      <c r="E16" s="12">
        <f t="shared" si="2"/>
        <v>0.15087259982142859</v>
      </c>
      <c r="F16" s="12">
        <f>E16/Calculation!K$7*1000</f>
        <v>0.10073218309273826</v>
      </c>
      <c r="G16" s="12">
        <f t="shared" si="3"/>
        <v>16.164676533822227</v>
      </c>
      <c r="I16" s="80">
        <v>14</v>
      </c>
      <c r="J16" t="s">
        <v>173</v>
      </c>
    </row>
    <row r="17" spans="1:10">
      <c r="A17" s="12">
        <v>6</v>
      </c>
      <c r="B17" s="12">
        <v>53646.96</v>
      </c>
      <c r="C17" s="12">
        <f t="shared" si="0"/>
        <v>53.64696</v>
      </c>
      <c r="D17" s="12">
        <f t="shared" si="1"/>
        <v>3.7606518959999997</v>
      </c>
      <c r="E17" s="12">
        <f t="shared" si="2"/>
        <v>0.16788624535714286</v>
      </c>
      <c r="F17" s="12">
        <f>E17/Calculation!K$8*1000</f>
        <v>0.11559682256221206</v>
      </c>
      <c r="G17" s="12">
        <f t="shared" si="3"/>
        <v>19.409611618646483</v>
      </c>
      <c r="I17" s="80">
        <v>15.333333333333334</v>
      </c>
      <c r="J17" t="s">
        <v>174</v>
      </c>
    </row>
    <row r="18" spans="1:10">
      <c r="A18" s="12">
        <v>6.5</v>
      </c>
      <c r="B18" s="12">
        <v>55004.43</v>
      </c>
      <c r="C18" s="12">
        <f t="shared" si="0"/>
        <v>55.004429999999999</v>
      </c>
      <c r="D18" s="12">
        <f t="shared" si="1"/>
        <v>3.8558105429999996</v>
      </c>
      <c r="E18" s="12">
        <f t="shared" si="2"/>
        <v>0.17213439924107143</v>
      </c>
      <c r="F18" s="12">
        <f>E18/Calculation!K$8*1000</f>
        <v>0.11852185724681537</v>
      </c>
      <c r="G18" s="12">
        <f t="shared" si="3"/>
        <v>22.921391815781895</v>
      </c>
      <c r="I18" s="80">
        <v>16.666666666666668</v>
      </c>
      <c r="J18" t="s">
        <v>175</v>
      </c>
    </row>
    <row r="19" spans="1:10">
      <c r="A19" s="12">
        <v>7</v>
      </c>
      <c r="B19" s="12">
        <v>55421.08</v>
      </c>
      <c r="C19" s="12">
        <f t="shared" si="0"/>
        <v>55.421080000000003</v>
      </c>
      <c r="D19" s="12">
        <f t="shared" si="1"/>
        <v>3.8850177079999999</v>
      </c>
      <c r="E19" s="12">
        <f t="shared" si="2"/>
        <v>0.1734382905357143</v>
      </c>
      <c r="F19" s="12">
        <f>E19/Calculation!K$8*1000</f>
        <v>0.11941964187656039</v>
      </c>
      <c r="G19" s="12">
        <f t="shared" si="3"/>
        <v>26.490514302632533</v>
      </c>
      <c r="I19" s="80">
        <v>18</v>
      </c>
      <c r="J19" t="s">
        <v>176</v>
      </c>
    </row>
    <row r="20" spans="1:10">
      <c r="A20" s="12">
        <v>7.5</v>
      </c>
      <c r="B20" s="12">
        <v>53802.36</v>
      </c>
      <c r="C20" s="12">
        <f t="shared" si="0"/>
        <v>53.80236</v>
      </c>
      <c r="D20" s="12">
        <f t="shared" si="1"/>
        <v>3.7715454359999998</v>
      </c>
      <c r="E20" s="12">
        <f t="shared" si="2"/>
        <v>0.16837256410714285</v>
      </c>
      <c r="F20" s="12">
        <f>E20/Calculation!K$9*1000</f>
        <v>0.11931066767144452</v>
      </c>
      <c r="G20" s="12">
        <f t="shared" si="3"/>
        <v>30.071468945852608</v>
      </c>
      <c r="I20" s="80">
        <v>24</v>
      </c>
      <c r="J20" t="s">
        <v>177</v>
      </c>
    </row>
    <row r="21" spans="1:10">
      <c r="A21" s="12">
        <v>8</v>
      </c>
      <c r="B21" s="12">
        <v>45418.98</v>
      </c>
      <c r="C21" s="12">
        <f t="shared" si="0"/>
        <v>45.418980000000005</v>
      </c>
      <c r="D21" s="12">
        <f t="shared" si="1"/>
        <v>3.1838704980000001</v>
      </c>
      <c r="E21" s="12">
        <f t="shared" si="2"/>
        <v>0.14213707580357143</v>
      </c>
      <c r="F21" s="12">
        <f>E21/Calculation!K$9*1000</f>
        <v>0.10071990947527182</v>
      </c>
      <c r="G21" s="12">
        <f t="shared" si="3"/>
        <v>33.371927603053351</v>
      </c>
      <c r="I21" s="80">
        <v>30</v>
      </c>
      <c r="J21" t="s">
        <v>178</v>
      </c>
    </row>
    <row r="22" spans="1:10">
      <c r="A22" s="12">
        <v>8.5</v>
      </c>
      <c r="B22" s="12">
        <v>36101.49</v>
      </c>
      <c r="C22" s="12">
        <f t="shared" si="0"/>
        <v>36.101489999999998</v>
      </c>
      <c r="D22" s="12">
        <f t="shared" si="1"/>
        <v>2.530714449</v>
      </c>
      <c r="E22" s="12">
        <f t="shared" si="2"/>
        <v>0.11297832361607144</v>
      </c>
      <c r="F22" s="12">
        <f>E22/Calculation!K$9*1000</f>
        <v>8.0057694046022851E-2</v>
      </c>
      <c r="G22" s="12">
        <f t="shared" si="3"/>
        <v>36.083591655872773</v>
      </c>
      <c r="I22" s="80">
        <v>48</v>
      </c>
      <c r="J22" t="s">
        <v>179</v>
      </c>
    </row>
    <row r="23" spans="1:10">
      <c r="A23" s="12">
        <v>9</v>
      </c>
      <c r="B23" s="12">
        <v>41062.639999999999</v>
      </c>
      <c r="C23" s="12">
        <f t="shared" si="0"/>
        <v>41.062640000000002</v>
      </c>
      <c r="D23" s="12">
        <f t="shared" si="1"/>
        <v>2.8784910639999999</v>
      </c>
      <c r="E23" s="12">
        <f t="shared" si="2"/>
        <v>0.12850406535714287</v>
      </c>
      <c r="F23" s="12">
        <f>E23/Calculation!K$10*1000</f>
        <v>9.3959388075365372E-2</v>
      </c>
      <c r="G23" s="12">
        <f t="shared" si="3"/>
        <v>38.693847887693593</v>
      </c>
    </row>
    <row r="24" spans="1:10">
      <c r="A24" s="12">
        <v>9.5</v>
      </c>
      <c r="B24" s="12">
        <v>41686.769999999997</v>
      </c>
      <c r="C24" s="12">
        <f t="shared" si="0"/>
        <v>41.686769999999996</v>
      </c>
      <c r="D24" s="12">
        <f t="shared" si="1"/>
        <v>2.9222425769999996</v>
      </c>
      <c r="E24" s="12">
        <f t="shared" si="2"/>
        <v>0.13045725790178569</v>
      </c>
      <c r="F24" s="12">
        <f>E24/Calculation!K$10*1000</f>
        <v>9.538752014089931E-2</v>
      </c>
      <c r="G24" s="12">
        <f t="shared" si="3"/>
        <v>41.534051510937566</v>
      </c>
    </row>
    <row r="25" spans="1:10">
      <c r="A25" s="12">
        <v>10</v>
      </c>
      <c r="B25" s="12">
        <v>46144.75</v>
      </c>
      <c r="C25" s="12">
        <f t="shared" si="0"/>
        <v>46.144750000000002</v>
      </c>
      <c r="D25" s="12">
        <f t="shared" si="1"/>
        <v>3.2347469750000002</v>
      </c>
      <c r="E25" s="12">
        <f t="shared" si="2"/>
        <v>0.14440834709821429</v>
      </c>
      <c r="F25" s="12">
        <f>E25/Calculation!K$11*1000</f>
        <v>0.10924763058051774</v>
      </c>
      <c r="G25" s="12">
        <f t="shared" si="3"/>
        <v>44.603578771758819</v>
      </c>
    </row>
    <row r="26" spans="1:10">
      <c r="A26" s="12">
        <v>10.5</v>
      </c>
      <c r="B26" s="12">
        <v>45933.91</v>
      </c>
      <c r="C26" s="12">
        <f t="shared" si="0"/>
        <v>45.933910000000004</v>
      </c>
      <c r="D26" s="12">
        <f t="shared" si="1"/>
        <v>3.219967091</v>
      </c>
      <c r="E26" s="12">
        <f t="shared" si="2"/>
        <v>0.14374853084821429</v>
      </c>
      <c r="F26" s="12">
        <f>E26/Calculation!K$11*1000</f>
        <v>0.10874846717771251</v>
      </c>
      <c r="G26" s="12">
        <f t="shared" si="3"/>
        <v>47.873520238132272</v>
      </c>
    </row>
    <row r="27" spans="1:10">
      <c r="A27" s="12">
        <v>11</v>
      </c>
      <c r="B27" s="12">
        <v>21911.89</v>
      </c>
      <c r="C27" s="12">
        <f t="shared" si="0"/>
        <v>21.91189</v>
      </c>
      <c r="D27" s="12">
        <f t="shared" si="1"/>
        <v>1.536023489</v>
      </c>
      <c r="E27" s="12">
        <f t="shared" si="2"/>
        <v>6.8572477187500008E-2</v>
      </c>
      <c r="F27" s="12">
        <f>E27/Calculation!K$11*1000</f>
        <v>5.1876368688549425E-2</v>
      </c>
      <c r="G27" s="12">
        <f t="shared" si="3"/>
        <v>50.282892776126204</v>
      </c>
    </row>
    <row r="28" spans="1:10">
      <c r="A28" s="12">
        <v>11.5</v>
      </c>
      <c r="B28" s="12">
        <v>12431.44</v>
      </c>
      <c r="C28" s="12">
        <f t="shared" si="0"/>
        <v>12.43144</v>
      </c>
      <c r="D28" s="12">
        <f t="shared" si="1"/>
        <v>0.87144394399999991</v>
      </c>
      <c r="E28" s="12">
        <f t="shared" si="2"/>
        <v>3.8903747499999995E-2</v>
      </c>
      <c r="F28" s="12">
        <f>E28/Calculation!K$12*1000</f>
        <v>3.0476319044183096E-2</v>
      </c>
      <c r="G28" s="12">
        <f t="shared" si="3"/>
        <v>51.518183092117191</v>
      </c>
    </row>
    <row r="29" spans="1:10">
      <c r="A29" s="12">
        <v>12</v>
      </c>
      <c r="B29" s="12">
        <v>9923.14</v>
      </c>
      <c r="C29" s="12">
        <f t="shared" si="0"/>
        <v>9.9231400000000001</v>
      </c>
      <c r="D29" s="12">
        <f t="shared" si="1"/>
        <v>0.695612114</v>
      </c>
      <c r="E29" s="12">
        <f t="shared" si="2"/>
        <v>3.1054112232142859E-2</v>
      </c>
      <c r="F29" s="12">
        <f>E29/Calculation!K$12*1000</f>
        <v>2.4327091677238927E-2</v>
      </c>
      <c r="G29" s="12">
        <f t="shared" si="3"/>
        <v>52.340234252938522</v>
      </c>
    </row>
    <row r="30" spans="1:10">
      <c r="A30" s="12">
        <v>12.5</v>
      </c>
      <c r="B30" s="12">
        <v>10859.76</v>
      </c>
      <c r="C30" s="12">
        <f t="shared" si="0"/>
        <v>10.85976</v>
      </c>
      <c r="D30" s="12">
        <f t="shared" si="1"/>
        <v>0.76126917599999988</v>
      </c>
      <c r="E30" s="12">
        <f t="shared" si="2"/>
        <v>3.3985231071428569E-2</v>
      </c>
      <c r="F30" s="12">
        <f>E30/Calculation!K$12*1000</f>
        <v>2.6623264119302173E-2</v>
      </c>
      <c r="G30" s="12">
        <f t="shared" si="3"/>
        <v>53.10448958988664</v>
      </c>
    </row>
    <row r="31" spans="1:10">
      <c r="A31" s="12">
        <v>13</v>
      </c>
      <c r="B31" s="12">
        <v>8179.26</v>
      </c>
      <c r="C31" s="12">
        <f t="shared" si="0"/>
        <v>8.1792600000000011</v>
      </c>
      <c r="D31" s="12">
        <f t="shared" si="1"/>
        <v>0.57336612600000003</v>
      </c>
      <c r="E31" s="12">
        <f t="shared" si="2"/>
        <v>2.5596702053571431E-2</v>
      </c>
      <c r="F31" s="12">
        <f>E31/Calculation!K$13*1000</f>
        <v>2.0725377777156433E-2</v>
      </c>
      <c r="G31" s="12">
        <f t="shared" si="3"/>
        <v>53.814719218333522</v>
      </c>
    </row>
    <row r="32" spans="1:10">
      <c r="A32" s="12">
        <v>13.5</v>
      </c>
      <c r="B32" s="12">
        <v>7155.28</v>
      </c>
      <c r="C32" s="12">
        <f t="shared" si="0"/>
        <v>7.1552799999999994</v>
      </c>
      <c r="D32" s="12">
        <f t="shared" si="1"/>
        <v>0.50158512799999988</v>
      </c>
      <c r="E32" s="12">
        <f t="shared" si="2"/>
        <v>2.2392193214285712E-2</v>
      </c>
      <c r="F32" s="12">
        <f>E32/Calculation!K$13*1000</f>
        <v>1.8130721006708657E-2</v>
      </c>
      <c r="G32" s="12">
        <f t="shared" si="3"/>
        <v>54.397560700091496</v>
      </c>
    </row>
    <row r="33" spans="1:7">
      <c r="A33" s="12">
        <v>14</v>
      </c>
      <c r="B33" s="12">
        <v>4857.83</v>
      </c>
      <c r="C33" s="12">
        <f t="shared" si="0"/>
        <v>4.8578299999999999</v>
      </c>
      <c r="D33" s="12">
        <f t="shared" si="1"/>
        <v>0.34053388299999993</v>
      </c>
      <c r="E33" s="12">
        <f t="shared" si="2"/>
        <v>1.5202405491071427E-2</v>
      </c>
      <c r="F33" s="12">
        <f>E33/Calculation!K$14*1000</f>
        <v>1.2807061732555615E-2</v>
      </c>
      <c r="G33" s="12">
        <f t="shared" si="3"/>
        <v>54.86162744118046</v>
      </c>
    </row>
    <row r="34" spans="1:7">
      <c r="A34" s="12">
        <v>14.5</v>
      </c>
      <c r="B34" s="12">
        <v>5535.72</v>
      </c>
      <c r="C34" s="12">
        <f t="shared" si="0"/>
        <v>5.5357200000000004</v>
      </c>
      <c r="D34" s="12">
        <f t="shared" si="1"/>
        <v>0.38805397199999997</v>
      </c>
      <c r="E34" s="12">
        <f t="shared" si="2"/>
        <v>1.7323838035714287E-2</v>
      </c>
      <c r="F34" s="12">
        <f>E34/Calculation!K$14*1000</f>
        <v>1.4594234004512874E-2</v>
      </c>
      <c r="G34" s="12">
        <f t="shared" si="3"/>
        <v>55.27264687723649</v>
      </c>
    </row>
    <row r="35" spans="1:7">
      <c r="A35" s="12">
        <v>15</v>
      </c>
      <c r="B35" s="12">
        <v>4564.66</v>
      </c>
      <c r="C35" s="12">
        <f t="shared" si="0"/>
        <v>4.5646599999999999</v>
      </c>
      <c r="D35" s="12">
        <f t="shared" si="1"/>
        <v>0.31998266599999997</v>
      </c>
      <c r="E35" s="12">
        <f t="shared" si="2"/>
        <v>1.4284940446428571E-2</v>
      </c>
      <c r="F35" s="12">
        <f>E35/Calculation!K$14*1000</f>
        <v>1.2034155663769072E-2</v>
      </c>
      <c r="G35" s="12">
        <f t="shared" si="3"/>
        <v>55.672072722260722</v>
      </c>
    </row>
    <row r="36" spans="1:7">
      <c r="A36" s="12">
        <v>15.5</v>
      </c>
      <c r="B36" s="12">
        <v>4005.21</v>
      </c>
      <c r="C36" s="12">
        <f t="shared" si="0"/>
        <v>4.0052099999999999</v>
      </c>
      <c r="D36" s="12">
        <f t="shared" si="1"/>
        <v>0.28076522100000001</v>
      </c>
      <c r="E36" s="12">
        <f t="shared" si="2"/>
        <v>1.2534161651785716E-2</v>
      </c>
      <c r="F36" s="12">
        <f>E36/Calculation!K$15*1000</f>
        <v>1.1039995552189123E-2</v>
      </c>
      <c r="G36" s="12">
        <f t="shared" si="3"/>
        <v>56.018184990500096</v>
      </c>
    </row>
    <row r="37" spans="1:7">
      <c r="A37" s="12">
        <v>16</v>
      </c>
      <c r="B37" s="12">
        <v>3145.87</v>
      </c>
      <c r="C37" s="12">
        <f t="shared" ref="C37:C68" si="4">B37/1000</f>
        <v>3.1458699999999999</v>
      </c>
      <c r="D37" s="12">
        <f t="shared" si="1"/>
        <v>0.22052548699999996</v>
      </c>
      <c r="E37" s="12">
        <f t="shared" si="2"/>
        <v>9.8448878124999997E-3</v>
      </c>
      <c r="F37" s="12">
        <f>E37/Calculation!K$15*1000</f>
        <v>8.6713033293548125E-3</v>
      </c>
      <c r="G37" s="12">
        <f t="shared" si="3"/>
        <v>56.313854473723254</v>
      </c>
    </row>
    <row r="38" spans="1:7">
      <c r="A38" s="12">
        <v>16.5</v>
      </c>
      <c r="B38" s="12">
        <v>2405.81</v>
      </c>
      <c r="C38" s="12">
        <f t="shared" si="4"/>
        <v>2.4058099999999998</v>
      </c>
      <c r="D38" s="12">
        <f t="shared" si="1"/>
        <v>0.16864728099999998</v>
      </c>
      <c r="E38" s="12">
        <f t="shared" si="2"/>
        <v>7.5288964732142857E-3</v>
      </c>
      <c r="F38" s="12">
        <f>E38/Calculation!K$15*1000</f>
        <v>6.631395532172373E-3</v>
      </c>
      <c r="G38" s="12">
        <f t="shared" si="3"/>
        <v>56.543394956646161</v>
      </c>
    </row>
    <row r="39" spans="1:7">
      <c r="A39" s="12">
        <v>17</v>
      </c>
      <c r="B39" s="12">
        <v>1728.76</v>
      </c>
      <c r="C39" s="12">
        <f t="shared" si="4"/>
        <v>1.7287600000000001</v>
      </c>
      <c r="D39" s="12">
        <f t="shared" si="1"/>
        <v>0.12118607599999999</v>
      </c>
      <c r="E39" s="12">
        <f t="shared" si="2"/>
        <v>5.4100926785714282E-3</v>
      </c>
      <c r="F39" s="12">
        <f>E39/Calculation!K$16*1000</f>
        <v>4.9493894977908504E-3</v>
      </c>
      <c r="G39" s="12">
        <f t="shared" si="3"/>
        <v>56.717106732095608</v>
      </c>
    </row>
    <row r="40" spans="1:7">
      <c r="A40" s="12">
        <v>17.5</v>
      </c>
      <c r="B40" s="12">
        <v>17.64</v>
      </c>
      <c r="C40" s="12">
        <f t="shared" si="4"/>
        <v>1.7639999999999999E-2</v>
      </c>
      <c r="D40" s="12">
        <f t="shared" si="1"/>
        <v>1.2365639999999999E-3</v>
      </c>
      <c r="E40" s="12">
        <f t="shared" si="2"/>
        <v>5.5203749999999998E-5</v>
      </c>
      <c r="F40" s="12">
        <f>E40/Calculation!K$16*1000</f>
        <v>5.0502805907720324E-5</v>
      </c>
      <c r="G40" s="12">
        <f t="shared" si="3"/>
        <v>56.792105116651086</v>
      </c>
    </row>
    <row r="41" spans="1:7">
      <c r="A41" s="12">
        <v>18</v>
      </c>
      <c r="B41" s="12">
        <v>706.46</v>
      </c>
      <c r="C41" s="12">
        <f t="shared" si="4"/>
        <v>0.70646000000000009</v>
      </c>
      <c r="D41" s="12">
        <f t="shared" si="1"/>
        <v>4.9522846000000002E-2</v>
      </c>
      <c r="E41" s="12">
        <f t="shared" si="2"/>
        <v>2.2108413392857144E-3</v>
      </c>
      <c r="F41" s="12">
        <f>E41/Calculation!K$17*1000</f>
        <v>2.1076782376093072E-3</v>
      </c>
      <c r="G41" s="12">
        <f t="shared" si="3"/>
        <v>56.824477832303842</v>
      </c>
    </row>
    <row r="42" spans="1:7">
      <c r="A42" s="12">
        <v>18.5</v>
      </c>
      <c r="B42" s="12">
        <v>496.45</v>
      </c>
      <c r="C42" s="12">
        <f t="shared" si="4"/>
        <v>0.49645</v>
      </c>
      <c r="D42" s="12">
        <f t="shared" si="1"/>
        <v>3.4801144999999992E-2</v>
      </c>
      <c r="E42" s="12">
        <f t="shared" si="2"/>
        <v>1.5536225446428568E-3</v>
      </c>
      <c r="F42" s="12">
        <f>E42/Calculation!K$17*1000</f>
        <v>1.4811268310465423E-3</v>
      </c>
      <c r="G42" s="12">
        <f t="shared" si="3"/>
        <v>56.878309908333677</v>
      </c>
    </row>
    <row r="43" spans="1:7">
      <c r="A43" s="12">
        <v>19</v>
      </c>
      <c r="B43" s="12">
        <v>319.20999999999998</v>
      </c>
      <c r="C43" s="12">
        <f t="shared" si="4"/>
        <v>0.31920999999999999</v>
      </c>
      <c r="D43" s="12">
        <f t="shared" si="1"/>
        <v>2.2376620999999999E-2</v>
      </c>
      <c r="E43" s="12">
        <f t="shared" si="2"/>
        <v>9.9895629464285727E-4</v>
      </c>
      <c r="F43" s="12">
        <f>E43/Calculation!K$17*1000</f>
        <v>9.5234262410789992E-4</v>
      </c>
      <c r="G43" s="12">
        <f t="shared" si="3"/>
        <v>56.914811950160995</v>
      </c>
    </row>
    <row r="44" spans="1:7">
      <c r="A44" s="12">
        <v>19.5</v>
      </c>
      <c r="B44" s="12">
        <v>330.13</v>
      </c>
      <c r="C44" s="12">
        <f t="shared" si="4"/>
        <v>0.33012999999999998</v>
      </c>
      <c r="D44" s="12">
        <f t="shared" si="1"/>
        <v>2.3142112999999995E-2</v>
      </c>
      <c r="E44" s="12">
        <f t="shared" si="2"/>
        <v>1.0331300446428571E-3</v>
      </c>
      <c r="F44" s="12">
        <f>E44/Calculation!K$17*1000</f>
        <v>9.8492174586241321E-4</v>
      </c>
      <c r="G44" s="12">
        <f t="shared" si="3"/>
        <v>56.943870915710548</v>
      </c>
    </row>
    <row r="45" spans="1:7">
      <c r="A45" s="12">
        <v>20</v>
      </c>
      <c r="B45" s="12">
        <v>296.52999999999997</v>
      </c>
      <c r="C45" s="12">
        <f t="shared" si="4"/>
        <v>0.29652999999999996</v>
      </c>
      <c r="D45" s="12">
        <f t="shared" si="1"/>
        <v>2.0786752999999998E-2</v>
      </c>
      <c r="E45" s="12">
        <f t="shared" si="2"/>
        <v>9.2798004464285714E-4</v>
      </c>
      <c r="F45" s="12">
        <f>E45/Calculation!K$17*1000</f>
        <v>8.8467829431006402E-4</v>
      </c>
      <c r="G45" s="12">
        <f t="shared" si="3"/>
        <v>56.971914916313132</v>
      </c>
    </row>
    <row r="46" spans="1:7">
      <c r="A46" s="12">
        <v>20.5</v>
      </c>
      <c r="B46" s="12">
        <v>306.61</v>
      </c>
      <c r="C46" s="12">
        <f t="shared" si="4"/>
        <v>0.30660999999999999</v>
      </c>
      <c r="D46" s="12">
        <f t="shared" si="1"/>
        <v>2.1493360999999999E-2</v>
      </c>
      <c r="E46" s="12">
        <f t="shared" si="2"/>
        <v>9.5952504464285715E-4</v>
      </c>
      <c r="F46" s="12">
        <f>E46/Calculation!K$17*1000</f>
        <v>9.1475132977576886E-4</v>
      </c>
      <c r="G46" s="12">
        <f t="shared" si="3"/>
        <v>56.998906360674418</v>
      </c>
    </row>
    <row r="47" spans="1:7">
      <c r="A47" s="12">
        <v>21</v>
      </c>
      <c r="B47" s="12">
        <v>317.52999999999997</v>
      </c>
      <c r="C47" s="12">
        <f t="shared" si="4"/>
        <v>0.31752999999999998</v>
      </c>
      <c r="D47" s="12">
        <f t="shared" si="1"/>
        <v>2.2258852999999999E-2</v>
      </c>
      <c r="E47" s="12">
        <f t="shared" si="2"/>
        <v>9.9369879464285705E-4</v>
      </c>
      <c r="F47" s="12">
        <f>E47/Calculation!K$17*1000</f>
        <v>9.4733045153028226E-4</v>
      </c>
      <c r="G47" s="12">
        <f t="shared" si="3"/>
        <v>57.026837587394006</v>
      </c>
    </row>
    <row r="48" spans="1:7">
      <c r="A48" s="12">
        <v>21.5</v>
      </c>
      <c r="B48" s="12">
        <v>309.13</v>
      </c>
      <c r="C48" s="12">
        <f t="shared" si="4"/>
        <v>0.30913000000000002</v>
      </c>
      <c r="D48" s="12">
        <f t="shared" si="1"/>
        <v>2.1670012999999998E-2</v>
      </c>
      <c r="E48" s="12">
        <f t="shared" si="2"/>
        <v>9.6741129464285715E-4</v>
      </c>
      <c r="F48" s="12">
        <f>E48/Calculation!K$17*1000</f>
        <v>9.2226958864219508E-4</v>
      </c>
      <c r="G48" s="12">
        <f t="shared" si="3"/>
        <v>57.05488158799659</v>
      </c>
    </row>
    <row r="49" spans="1:7">
      <c r="A49" s="12">
        <v>22</v>
      </c>
      <c r="B49" s="12">
        <v>341.89</v>
      </c>
      <c r="C49" s="12">
        <f t="shared" si="4"/>
        <v>0.34188999999999997</v>
      </c>
      <c r="D49" s="12">
        <f t="shared" si="1"/>
        <v>2.3966488999999997E-2</v>
      </c>
      <c r="E49" s="12">
        <f t="shared" si="2"/>
        <v>1.0699325446428571E-3</v>
      </c>
      <c r="F49" s="12">
        <f>E49/Calculation!K$17*1000</f>
        <v>1.0200069539057356E-3</v>
      </c>
      <c r="G49" s="12">
        <f t="shared" si="3"/>
        <v>57.084015736134809</v>
      </c>
    </row>
    <row r="50" spans="1:7">
      <c r="A50" s="12">
        <v>22.5</v>
      </c>
      <c r="B50" s="12">
        <v>299.05</v>
      </c>
      <c r="C50" s="12">
        <f t="shared" si="4"/>
        <v>0.29905000000000004</v>
      </c>
      <c r="D50" s="12">
        <f t="shared" si="1"/>
        <v>2.0963405000000001E-2</v>
      </c>
      <c r="E50" s="12">
        <f t="shared" si="2"/>
        <v>9.3586629464285725E-4</v>
      </c>
      <c r="F50" s="12">
        <f>E50/Calculation!K$17*1000</f>
        <v>8.9219655317649034E-4</v>
      </c>
      <c r="G50" s="12">
        <f t="shared" si="3"/>
        <v>57.112698788741042</v>
      </c>
    </row>
    <row r="51" spans="1:7">
      <c r="A51" s="12">
        <v>23</v>
      </c>
      <c r="B51" s="12">
        <v>392.29</v>
      </c>
      <c r="C51" s="12">
        <f t="shared" si="4"/>
        <v>0.39229000000000003</v>
      </c>
      <c r="D51" s="12">
        <f t="shared" si="1"/>
        <v>2.7499529000000002E-2</v>
      </c>
      <c r="E51" s="12">
        <f t="shared" si="2"/>
        <v>1.2276575446428573E-3</v>
      </c>
      <c r="F51" s="12">
        <f>E51/Calculation!K$17*1000</f>
        <v>1.1703721312342598E-3</v>
      </c>
      <c r="G51" s="12">
        <f t="shared" si="3"/>
        <v>57.143637319007205</v>
      </c>
    </row>
    <row r="52" spans="1:7">
      <c r="A52" s="12">
        <v>23.5</v>
      </c>
      <c r="B52" s="12">
        <v>485.53</v>
      </c>
      <c r="C52" s="12">
        <f t="shared" si="4"/>
        <v>0.48552999999999996</v>
      </c>
      <c r="D52" s="12">
        <f t="shared" si="1"/>
        <v>3.4035652999999992E-2</v>
      </c>
      <c r="E52" s="12">
        <f t="shared" si="2"/>
        <v>1.5194487946428568E-3</v>
      </c>
      <c r="F52" s="12">
        <f>E52/Calculation!K$17*1000</f>
        <v>1.4485477092920287E-3</v>
      </c>
      <c r="G52" s="12">
        <f t="shared" si="3"/>
        <v>57.182921116615098</v>
      </c>
    </row>
    <row r="53" spans="1:7">
      <c r="A53" s="12">
        <v>24</v>
      </c>
      <c r="B53" s="12">
        <v>536.77</v>
      </c>
      <c r="C53" s="12">
        <f t="shared" si="4"/>
        <v>0.53676999999999997</v>
      </c>
      <c r="D53" s="12">
        <f t="shared" si="1"/>
        <v>3.7627576999999995E-2</v>
      </c>
      <c r="E53" s="12">
        <f t="shared" si="2"/>
        <v>1.6798025446428571E-3</v>
      </c>
      <c r="F53" s="12">
        <f>E53/Calculation!K$18*1000</f>
        <v>1.6811140016081375E-3</v>
      </c>
      <c r="G53" s="12">
        <f t="shared" si="3"/>
        <v>57.229866042278601</v>
      </c>
    </row>
    <row r="54" spans="1:7">
      <c r="A54" s="12">
        <v>24.5</v>
      </c>
      <c r="B54" s="12">
        <v>625.80999999999995</v>
      </c>
      <c r="C54" s="12">
        <f t="shared" si="4"/>
        <v>0.62580999999999998</v>
      </c>
      <c r="D54" s="12">
        <f t="shared" si="1"/>
        <v>4.3869280999999996E-2</v>
      </c>
      <c r="E54" s="12">
        <f t="shared" si="2"/>
        <v>1.9584500446428572E-3</v>
      </c>
      <c r="F54" s="12">
        <f>E54/Calculation!K$18*1000</f>
        <v>1.9599790475369129E-3</v>
      </c>
      <c r="G54" s="12">
        <f t="shared" si="3"/>
        <v>57.284482438015779</v>
      </c>
    </row>
    <row r="55" spans="1:7">
      <c r="A55" s="12">
        <v>25</v>
      </c>
      <c r="B55" s="12">
        <v>574.57000000000005</v>
      </c>
      <c r="C55" s="12">
        <f t="shared" si="4"/>
        <v>0.57457000000000003</v>
      </c>
      <c r="D55" s="12">
        <f t="shared" si="1"/>
        <v>4.0277357E-2</v>
      </c>
      <c r="E55" s="12">
        <f t="shared" si="2"/>
        <v>1.7980962946428573E-3</v>
      </c>
      <c r="F55" s="12">
        <f>E55/Calculation!K$18*1000</f>
        <v>1.799500106011863E-3</v>
      </c>
      <c r="G55" s="12">
        <f t="shared" si="3"/>
        <v>57.34087462531901</v>
      </c>
    </row>
    <row r="56" spans="1:7">
      <c r="A56" s="12">
        <v>25.5</v>
      </c>
      <c r="B56" s="12">
        <v>629.16999999999996</v>
      </c>
      <c r="C56" s="12">
        <f t="shared" si="4"/>
        <v>0.62917000000000001</v>
      </c>
      <c r="D56" s="12">
        <f t="shared" si="1"/>
        <v>4.4104816999999998E-2</v>
      </c>
      <c r="E56" s="12">
        <f t="shared" si="2"/>
        <v>1.9689650446428572E-3</v>
      </c>
      <c r="F56" s="12">
        <f>E56/Calculation!K$18*1000</f>
        <v>1.970502256817244E-3</v>
      </c>
      <c r="G56" s="12">
        <f t="shared" si="3"/>
        <v>57.397424660761445</v>
      </c>
    </row>
    <row r="57" spans="1:7">
      <c r="A57" s="12">
        <v>26</v>
      </c>
      <c r="B57" s="12">
        <v>514.09</v>
      </c>
      <c r="C57" s="12">
        <f t="shared" si="4"/>
        <v>0.51409000000000005</v>
      </c>
      <c r="D57" s="12">
        <f t="shared" si="1"/>
        <v>3.6037709000000001E-2</v>
      </c>
      <c r="E57" s="12">
        <f t="shared" si="2"/>
        <v>1.6088262946428573E-3</v>
      </c>
      <c r="F57" s="12">
        <f>E57/Calculation!K$18*1000</f>
        <v>1.6100823389659025E-3</v>
      </c>
      <c r="G57" s="12">
        <f t="shared" si="3"/>
        <v>57.451133429698189</v>
      </c>
    </row>
    <row r="58" spans="1:7">
      <c r="A58" s="12">
        <v>26.5</v>
      </c>
      <c r="B58" s="12">
        <v>541.80999999999995</v>
      </c>
      <c r="C58" s="12">
        <f t="shared" si="4"/>
        <v>0.5418099999999999</v>
      </c>
      <c r="D58" s="12">
        <f t="shared" si="1"/>
        <v>3.7980880999999987E-2</v>
      </c>
      <c r="E58" s="12">
        <f t="shared" si="2"/>
        <v>1.6955750446428566E-3</v>
      </c>
      <c r="F58" s="12">
        <f>E58/Calculation!K$18*1000</f>
        <v>1.6968988155286338E-3</v>
      </c>
      <c r="G58" s="12">
        <f t="shared" si="3"/>
        <v>57.500738147015603</v>
      </c>
    </row>
    <row r="59" spans="1:7">
      <c r="A59" s="12">
        <v>27</v>
      </c>
      <c r="B59" s="12">
        <v>535.92999999999995</v>
      </c>
      <c r="C59" s="12">
        <f t="shared" si="4"/>
        <v>0.53592999999999991</v>
      </c>
      <c r="D59" s="12">
        <f t="shared" si="1"/>
        <v>3.7568692999999986E-2</v>
      </c>
      <c r="E59" s="12">
        <f t="shared" si="2"/>
        <v>1.6771737946428566E-3</v>
      </c>
      <c r="F59" s="12">
        <f>E59/Calculation!K$18*1000</f>
        <v>1.6784831992880543E-3</v>
      </c>
      <c r="G59" s="12">
        <f t="shared" si="3"/>
        <v>57.551368877237856</v>
      </c>
    </row>
    <row r="60" spans="1:7">
      <c r="A60" s="12">
        <v>27.5</v>
      </c>
      <c r="B60" s="12">
        <v>614.04999999999995</v>
      </c>
      <c r="C60" s="12">
        <f t="shared" si="4"/>
        <v>0.61404999999999998</v>
      </c>
      <c r="D60" s="12">
        <f t="shared" si="1"/>
        <v>4.3044904999999994E-2</v>
      </c>
      <c r="E60" s="12">
        <f t="shared" si="2"/>
        <v>1.9216475446428569E-3</v>
      </c>
      <c r="F60" s="12">
        <f>E60/Calculation!K$18*1000</f>
        <v>1.9231478150557536E-3</v>
      </c>
      <c r="G60" s="12">
        <f t="shared" si="3"/>
        <v>57.605393342453013</v>
      </c>
    </row>
    <row r="61" spans="1:7">
      <c r="A61" s="12">
        <v>28</v>
      </c>
      <c r="B61" s="12">
        <v>589.69000000000005</v>
      </c>
      <c r="C61" s="12">
        <f t="shared" si="4"/>
        <v>0.58969000000000005</v>
      </c>
      <c r="D61" s="12">
        <f t="shared" si="1"/>
        <v>4.1337268999999996E-2</v>
      </c>
      <c r="E61" s="12">
        <f t="shared" si="2"/>
        <v>1.8454137946428571E-3</v>
      </c>
      <c r="F61" s="12">
        <f>E61/Calculation!K$18*1000</f>
        <v>1.8468545477733529E-3</v>
      </c>
      <c r="G61" s="12">
        <f t="shared" si="3"/>
        <v>57.661943377895447</v>
      </c>
    </row>
    <row r="62" spans="1:7">
      <c r="A62" s="12">
        <v>28.5</v>
      </c>
      <c r="B62" s="12">
        <v>561.13</v>
      </c>
      <c r="C62" s="12">
        <f t="shared" si="4"/>
        <v>0.56113000000000002</v>
      </c>
      <c r="D62" s="12">
        <f t="shared" si="1"/>
        <v>3.9335213000000001E-2</v>
      </c>
      <c r="E62" s="12">
        <f t="shared" si="2"/>
        <v>1.7560362946428573E-3</v>
      </c>
      <c r="F62" s="12">
        <f>E62/Calculation!K$18*1000</f>
        <v>1.7574072688905384E-3</v>
      </c>
      <c r="G62" s="12">
        <f t="shared" si="3"/>
        <v>57.716007305145403</v>
      </c>
    </row>
    <row r="63" spans="1:7">
      <c r="A63" s="12">
        <v>29</v>
      </c>
      <c r="B63" s="12">
        <v>564.49</v>
      </c>
      <c r="C63" s="12">
        <f t="shared" si="4"/>
        <v>0.56449000000000005</v>
      </c>
      <c r="D63" s="12">
        <f t="shared" si="1"/>
        <v>3.9570749000000002E-2</v>
      </c>
      <c r="E63" s="12">
        <f t="shared" si="2"/>
        <v>1.7665512946428573E-3</v>
      </c>
      <c r="F63" s="12">
        <f>E63/Calculation!K$18*1000</f>
        <v>1.7679304781708697E-3</v>
      </c>
      <c r="G63" s="12">
        <f t="shared" si="3"/>
        <v>57.768887371351326</v>
      </c>
    </row>
    <row r="64" spans="1:7">
      <c r="A64" s="12">
        <v>29.5</v>
      </c>
      <c r="B64" s="12">
        <v>570.37</v>
      </c>
      <c r="C64" s="12">
        <f t="shared" si="4"/>
        <v>0.57037000000000004</v>
      </c>
      <c r="D64" s="12">
        <f t="shared" si="1"/>
        <v>3.9982937000000003E-2</v>
      </c>
      <c r="E64" s="12">
        <f t="shared" si="2"/>
        <v>1.7849525446428573E-3</v>
      </c>
      <c r="F64" s="12">
        <f>E64/Calculation!K$18*1000</f>
        <v>1.786346094411449E-3</v>
      </c>
      <c r="G64" s="12">
        <f t="shared" si="3"/>
        <v>57.822201519940059</v>
      </c>
    </row>
    <row r="65" spans="1:7">
      <c r="A65" s="12">
        <v>30</v>
      </c>
      <c r="B65" s="12">
        <v>526.69000000000005</v>
      </c>
      <c r="C65" s="12">
        <f t="shared" si="4"/>
        <v>0.5266900000000001</v>
      </c>
      <c r="D65" s="12">
        <f t="shared" si="1"/>
        <v>3.6920969000000005E-2</v>
      </c>
      <c r="E65" s="12">
        <f t="shared" si="2"/>
        <v>1.6482575446428575E-3</v>
      </c>
      <c r="F65" s="12">
        <f>E65/Calculation!K$19*1000</f>
        <v>1.7655927216703607E-3</v>
      </c>
      <c r="G65" s="12">
        <f t="shared" si="3"/>
        <v>57.875480602181284</v>
      </c>
    </row>
    <row r="66" spans="1:7">
      <c r="A66" s="12">
        <v>30.5</v>
      </c>
      <c r="B66" s="12">
        <v>587.16999999999996</v>
      </c>
      <c r="C66" s="12">
        <f t="shared" si="4"/>
        <v>0.58716999999999997</v>
      </c>
      <c r="D66" s="12">
        <f t="shared" si="1"/>
        <v>4.116061699999999E-2</v>
      </c>
      <c r="E66" s="12">
        <f t="shared" si="2"/>
        <v>1.8375275446428569E-3</v>
      </c>
      <c r="F66" s="12">
        <f>E66/Calculation!K$19*1000</f>
        <v>1.9683363617748299E-3</v>
      </c>
      <c r="G66" s="12">
        <f t="shared" si="3"/>
        <v>57.931489538432963</v>
      </c>
    </row>
    <row r="67" spans="1:7">
      <c r="A67" s="12">
        <v>31</v>
      </c>
      <c r="B67" s="12">
        <v>479.65</v>
      </c>
      <c r="C67" s="12">
        <f t="shared" si="4"/>
        <v>0.47964999999999997</v>
      </c>
      <c r="D67" s="12">
        <f t="shared" si="1"/>
        <v>3.3623464999999998E-2</v>
      </c>
      <c r="E67" s="12">
        <f t="shared" si="2"/>
        <v>1.5010475446428572E-3</v>
      </c>
      <c r="F67" s="12">
        <f>E67/Calculation!K$19*1000</f>
        <v>1.6079032238113279E-3</v>
      </c>
      <c r="G67" s="12">
        <f t="shared" si="3"/>
        <v>57.985133132216752</v>
      </c>
    </row>
    <row r="68" spans="1:7">
      <c r="A68" s="12">
        <v>31.5</v>
      </c>
      <c r="B68" s="12">
        <v>420.01</v>
      </c>
      <c r="C68" s="12">
        <f t="shared" si="4"/>
        <v>0.42000999999999999</v>
      </c>
      <c r="D68" s="12">
        <f t="shared" si="1"/>
        <v>2.9442700999999998E-2</v>
      </c>
      <c r="E68" s="12">
        <f t="shared" si="2"/>
        <v>1.3144062946428572E-3</v>
      </c>
      <c r="F68" s="12">
        <f>E68/Calculation!K$19*1000</f>
        <v>1.4079754675971978E-3</v>
      </c>
      <c r="G68" s="12">
        <f t="shared" si="3"/>
        <v>58.030371312587882</v>
      </c>
    </row>
    <row r="69" spans="1:7">
      <c r="A69" s="12">
        <v>32</v>
      </c>
      <c r="B69" s="12">
        <v>416.65</v>
      </c>
      <c r="C69" s="12">
        <f t="shared" ref="C69:C100" si="5">B69/1000</f>
        <v>0.41664999999999996</v>
      </c>
      <c r="D69" s="12">
        <f t="shared" si="1"/>
        <v>2.9207164999999997E-2</v>
      </c>
      <c r="E69" s="12">
        <f t="shared" si="2"/>
        <v>1.3038912946428572E-3</v>
      </c>
      <c r="F69" s="12">
        <f>E69/Calculation!K$19*1000</f>
        <v>1.3967119320358382E-3</v>
      </c>
      <c r="G69" s="12">
        <f t="shared" si="3"/>
        <v>58.072441623582378</v>
      </c>
    </row>
    <row r="70" spans="1:7">
      <c r="A70" s="12">
        <v>32.5</v>
      </c>
      <c r="B70" s="12">
        <v>405.73</v>
      </c>
      <c r="C70" s="12">
        <f t="shared" si="5"/>
        <v>0.40573000000000004</v>
      </c>
      <c r="D70" s="12">
        <f t="shared" ref="D70:D101" si="6">C70/1000*$B$1</f>
        <v>2.8441673000000001E-2</v>
      </c>
      <c r="E70" s="12">
        <f t="shared" ref="E70:E101" si="7">D70/22.4</f>
        <v>1.2697175446428574E-3</v>
      </c>
      <c r="F70" s="12">
        <f>E70/Calculation!K$19*1000</f>
        <v>1.3601054414614203E-3</v>
      </c>
      <c r="G70" s="12">
        <f t="shared" si="3"/>
        <v>58.113793884184837</v>
      </c>
    </row>
    <row r="71" spans="1:7">
      <c r="A71" s="12">
        <v>33</v>
      </c>
      <c r="B71" s="12">
        <v>416.65</v>
      </c>
      <c r="C71" s="12">
        <f t="shared" si="5"/>
        <v>0.41664999999999996</v>
      </c>
      <c r="D71" s="12">
        <f t="shared" si="6"/>
        <v>2.9207164999999997E-2</v>
      </c>
      <c r="E71" s="12">
        <f t="shared" si="7"/>
        <v>1.3038912946428572E-3</v>
      </c>
      <c r="F71" s="12">
        <f>E71/Calculation!K$19*1000</f>
        <v>1.3967119320358382E-3</v>
      </c>
      <c r="G71" s="12">
        <f t="shared" ref="G71:G101" si="8">G70+(F71+F70)/2*30</f>
        <v>58.155146144787295</v>
      </c>
    </row>
    <row r="72" spans="1:7">
      <c r="A72" s="12">
        <v>33.5</v>
      </c>
      <c r="B72" s="12">
        <v>420.85</v>
      </c>
      <c r="C72" s="12">
        <f t="shared" si="5"/>
        <v>0.42085</v>
      </c>
      <c r="D72" s="12">
        <f t="shared" si="6"/>
        <v>2.9501584999999997E-2</v>
      </c>
      <c r="E72" s="12">
        <f t="shared" si="7"/>
        <v>1.3170350446428572E-3</v>
      </c>
      <c r="F72" s="12">
        <f>E72/Calculation!K$19*1000</f>
        <v>1.4107913514875374E-3</v>
      </c>
      <c r="G72" s="12">
        <f t="shared" si="8"/>
        <v>58.197258694040144</v>
      </c>
    </row>
    <row r="73" spans="1:7">
      <c r="A73" s="12">
        <v>34</v>
      </c>
      <c r="B73" s="12">
        <v>303.25</v>
      </c>
      <c r="C73" s="12">
        <f t="shared" si="5"/>
        <v>0.30325000000000002</v>
      </c>
      <c r="D73" s="12">
        <f t="shared" si="6"/>
        <v>2.1257825000000001E-2</v>
      </c>
      <c r="E73" s="12">
        <f t="shared" si="7"/>
        <v>9.4901004464285725E-4</v>
      </c>
      <c r="F73" s="12">
        <f>E73/Calculation!K$19*1000</f>
        <v>1.0165676068399569E-3</v>
      </c>
      <c r="G73" s="12">
        <f t="shared" si="8"/>
        <v>58.233669078415055</v>
      </c>
    </row>
    <row r="74" spans="1:7">
      <c r="A74" s="12">
        <v>34.5</v>
      </c>
      <c r="B74" s="12">
        <v>409.09</v>
      </c>
      <c r="C74" s="12">
        <f t="shared" si="5"/>
        <v>0.40908999999999995</v>
      </c>
      <c r="D74" s="12">
        <f t="shared" si="6"/>
        <v>2.8677208999999995E-2</v>
      </c>
      <c r="E74" s="12">
        <f t="shared" si="7"/>
        <v>1.2802325446428569E-3</v>
      </c>
      <c r="F74" s="12">
        <f>E74/Calculation!K$19*1000</f>
        <v>1.3713689770227793E-3</v>
      </c>
      <c r="G74" s="12">
        <f t="shared" si="8"/>
        <v>58.269488127172998</v>
      </c>
    </row>
    <row r="75" spans="1:7">
      <c r="A75" s="12">
        <v>35</v>
      </c>
      <c r="B75" s="12">
        <v>318.37</v>
      </c>
      <c r="C75" s="12">
        <f t="shared" si="5"/>
        <v>0.31836999999999999</v>
      </c>
      <c r="D75" s="12">
        <f t="shared" si="6"/>
        <v>2.2317736999999997E-2</v>
      </c>
      <c r="E75" s="12">
        <f t="shared" si="7"/>
        <v>9.9632754464285705E-4</v>
      </c>
      <c r="F75" s="12">
        <f>E75/Calculation!K$19*1000</f>
        <v>1.067253516866074E-3</v>
      </c>
      <c r="G75" s="12">
        <f t="shared" si="8"/>
        <v>58.306067464581332</v>
      </c>
    </row>
    <row r="76" spans="1:7">
      <c r="A76" s="12">
        <v>35.5</v>
      </c>
      <c r="B76" s="12">
        <v>319.20999999999998</v>
      </c>
      <c r="C76" s="12">
        <f t="shared" si="5"/>
        <v>0.31920999999999999</v>
      </c>
      <c r="D76" s="12">
        <f t="shared" si="6"/>
        <v>2.2376620999999999E-2</v>
      </c>
      <c r="E76" s="12">
        <f t="shared" si="7"/>
        <v>9.9895629464285727E-4</v>
      </c>
      <c r="F76" s="12">
        <f>E76/Calculation!K$19*1000</f>
        <v>1.0700694007564143E-3</v>
      </c>
      <c r="G76" s="12">
        <f t="shared" si="8"/>
        <v>58.338127308345669</v>
      </c>
    </row>
    <row r="77" spans="1:7">
      <c r="A77" s="12">
        <v>36</v>
      </c>
      <c r="B77" s="12">
        <v>299.05</v>
      </c>
      <c r="C77" s="12">
        <f t="shared" si="5"/>
        <v>0.29905000000000004</v>
      </c>
      <c r="D77" s="12">
        <f t="shared" si="6"/>
        <v>2.0963405000000001E-2</v>
      </c>
      <c r="E77" s="12">
        <f t="shared" si="7"/>
        <v>9.3586629464285725E-4</v>
      </c>
      <c r="F77" s="12">
        <f>E77/Calculation!K$19*1000</f>
        <v>1.0024881873882574E-3</v>
      </c>
      <c r="G77" s="12">
        <f t="shared" si="8"/>
        <v>58.36921567216784</v>
      </c>
    </row>
    <row r="78" spans="1:7">
      <c r="A78" s="12">
        <v>36.5</v>
      </c>
      <c r="B78" s="12">
        <v>235.21</v>
      </c>
      <c r="C78" s="12">
        <f t="shared" si="5"/>
        <v>0.23521</v>
      </c>
      <c r="D78" s="12">
        <f t="shared" si="6"/>
        <v>1.6488220999999997E-2</v>
      </c>
      <c r="E78" s="12">
        <f t="shared" si="7"/>
        <v>7.3608129464285707E-4</v>
      </c>
      <c r="F78" s="12">
        <f>E78/Calculation!K$19*1000</f>
        <v>7.8848101172242766E-4</v>
      </c>
      <c r="G78" s="12">
        <f t="shared" si="8"/>
        <v>58.396080210154501</v>
      </c>
    </row>
    <row r="79" spans="1:7">
      <c r="A79" s="12">
        <v>37</v>
      </c>
      <c r="B79" s="12">
        <v>307.45</v>
      </c>
      <c r="C79" s="12">
        <f t="shared" si="5"/>
        <v>0.30745</v>
      </c>
      <c r="D79" s="12">
        <f t="shared" si="6"/>
        <v>2.1552245000000001E-2</v>
      </c>
      <c r="E79" s="12">
        <f t="shared" si="7"/>
        <v>9.6215379464285725E-4</v>
      </c>
      <c r="F79" s="12">
        <f>E79/Calculation!K$19*1000</f>
        <v>1.0306470262916561E-3</v>
      </c>
      <c r="G79" s="12">
        <f t="shared" si="8"/>
        <v>58.423367130724714</v>
      </c>
    </row>
    <row r="80" spans="1:7">
      <c r="A80" s="12">
        <v>37.5</v>
      </c>
      <c r="B80" s="12">
        <v>298.20999999999998</v>
      </c>
      <c r="C80" s="12">
        <f t="shared" si="5"/>
        <v>0.29820999999999998</v>
      </c>
      <c r="D80" s="12">
        <f t="shared" si="6"/>
        <v>2.0904520999999995E-2</v>
      </c>
      <c r="E80" s="12">
        <f t="shared" si="7"/>
        <v>9.3323754464285703E-4</v>
      </c>
      <c r="F80" s="12">
        <f>E80/Calculation!K$19*1000</f>
        <v>9.9967230349791718E-4</v>
      </c>
      <c r="G80" s="12">
        <f t="shared" si="8"/>
        <v>58.453821920671558</v>
      </c>
    </row>
    <row r="81" spans="1:7">
      <c r="A81" s="12">
        <v>38</v>
      </c>
      <c r="B81" s="12">
        <v>305.77</v>
      </c>
      <c r="C81" s="12">
        <f t="shared" si="5"/>
        <v>0.30576999999999999</v>
      </c>
      <c r="D81" s="12">
        <f t="shared" si="6"/>
        <v>2.1434476999999997E-2</v>
      </c>
      <c r="E81" s="12">
        <f t="shared" si="7"/>
        <v>9.5689629464285704E-4</v>
      </c>
      <c r="F81" s="12">
        <f>E81/Calculation!K$19*1000</f>
        <v>1.0250152585109763E-3</v>
      </c>
      <c r="G81" s="12">
        <f t="shared" si="8"/>
        <v>58.484192234101691</v>
      </c>
    </row>
    <row r="82" spans="1:7">
      <c r="A82" s="12">
        <v>38.5</v>
      </c>
      <c r="B82" s="12">
        <v>265.45</v>
      </c>
      <c r="C82" s="12">
        <f t="shared" si="5"/>
        <v>0.26544999999999996</v>
      </c>
      <c r="D82" s="12">
        <f t="shared" si="6"/>
        <v>1.8608044999999997E-2</v>
      </c>
      <c r="E82" s="12">
        <f t="shared" si="7"/>
        <v>8.3071629464285699E-4</v>
      </c>
      <c r="F82" s="12">
        <f>E82/Calculation!K$19*1000</f>
        <v>8.8985283177466261E-4</v>
      </c>
      <c r="G82" s="12">
        <f t="shared" si="8"/>
        <v>58.512915255455972</v>
      </c>
    </row>
    <row r="83" spans="1:7">
      <c r="A83" s="12">
        <v>39</v>
      </c>
      <c r="B83" s="12">
        <v>263.77</v>
      </c>
      <c r="C83" s="12">
        <f t="shared" si="5"/>
        <v>0.26377</v>
      </c>
      <c r="D83" s="12">
        <f t="shared" si="6"/>
        <v>1.8490276999999999E-2</v>
      </c>
      <c r="E83" s="12">
        <f t="shared" si="7"/>
        <v>8.2545879464285721E-4</v>
      </c>
      <c r="F83" s="12">
        <f>E83/Calculation!K$19*1000</f>
        <v>8.842210639939831E-4</v>
      </c>
      <c r="G83" s="12">
        <f t="shared" si="8"/>
        <v>58.539526363892499</v>
      </c>
    </row>
    <row r="84" spans="1:7">
      <c r="A84" s="12">
        <v>39.5</v>
      </c>
      <c r="B84" s="12">
        <v>210</v>
      </c>
      <c r="C84" s="12">
        <f t="shared" si="5"/>
        <v>0.21</v>
      </c>
      <c r="D84" s="12">
        <f t="shared" si="6"/>
        <v>1.4720999999999998E-2</v>
      </c>
      <c r="E84" s="12">
        <f t="shared" si="7"/>
        <v>6.571875E-4</v>
      </c>
      <c r="F84" s="12">
        <f>E84/Calculation!K$19*1000</f>
        <v>7.0397097258496585E-4</v>
      </c>
      <c r="G84" s="12">
        <f t="shared" si="8"/>
        <v>58.563349244441184</v>
      </c>
    </row>
    <row r="85" spans="1:7">
      <c r="A85" s="12">
        <v>40</v>
      </c>
      <c r="B85" s="12">
        <v>254.53</v>
      </c>
      <c r="C85" s="12">
        <f t="shared" si="5"/>
        <v>0.25452999999999998</v>
      </c>
      <c r="D85" s="12">
        <f t="shared" si="6"/>
        <v>1.7842552999999997E-2</v>
      </c>
      <c r="E85" s="12">
        <f t="shared" si="7"/>
        <v>7.9654254464285709E-4</v>
      </c>
      <c r="F85" s="12">
        <f>E85/Calculation!K$19*1000</f>
        <v>8.5324634120024449E-4</v>
      </c>
      <c r="G85" s="12">
        <f t="shared" si="8"/>
        <v>58.586707504147959</v>
      </c>
    </row>
    <row r="86" spans="1:7">
      <c r="A86" s="12">
        <v>40.5</v>
      </c>
      <c r="B86" s="12">
        <v>258.73</v>
      </c>
      <c r="C86" s="12">
        <f t="shared" si="5"/>
        <v>0.25873000000000002</v>
      </c>
      <c r="D86" s="12">
        <f t="shared" si="6"/>
        <v>1.8136973000000001E-2</v>
      </c>
      <c r="E86" s="12">
        <f t="shared" si="7"/>
        <v>8.096862946428572E-4</v>
      </c>
      <c r="F86" s="12">
        <f>E86/Calculation!K$19*1000</f>
        <v>8.6732576065194395E-4</v>
      </c>
      <c r="G86" s="12">
        <f t="shared" si="8"/>
        <v>58.612516085675743</v>
      </c>
    </row>
    <row r="87" spans="1:7">
      <c r="A87" s="12">
        <v>41</v>
      </c>
      <c r="B87" s="12">
        <v>241.93</v>
      </c>
      <c r="C87" s="12">
        <f t="shared" si="5"/>
        <v>0.24193000000000001</v>
      </c>
      <c r="D87" s="12">
        <f t="shared" si="6"/>
        <v>1.6959293E-2</v>
      </c>
      <c r="E87" s="12">
        <f t="shared" si="7"/>
        <v>7.5711129464285719E-4</v>
      </c>
      <c r="F87" s="12">
        <f>E87/Calculation!K$19*1000</f>
        <v>8.1100808284514665E-4</v>
      </c>
      <c r="G87" s="12">
        <f t="shared" si="8"/>
        <v>58.637691093328201</v>
      </c>
    </row>
    <row r="88" spans="1:7">
      <c r="A88" s="12">
        <v>41.5</v>
      </c>
      <c r="B88" s="12">
        <v>212.52</v>
      </c>
      <c r="C88" s="12">
        <f t="shared" si="5"/>
        <v>0.21252000000000001</v>
      </c>
      <c r="D88" s="12">
        <f t="shared" si="6"/>
        <v>1.4897651999999999E-2</v>
      </c>
      <c r="E88" s="12">
        <f t="shared" si="7"/>
        <v>6.6507375000000001E-4</v>
      </c>
      <c r="F88" s="12">
        <f>E88/Calculation!K$19*1000</f>
        <v>7.1241862425598548E-4</v>
      </c>
      <c r="G88" s="12">
        <f t="shared" si="8"/>
        <v>58.66054249393472</v>
      </c>
    </row>
    <row r="89" spans="1:7">
      <c r="A89" s="12">
        <v>42</v>
      </c>
      <c r="B89" s="12">
        <v>214.2</v>
      </c>
      <c r="C89" s="12">
        <f t="shared" si="5"/>
        <v>0.2142</v>
      </c>
      <c r="D89" s="12">
        <f t="shared" si="6"/>
        <v>1.501542E-2</v>
      </c>
      <c r="E89" s="12">
        <f t="shared" si="7"/>
        <v>6.7033125000000001E-4</v>
      </c>
      <c r="F89" s="12">
        <f>E89/Calculation!K$19*1000</f>
        <v>7.180503920366652E-4</v>
      </c>
      <c r="G89" s="12">
        <f t="shared" si="8"/>
        <v>58.681999529179109</v>
      </c>
    </row>
    <row r="90" spans="1:7">
      <c r="A90" s="12">
        <v>42.5</v>
      </c>
      <c r="B90" s="12">
        <v>267.97000000000003</v>
      </c>
      <c r="C90" s="12">
        <f t="shared" si="5"/>
        <v>0.26797000000000004</v>
      </c>
      <c r="D90" s="12">
        <f t="shared" si="6"/>
        <v>1.8784697E-2</v>
      </c>
      <c r="E90" s="12">
        <f t="shared" si="7"/>
        <v>8.3860254464285721E-4</v>
      </c>
      <c r="F90" s="12">
        <f>E90/Calculation!K$19*1000</f>
        <v>8.9830048344568245E-4</v>
      </c>
      <c r="G90" s="12">
        <f t="shared" si="8"/>
        <v>58.706244792311345</v>
      </c>
    </row>
    <row r="91" spans="1:7">
      <c r="A91" s="12">
        <v>43</v>
      </c>
      <c r="B91" s="12">
        <v>290.64999999999998</v>
      </c>
      <c r="C91" s="12">
        <f t="shared" si="5"/>
        <v>0.29064999999999996</v>
      </c>
      <c r="D91" s="12">
        <f t="shared" si="6"/>
        <v>2.0374564999999997E-2</v>
      </c>
      <c r="E91" s="12">
        <f t="shared" si="7"/>
        <v>9.0957879464285713E-4</v>
      </c>
      <c r="F91" s="12">
        <f>E91/Calculation!K$19*1000</f>
        <v>9.7432934848485872E-4</v>
      </c>
      <c r="G91" s="12">
        <f t="shared" si="8"/>
        <v>58.7343342397903</v>
      </c>
    </row>
    <row r="92" spans="1:7">
      <c r="A92" s="12">
        <v>43.5</v>
      </c>
      <c r="B92" s="12">
        <v>278.05</v>
      </c>
      <c r="C92" s="12">
        <f t="shared" si="5"/>
        <v>0.27805000000000002</v>
      </c>
      <c r="D92" s="12">
        <f t="shared" si="6"/>
        <v>1.9491305E-2</v>
      </c>
      <c r="E92" s="12">
        <f t="shared" si="7"/>
        <v>8.7014754464285722E-4</v>
      </c>
      <c r="F92" s="12">
        <f>E92/Calculation!K$19*1000</f>
        <v>9.3209109012976077E-4</v>
      </c>
      <c r="G92" s="12">
        <f t="shared" si="8"/>
        <v>58.762930546369518</v>
      </c>
    </row>
    <row r="93" spans="1:7">
      <c r="A93" s="12">
        <v>44</v>
      </c>
      <c r="B93" s="12">
        <v>320.89</v>
      </c>
      <c r="C93" s="12">
        <f t="shared" si="5"/>
        <v>0.32089000000000001</v>
      </c>
      <c r="D93" s="12">
        <f t="shared" si="6"/>
        <v>2.2494388999999997E-2</v>
      </c>
      <c r="E93" s="12">
        <f t="shared" si="7"/>
        <v>1.0042137946428571E-3</v>
      </c>
      <c r="F93" s="12">
        <f>E93/Calculation!K$19*1000</f>
        <v>1.0757011685370939E-3</v>
      </c>
      <c r="G93" s="12">
        <f t="shared" si="8"/>
        <v>58.793047430249523</v>
      </c>
    </row>
    <row r="94" spans="1:7">
      <c r="A94" s="12">
        <v>44.5</v>
      </c>
      <c r="B94" s="12">
        <v>234.37</v>
      </c>
      <c r="C94" s="12">
        <f t="shared" si="5"/>
        <v>0.23436999999999999</v>
      </c>
      <c r="D94" s="12">
        <f t="shared" si="6"/>
        <v>1.6429336999999999E-2</v>
      </c>
      <c r="E94" s="12">
        <f t="shared" si="7"/>
        <v>7.3345254464285718E-4</v>
      </c>
      <c r="F94" s="12">
        <f>E94/Calculation!K$19*1000</f>
        <v>7.8566512783208786E-4</v>
      </c>
      <c r="G94" s="12">
        <f t="shared" si="8"/>
        <v>58.820967924695061</v>
      </c>
    </row>
    <row r="95" spans="1:7">
      <c r="A95" s="12">
        <v>45</v>
      </c>
      <c r="B95" s="12">
        <v>241.93</v>
      </c>
      <c r="C95" s="12">
        <f t="shared" si="5"/>
        <v>0.24193000000000001</v>
      </c>
      <c r="D95" s="12">
        <f t="shared" si="6"/>
        <v>1.6959293E-2</v>
      </c>
      <c r="E95" s="12">
        <f t="shared" si="7"/>
        <v>7.5711129464285719E-4</v>
      </c>
      <c r="F95" s="12">
        <f>E95/Calculation!K$19*1000</f>
        <v>8.1100808284514665E-4</v>
      </c>
      <c r="G95" s="12">
        <f t="shared" si="8"/>
        <v>58.844918022855218</v>
      </c>
    </row>
    <row r="96" spans="1:7">
      <c r="A96" s="12">
        <v>45.5</v>
      </c>
      <c r="B96" s="12">
        <v>220.92</v>
      </c>
      <c r="C96" s="12">
        <f t="shared" si="5"/>
        <v>0.22091999999999998</v>
      </c>
      <c r="D96" s="12">
        <f t="shared" si="6"/>
        <v>1.5486491999999996E-2</v>
      </c>
      <c r="E96" s="12">
        <f t="shared" si="7"/>
        <v>6.9136124999999991E-4</v>
      </c>
      <c r="F96" s="12">
        <f>E96/Calculation!K$19*1000</f>
        <v>7.4057746315938397E-4</v>
      </c>
      <c r="G96" s="12">
        <f t="shared" si="8"/>
        <v>58.868191806045289</v>
      </c>
    </row>
    <row r="97" spans="1:7">
      <c r="A97" s="12">
        <v>46</v>
      </c>
      <c r="B97" s="12">
        <v>190.68</v>
      </c>
      <c r="C97" s="12">
        <f t="shared" si="5"/>
        <v>0.19068000000000002</v>
      </c>
      <c r="D97" s="12">
        <f t="shared" si="6"/>
        <v>1.3366668E-2</v>
      </c>
      <c r="E97" s="12">
        <f t="shared" si="7"/>
        <v>5.9672624999999998E-4</v>
      </c>
      <c r="F97" s="12">
        <f>E97/Calculation!K$19*1000</f>
        <v>6.3920564310714903E-4</v>
      </c>
      <c r="G97" s="12">
        <f t="shared" si="8"/>
        <v>58.888888552639287</v>
      </c>
    </row>
    <row r="98" spans="1:7">
      <c r="A98" s="12">
        <v>46.5</v>
      </c>
      <c r="B98" s="12">
        <v>184.8</v>
      </c>
      <c r="C98" s="12">
        <f t="shared" si="5"/>
        <v>0.18480000000000002</v>
      </c>
      <c r="D98" s="12">
        <f t="shared" si="6"/>
        <v>1.2954480000000001E-2</v>
      </c>
      <c r="E98" s="12">
        <f t="shared" si="7"/>
        <v>5.7832500000000008E-4</v>
      </c>
      <c r="F98" s="12">
        <f>E98/Calculation!K$19*1000</f>
        <v>6.1949445587477006E-4</v>
      </c>
      <c r="G98" s="12">
        <f t="shared" si="8"/>
        <v>58.907769054124017</v>
      </c>
    </row>
    <row r="99" spans="1:7">
      <c r="A99" s="12">
        <v>47</v>
      </c>
      <c r="B99" s="12">
        <v>199.08</v>
      </c>
      <c r="C99" s="12">
        <f t="shared" si="5"/>
        <v>0.19908000000000001</v>
      </c>
      <c r="D99" s="12">
        <f t="shared" si="6"/>
        <v>1.3955507999999998E-2</v>
      </c>
      <c r="E99" s="12">
        <f t="shared" si="7"/>
        <v>6.2301374999999999E-4</v>
      </c>
      <c r="F99" s="12">
        <f>E99/Calculation!K$19*1000</f>
        <v>6.6736448201054762E-4</v>
      </c>
      <c r="G99" s="12">
        <f t="shared" si="8"/>
        <v>58.927071938192299</v>
      </c>
    </row>
    <row r="100" spans="1:7">
      <c r="A100" s="12">
        <v>47.5</v>
      </c>
      <c r="B100" s="12">
        <v>211.68</v>
      </c>
      <c r="C100" s="12">
        <f t="shared" si="5"/>
        <v>0.21168000000000001</v>
      </c>
      <c r="D100" s="12">
        <f t="shared" si="6"/>
        <v>1.4838767999999999E-2</v>
      </c>
      <c r="E100" s="12">
        <f t="shared" si="7"/>
        <v>6.62445E-4</v>
      </c>
      <c r="F100" s="12">
        <f>E100/Calculation!K$19*1000</f>
        <v>7.0960274036564568E-4</v>
      </c>
      <c r="G100" s="12">
        <f t="shared" si="8"/>
        <v>58.947726446527945</v>
      </c>
    </row>
    <row r="101" spans="1:7">
      <c r="A101" s="12">
        <v>48</v>
      </c>
      <c r="B101" s="12">
        <v>213.36</v>
      </c>
      <c r="C101" s="12">
        <f t="shared" ref="C101" si="9">B101/1000</f>
        <v>0.21336000000000002</v>
      </c>
      <c r="D101" s="12">
        <f t="shared" si="6"/>
        <v>1.4956536000000001E-2</v>
      </c>
      <c r="E101" s="12">
        <f t="shared" si="7"/>
        <v>6.6770250000000011E-4</v>
      </c>
      <c r="F101" s="12">
        <f>E101/Calculation!K$20*1000</f>
        <v>7.5703886303266749E-4</v>
      </c>
      <c r="G101" s="12">
        <f t="shared" si="8"/>
        <v>58.969726070578922</v>
      </c>
    </row>
  </sheetData>
  <mergeCells count="3">
    <mergeCell ref="A3:A4"/>
    <mergeCell ref="B3:C3"/>
    <mergeCell ref="D3:F3"/>
  </mergeCells>
  <pageMargins left="0.7" right="0.7" top="0.75" bottom="0.75" header="0.3" footer="0.3"/>
  <ignoredErrors>
    <ignoredError sqref="F9" formula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L152"/>
  <sheetViews>
    <sheetView topLeftCell="A69" zoomScale="98" zoomScaleNormal="98" zoomScalePageLayoutView="98" workbookViewId="0">
      <selection activeCell="B102" sqref="B102"/>
    </sheetView>
  </sheetViews>
  <sheetFormatPr baseColWidth="10" defaultColWidth="8.83203125" defaultRowHeight="14" x14ac:dyDescent="0"/>
  <cols>
    <col min="1" max="1" width="8.5" style="2" bestFit="1" customWidth="1"/>
    <col min="2" max="2" width="10.5" style="2" bestFit="1" customWidth="1"/>
    <col min="3" max="3" width="7.83203125" style="2" bestFit="1" customWidth="1"/>
    <col min="4" max="4" width="9.33203125" style="2" bestFit="1" customWidth="1"/>
    <col min="5" max="5" width="22.33203125" style="2" bestFit="1" customWidth="1"/>
    <col min="6" max="6" width="13.6640625" style="2" bestFit="1" customWidth="1"/>
    <col min="7" max="7" width="8.5" style="2" bestFit="1" customWidth="1"/>
    <col min="8" max="8" width="8.83203125" style="2"/>
    <col min="9" max="9" width="8.6640625" style="2" customWidth="1"/>
    <col min="10" max="10" width="8.83203125" style="2"/>
    <col min="11" max="11" width="12.33203125" style="2" bestFit="1" customWidth="1"/>
    <col min="12" max="13" width="8.83203125" style="2"/>
    <col min="14" max="14" width="7.6640625" style="2" customWidth="1"/>
    <col min="15" max="16384" width="8.83203125" style="2"/>
  </cols>
  <sheetData>
    <row r="1" spans="1:12">
      <c r="A1" s="8" t="s">
        <v>50</v>
      </c>
      <c r="B1" s="12">
        <v>70.099999999999994</v>
      </c>
      <c r="C1" s="9" t="s">
        <v>51</v>
      </c>
    </row>
    <row r="3" spans="1:12">
      <c r="A3" s="131" t="s">
        <v>5</v>
      </c>
      <c r="B3" s="131" t="s">
        <v>36</v>
      </c>
      <c r="C3" s="131"/>
      <c r="D3" s="131" t="s">
        <v>52</v>
      </c>
      <c r="E3" s="131"/>
      <c r="F3" s="131"/>
      <c r="G3" s="8" t="s">
        <v>53</v>
      </c>
    </row>
    <row r="4" spans="1:12">
      <c r="A4" s="131"/>
      <c r="B4" s="8" t="s">
        <v>54</v>
      </c>
      <c r="C4" s="8" t="s">
        <v>55</v>
      </c>
      <c r="D4" s="8" t="s">
        <v>56</v>
      </c>
      <c r="E4" s="8" t="s">
        <v>57</v>
      </c>
      <c r="F4" s="8" t="s">
        <v>58</v>
      </c>
      <c r="G4" s="8" t="s">
        <v>59</v>
      </c>
    </row>
    <row r="5" spans="1:12">
      <c r="A5" s="35">
        <v>0</v>
      </c>
      <c r="B5" s="77">
        <v>2728.39</v>
      </c>
      <c r="C5" s="36">
        <f>B5/1000</f>
        <v>2.7283900000000001</v>
      </c>
      <c r="D5" s="12">
        <f>C5/1000*$B$1</f>
        <v>0.191260139</v>
      </c>
      <c r="E5" s="12">
        <f>D5/22.4</f>
        <v>8.5383990625000003E-3</v>
      </c>
      <c r="F5" s="12">
        <f>E5/Calculation!K$4*1000</f>
        <v>5.2251851398335686E-3</v>
      </c>
      <c r="G5" s="12">
        <f>(0+F5)/2*30</f>
        <v>7.8377777097503529E-2</v>
      </c>
    </row>
    <row r="6" spans="1:12">
      <c r="A6" s="35">
        <v>0.5</v>
      </c>
      <c r="B6" s="77">
        <v>3276.93</v>
      </c>
      <c r="C6" s="36">
        <f t="shared" ref="C6:C69" si="0">B6/1000</f>
        <v>3.2769299999999997</v>
      </c>
      <c r="D6" s="12">
        <f>C6/1000*$B$1</f>
        <v>0.22971279299999994</v>
      </c>
      <c r="E6" s="12">
        <f t="shared" ref="E6:E69" si="1">D6/22.4</f>
        <v>1.0255035401785713E-2</v>
      </c>
      <c r="F6" s="12">
        <f>E6/Calculation!K$4*1000</f>
        <v>6.2757032316768544E-3</v>
      </c>
      <c r="G6" s="12">
        <f>G5+(F6+F5)/2*30</f>
        <v>0.2508911026701599</v>
      </c>
    </row>
    <row r="7" spans="1:12">
      <c r="A7" s="35">
        <v>1</v>
      </c>
      <c r="B7" s="77">
        <v>3739.08</v>
      </c>
      <c r="C7" s="36">
        <f t="shared" si="0"/>
        <v>3.73908</v>
      </c>
      <c r="D7" s="12">
        <f t="shared" ref="D7:D69" si="2">C7/1000*$B$1</f>
        <v>0.26210950799999999</v>
      </c>
      <c r="E7" s="12">
        <f t="shared" si="1"/>
        <v>1.1701317321428572E-2</v>
      </c>
      <c r="F7" s="12">
        <f>E7/Calculation!K$4*1000</f>
        <v>7.1607743953939493E-3</v>
      </c>
      <c r="G7" s="12">
        <f>G6+(F7+F6)/2*30</f>
        <v>0.45243826707622192</v>
      </c>
    </row>
    <row r="8" spans="1:12">
      <c r="A8" s="35">
        <v>1.5</v>
      </c>
      <c r="B8" s="77">
        <v>218.24</v>
      </c>
      <c r="C8" s="36">
        <f t="shared" si="0"/>
        <v>0.21824000000000002</v>
      </c>
      <c r="D8" s="12">
        <f t="shared" si="2"/>
        <v>1.5298624E-2</v>
      </c>
      <c r="E8" s="12">
        <f t="shared" si="1"/>
        <v>6.8297428571428582E-4</v>
      </c>
      <c r="F8" s="12">
        <f>E8/Calculation!K$4*1000</f>
        <v>4.1795505954694091E-4</v>
      </c>
      <c r="G8" s="12">
        <f t="shared" ref="G8:G70" si="3">G7+(F8+F7)/2*30</f>
        <v>0.56611920890033529</v>
      </c>
      <c r="K8" s="2">
        <f>0.001977/44.01</f>
        <v>4.492160872528971E-5</v>
      </c>
      <c r="L8" s="2">
        <f>1/K8</f>
        <v>22261.001517450681</v>
      </c>
    </row>
    <row r="9" spans="1:12">
      <c r="A9" s="35">
        <v>2</v>
      </c>
      <c r="B9" s="77">
        <v>4608.53</v>
      </c>
      <c r="C9" s="36">
        <f t="shared" si="0"/>
        <v>4.60853</v>
      </c>
      <c r="D9" s="12">
        <f t="shared" si="2"/>
        <v>0.32305795300000001</v>
      </c>
      <c r="E9" s="12">
        <f t="shared" si="1"/>
        <v>1.4422230044642858E-2</v>
      </c>
      <c r="F9" s="12">
        <f>E9/Calculation!K$5*1000</f>
        <v>9.0693449209824552E-3</v>
      </c>
      <c r="G9" s="12">
        <f t="shared" si="3"/>
        <v>0.70842870860827623</v>
      </c>
    </row>
    <row r="10" spans="1:12">
      <c r="A10" s="35">
        <v>2.5</v>
      </c>
      <c r="B10" s="77">
        <v>5339.76</v>
      </c>
      <c r="C10" s="36">
        <f t="shared" si="0"/>
        <v>5.3397600000000001</v>
      </c>
      <c r="D10" s="12">
        <f t="shared" si="2"/>
        <v>0.37431717599999997</v>
      </c>
      <c r="E10" s="12">
        <f t="shared" si="1"/>
        <v>1.6710588214285713E-2</v>
      </c>
      <c r="F10" s="12">
        <f>E10/Calculation!K$5*1000</f>
        <v>1.0508367144244536E-2</v>
      </c>
      <c r="G10" s="12">
        <f t="shared" si="3"/>
        <v>1.0020943895866812</v>
      </c>
    </row>
    <row r="11" spans="1:12">
      <c r="A11" s="35">
        <v>3</v>
      </c>
      <c r="B11" s="77">
        <v>6200.6</v>
      </c>
      <c r="C11" s="36">
        <f t="shared" si="0"/>
        <v>6.2006000000000006</v>
      </c>
      <c r="D11" s="12">
        <f t="shared" si="2"/>
        <v>0.43466206000000002</v>
      </c>
      <c r="E11" s="12">
        <f t="shared" si="1"/>
        <v>1.9404556250000003E-2</v>
      </c>
      <c r="F11" s="12">
        <f>E11/Calculation!K$5*1000</f>
        <v>1.2202455038167012E-2</v>
      </c>
      <c r="G11" s="12">
        <f t="shared" si="3"/>
        <v>1.3427567223228545</v>
      </c>
    </row>
    <row r="12" spans="1:12">
      <c r="A12" s="35">
        <v>3.5</v>
      </c>
      <c r="B12" s="77">
        <v>7659.89</v>
      </c>
      <c r="C12" s="36">
        <f t="shared" si="0"/>
        <v>7.6598900000000008</v>
      </c>
      <c r="D12" s="12">
        <f t="shared" si="2"/>
        <v>0.53695828899999998</v>
      </c>
      <c r="E12" s="12">
        <f t="shared" si="1"/>
        <v>2.3971352187499999E-2</v>
      </c>
      <c r="F12" s="12">
        <f>E12/Calculation!K$6*1000</f>
        <v>1.5531351588839084E-2</v>
      </c>
      <c r="G12" s="12">
        <f t="shared" si="3"/>
        <v>1.758763821727946</v>
      </c>
    </row>
    <row r="13" spans="1:12">
      <c r="A13" s="35">
        <v>4</v>
      </c>
      <c r="B13" s="77">
        <v>9810.39</v>
      </c>
      <c r="C13" s="36">
        <f t="shared" si="0"/>
        <v>9.8103899999999999</v>
      </c>
      <c r="D13" s="12">
        <f t="shared" si="2"/>
        <v>0.68770833899999995</v>
      </c>
      <c r="E13" s="12">
        <f t="shared" si="1"/>
        <v>3.0701265133928572E-2</v>
      </c>
      <c r="F13" s="12">
        <f>E13/Calculation!K$6*1000</f>
        <v>1.9891749922470305E-2</v>
      </c>
      <c r="G13" s="12">
        <f t="shared" si="3"/>
        <v>2.2901103443975868</v>
      </c>
    </row>
    <row r="14" spans="1:12">
      <c r="A14" s="35">
        <v>4.5</v>
      </c>
      <c r="B14" s="77">
        <v>12711.59</v>
      </c>
      <c r="C14" s="36">
        <f t="shared" si="0"/>
        <v>12.711589999999999</v>
      </c>
      <c r="D14" s="12">
        <f t="shared" si="2"/>
        <v>0.89108245899999994</v>
      </c>
      <c r="E14" s="12">
        <f t="shared" si="1"/>
        <v>3.9780466919642855E-2</v>
      </c>
      <c r="F14" s="12">
        <f>E14/Calculation!K$6*1000</f>
        <v>2.5774283121973166E-2</v>
      </c>
      <c r="G14" s="12">
        <f t="shared" si="3"/>
        <v>2.9751008400642389</v>
      </c>
    </row>
    <row r="15" spans="1:12">
      <c r="A15" s="35">
        <v>5</v>
      </c>
      <c r="B15" s="77">
        <v>15235.76</v>
      </c>
      <c r="C15" s="36">
        <f t="shared" si="0"/>
        <v>15.235760000000001</v>
      </c>
      <c r="D15" s="12">
        <f t="shared" si="2"/>
        <v>1.068026776</v>
      </c>
      <c r="E15" s="12">
        <f t="shared" si="1"/>
        <v>4.7679766785714284E-2</v>
      </c>
      <c r="F15" s="12">
        <f>E15/Calculation!K$7*1000</f>
        <v>3.1834057366031239E-2</v>
      </c>
      <c r="G15" s="12">
        <f t="shared" si="3"/>
        <v>3.8392259473843051</v>
      </c>
    </row>
    <row r="16" spans="1:12">
      <c r="A16" s="35">
        <v>5.5</v>
      </c>
      <c r="B16" s="77">
        <v>18066.330000000002</v>
      </c>
      <c r="C16" s="36">
        <f t="shared" si="0"/>
        <v>18.066330000000001</v>
      </c>
      <c r="D16" s="12">
        <f t="shared" si="2"/>
        <v>1.266449733</v>
      </c>
      <c r="E16" s="12">
        <f t="shared" si="1"/>
        <v>5.6537934508928571E-2</v>
      </c>
      <c r="F16" s="12">
        <f>E16/Calculation!K$7*1000</f>
        <v>3.7748335863366914E-2</v>
      </c>
      <c r="G16" s="12">
        <f t="shared" si="3"/>
        <v>4.8829618458252773</v>
      </c>
    </row>
    <row r="17" spans="1:7">
      <c r="A17" s="35">
        <v>6</v>
      </c>
      <c r="B17" s="77">
        <v>21117.85</v>
      </c>
      <c r="C17" s="36">
        <f t="shared" si="0"/>
        <v>21.117849999999997</v>
      </c>
      <c r="D17" s="12">
        <f t="shared" si="2"/>
        <v>1.4803612849999996</v>
      </c>
      <c r="E17" s="12">
        <f t="shared" si="1"/>
        <v>6.6087557366071414E-2</v>
      </c>
      <c r="F17" s="12">
        <f>E17/Calculation!K$8*1000</f>
        <v>4.5504094907622153E-2</v>
      </c>
      <c r="G17" s="12">
        <f t="shared" si="3"/>
        <v>6.1317483073901133</v>
      </c>
    </row>
    <row r="18" spans="1:7">
      <c r="A18" s="35">
        <v>6.5</v>
      </c>
      <c r="B18" s="77">
        <v>24743.74</v>
      </c>
      <c r="C18" s="36">
        <f t="shared" si="0"/>
        <v>24.743740000000003</v>
      </c>
      <c r="D18" s="12">
        <f t="shared" si="2"/>
        <v>1.734536174</v>
      </c>
      <c r="E18" s="12">
        <f t="shared" si="1"/>
        <v>7.7434650625000004E-2</v>
      </c>
      <c r="F18" s="12">
        <f>E18/Calculation!K$8*1000</f>
        <v>5.3317051372631534E-2</v>
      </c>
      <c r="G18" s="12">
        <f t="shared" si="3"/>
        <v>7.6140655015939185</v>
      </c>
    </row>
    <row r="19" spans="1:7">
      <c r="A19" s="35">
        <v>7</v>
      </c>
      <c r="B19" s="77">
        <v>28385.1</v>
      </c>
      <c r="C19" s="36">
        <f t="shared" si="0"/>
        <v>28.385099999999998</v>
      </c>
      <c r="D19" s="12">
        <f t="shared" si="2"/>
        <v>1.9897955099999995</v>
      </c>
      <c r="E19" s="12">
        <f t="shared" si="1"/>
        <v>8.8830156696428561E-2</v>
      </c>
      <c r="F19" s="12">
        <f>E19/Calculation!K$8*1000</f>
        <v>6.1163342118745301E-2</v>
      </c>
      <c r="G19" s="12">
        <f t="shared" si="3"/>
        <v>9.3312714039645712</v>
      </c>
    </row>
    <row r="20" spans="1:7">
      <c r="A20" s="35">
        <v>7.5</v>
      </c>
      <c r="B20" s="77">
        <v>30817.93</v>
      </c>
      <c r="C20" s="36">
        <f t="shared" si="0"/>
        <v>30.81793</v>
      </c>
      <c r="D20" s="12">
        <f t="shared" si="2"/>
        <v>2.1603368929999998</v>
      </c>
      <c r="E20" s="12">
        <f t="shared" si="1"/>
        <v>9.644361129464285E-2</v>
      </c>
      <c r="F20" s="12">
        <f>E20/Calculation!K$9*1000</f>
        <v>6.8341013378443616E-2</v>
      </c>
      <c r="G20" s="12">
        <f t="shared" si="3"/>
        <v>11.273836736422405</v>
      </c>
    </row>
    <row r="21" spans="1:7">
      <c r="A21" s="35">
        <v>8</v>
      </c>
      <c r="B21" s="77">
        <v>33359.800000000003</v>
      </c>
      <c r="C21" s="36">
        <f t="shared" si="0"/>
        <v>33.3598</v>
      </c>
      <c r="D21" s="12">
        <f t="shared" si="2"/>
        <v>2.3385219799999999</v>
      </c>
      <c r="E21" s="12">
        <f t="shared" si="1"/>
        <v>0.10439830267857143</v>
      </c>
      <c r="F21" s="12">
        <f>E21/Calculation!K$9*1000</f>
        <v>7.3977795981177319E-2</v>
      </c>
      <c r="G21" s="12">
        <f t="shared" si="3"/>
        <v>13.408618876816719</v>
      </c>
    </row>
    <row r="22" spans="1:7">
      <c r="A22" s="35">
        <v>8.5</v>
      </c>
      <c r="B22" s="77">
        <v>34850.97</v>
      </c>
      <c r="C22" s="36">
        <f t="shared" si="0"/>
        <v>34.850970000000004</v>
      </c>
      <c r="D22" s="12">
        <f t="shared" si="2"/>
        <v>2.4430529970000001</v>
      </c>
      <c r="E22" s="12">
        <f t="shared" si="1"/>
        <v>0.10906486593750001</v>
      </c>
      <c r="F22" s="12">
        <f>E22/Calculation!K$9*1000</f>
        <v>7.7284574500030914E-2</v>
      </c>
      <c r="G22" s="12">
        <f t="shared" si="3"/>
        <v>15.677554434034843</v>
      </c>
    </row>
    <row r="23" spans="1:7">
      <c r="A23" s="35">
        <v>9</v>
      </c>
      <c r="B23" s="77">
        <v>36019.64</v>
      </c>
      <c r="C23" s="36">
        <f t="shared" si="0"/>
        <v>36.019640000000003</v>
      </c>
      <c r="D23" s="12">
        <f t="shared" si="2"/>
        <v>2.5249767640000003</v>
      </c>
      <c r="E23" s="12">
        <f t="shared" si="1"/>
        <v>0.11272217696428573</v>
      </c>
      <c r="F23" s="12">
        <f>E23/Calculation!K$10*1000</f>
        <v>8.242001325523525E-2</v>
      </c>
      <c r="G23" s="12">
        <f t="shared" si="3"/>
        <v>18.073123250363835</v>
      </c>
    </row>
    <row r="24" spans="1:7">
      <c r="A24" s="35">
        <v>9.5</v>
      </c>
      <c r="B24" s="77">
        <v>36481.46</v>
      </c>
      <c r="C24" s="36">
        <f t="shared" si="0"/>
        <v>36.481459999999998</v>
      </c>
      <c r="D24" s="12">
        <f t="shared" si="2"/>
        <v>2.5573503459999998</v>
      </c>
      <c r="E24" s="12">
        <f t="shared" si="1"/>
        <v>0.11416742616071428</v>
      </c>
      <c r="F24" s="12">
        <f>E24/Calculation!K$10*1000</f>
        <v>8.3476748151017993E-2</v>
      </c>
      <c r="G24" s="12">
        <f t="shared" si="3"/>
        <v>20.561574671457635</v>
      </c>
    </row>
    <row r="25" spans="1:7">
      <c r="A25" s="35">
        <v>10</v>
      </c>
      <c r="B25" s="77">
        <v>40400.36</v>
      </c>
      <c r="C25" s="36">
        <f t="shared" si="0"/>
        <v>40.400359999999999</v>
      </c>
      <c r="D25" s="12">
        <f t="shared" si="2"/>
        <v>2.8320652359999996</v>
      </c>
      <c r="E25" s="12">
        <f t="shared" si="1"/>
        <v>0.12643148374999999</v>
      </c>
      <c r="F25" s="12">
        <f>E25/Calculation!K$11*1000</f>
        <v>9.5647795352665793E-2</v>
      </c>
      <c r="G25" s="12">
        <f t="shared" si="3"/>
        <v>23.248442824012891</v>
      </c>
    </row>
    <row r="26" spans="1:7">
      <c r="A26" s="35">
        <v>10.5</v>
      </c>
      <c r="B26" s="77">
        <v>42438.48</v>
      </c>
      <c r="C26" s="36">
        <f t="shared" si="0"/>
        <v>42.438480000000006</v>
      </c>
      <c r="D26" s="12">
        <f t="shared" si="2"/>
        <v>2.9749374480000004</v>
      </c>
      <c r="E26" s="12">
        <f t="shared" si="1"/>
        <v>0.13280970750000001</v>
      </c>
      <c r="F26" s="12">
        <f>E26/Calculation!K$11*1000</f>
        <v>0.10047304157978297</v>
      </c>
      <c r="G26" s="12">
        <f t="shared" si="3"/>
        <v>26.190255377999623</v>
      </c>
    </row>
    <row r="27" spans="1:7">
      <c r="A27" s="35">
        <v>11</v>
      </c>
      <c r="B27" s="77">
        <v>41164.44</v>
      </c>
      <c r="C27" s="36">
        <f t="shared" si="0"/>
        <v>41.164439999999999</v>
      </c>
      <c r="D27" s="12">
        <f t="shared" si="2"/>
        <v>2.8856272439999997</v>
      </c>
      <c r="E27" s="12">
        <f t="shared" si="1"/>
        <v>0.12882264482142858</v>
      </c>
      <c r="F27" s="12">
        <f>E27/Calculation!K$11*1000</f>
        <v>9.7456753675637803E-2</v>
      </c>
      <c r="G27" s="12">
        <f t="shared" si="3"/>
        <v>29.159202306830935</v>
      </c>
    </row>
    <row r="28" spans="1:7">
      <c r="A28" s="35">
        <v>11.5</v>
      </c>
      <c r="B28" s="77">
        <v>35348.18</v>
      </c>
      <c r="C28" s="36">
        <f t="shared" si="0"/>
        <v>35.348179999999999</v>
      </c>
      <c r="D28" s="12">
        <f t="shared" si="2"/>
        <v>2.4779074179999996</v>
      </c>
      <c r="E28" s="12">
        <f t="shared" si="1"/>
        <v>0.11062086687499999</v>
      </c>
      <c r="F28" s="12">
        <f>E28/Calculation!K$12*1000</f>
        <v>8.6657894122580487E-2</v>
      </c>
      <c r="G28" s="12">
        <f t="shared" si="3"/>
        <v>31.920922023804209</v>
      </c>
    </row>
    <row r="29" spans="1:7">
      <c r="A29" s="35">
        <v>12</v>
      </c>
      <c r="B29" s="77">
        <v>32392.95</v>
      </c>
      <c r="C29" s="36">
        <f t="shared" si="0"/>
        <v>32.392949999999999</v>
      </c>
      <c r="D29" s="12">
        <f t="shared" si="2"/>
        <v>2.2707457949999994</v>
      </c>
      <c r="E29" s="12">
        <f t="shared" si="1"/>
        <v>0.10137258013392855</v>
      </c>
      <c r="F29" s="12">
        <f>E29/Calculation!K$12*1000</f>
        <v>7.9412994711977908E-2</v>
      </c>
      <c r="G29" s="12">
        <f t="shared" si="3"/>
        <v>34.411985356322589</v>
      </c>
    </row>
    <row r="30" spans="1:7">
      <c r="A30" s="35">
        <v>12.5</v>
      </c>
      <c r="B30" s="77">
        <v>29742.04</v>
      </c>
      <c r="C30" s="36">
        <f t="shared" si="0"/>
        <v>29.742039999999999</v>
      </c>
      <c r="D30" s="12">
        <f t="shared" si="2"/>
        <v>2.0849170039999998</v>
      </c>
      <c r="E30" s="12">
        <f t="shared" si="1"/>
        <v>9.3076651964285717E-2</v>
      </c>
      <c r="F30" s="12">
        <f>E30/Calculation!K$12*1000</f>
        <v>7.291415154357464E-2</v>
      </c>
      <c r="G30" s="12">
        <f t="shared" si="3"/>
        <v>36.69689255015588</v>
      </c>
    </row>
    <row r="31" spans="1:7">
      <c r="A31" s="35">
        <v>13</v>
      </c>
      <c r="B31" s="77">
        <v>27264.89</v>
      </c>
      <c r="C31" s="36">
        <f t="shared" si="0"/>
        <v>27.264890000000001</v>
      </c>
      <c r="D31" s="12">
        <f t="shared" si="2"/>
        <v>1.9112687889999997</v>
      </c>
      <c r="E31" s="12">
        <f t="shared" si="1"/>
        <v>8.5324499508928564E-2</v>
      </c>
      <c r="F31" s="12">
        <f>E31/Calculation!K$13*1000</f>
        <v>6.9086340977376259E-2</v>
      </c>
      <c r="G31" s="12">
        <f t="shared" si="3"/>
        <v>38.82689993797014</v>
      </c>
    </row>
    <row r="32" spans="1:7">
      <c r="A32" s="35">
        <v>13.5</v>
      </c>
      <c r="B32" s="77">
        <v>24585.759999999998</v>
      </c>
      <c r="C32" s="36">
        <f t="shared" si="0"/>
        <v>24.585759999999997</v>
      </c>
      <c r="D32" s="12">
        <f t="shared" si="2"/>
        <v>1.7234617759999997</v>
      </c>
      <c r="E32" s="12">
        <f t="shared" si="1"/>
        <v>7.6940257857142855E-2</v>
      </c>
      <c r="F32" s="12">
        <f>E32/Calculation!K$13*1000</f>
        <v>6.2297709565229793E-2</v>
      </c>
      <c r="G32" s="12">
        <f t="shared" si="3"/>
        <v>40.797660696109233</v>
      </c>
    </row>
    <row r="33" spans="1:7">
      <c r="A33" s="35">
        <v>14</v>
      </c>
      <c r="B33" s="77">
        <v>22451.360000000001</v>
      </c>
      <c r="C33" s="36">
        <f t="shared" si="0"/>
        <v>22.451360000000001</v>
      </c>
      <c r="D33" s="12">
        <f t="shared" si="2"/>
        <v>1.573840336</v>
      </c>
      <c r="E33" s="12">
        <f t="shared" si="1"/>
        <v>7.0260729285714293E-2</v>
      </c>
      <c r="F33" s="12">
        <f>E33/Calculation!K$14*1000</f>
        <v>5.9190204988612174E-2</v>
      </c>
      <c r="G33" s="12">
        <f t="shared" si="3"/>
        <v>42.619979414416861</v>
      </c>
    </row>
    <row r="34" spans="1:7">
      <c r="A34" s="35">
        <v>14.5</v>
      </c>
      <c r="B34" s="77">
        <v>19946.47</v>
      </c>
      <c r="C34" s="36">
        <f t="shared" si="0"/>
        <v>19.946470000000001</v>
      </c>
      <c r="D34" s="12">
        <f t="shared" si="2"/>
        <v>1.398247547</v>
      </c>
      <c r="E34" s="12">
        <f t="shared" si="1"/>
        <v>6.2421765491071431E-2</v>
      </c>
      <c r="F34" s="12">
        <f>E34/Calculation!K$14*1000</f>
        <v>5.2586375529108394E-2</v>
      </c>
      <c r="G34" s="12">
        <f t="shared" si="3"/>
        <v>44.296628122182668</v>
      </c>
    </row>
    <row r="35" spans="1:7">
      <c r="A35" s="35">
        <v>15</v>
      </c>
      <c r="B35" s="77">
        <v>17662.689999999999</v>
      </c>
      <c r="C35" s="36">
        <f t="shared" si="0"/>
        <v>17.662689999999998</v>
      </c>
      <c r="D35" s="12">
        <f t="shared" si="2"/>
        <v>1.2381545689999998</v>
      </c>
      <c r="E35" s="12">
        <f t="shared" si="1"/>
        <v>5.5274757544642852E-2</v>
      </c>
      <c r="F35" s="12">
        <f>E35/Calculation!K$14*1000</f>
        <v>4.656547495342421E-2</v>
      </c>
      <c r="G35" s="12">
        <f t="shared" si="3"/>
        <v>45.783905879420658</v>
      </c>
    </row>
    <row r="36" spans="1:7">
      <c r="A36" s="35">
        <v>15.5</v>
      </c>
      <c r="B36" s="77">
        <v>15637.01</v>
      </c>
      <c r="C36" s="36">
        <f t="shared" si="0"/>
        <v>15.63701</v>
      </c>
      <c r="D36" s="12">
        <f t="shared" si="2"/>
        <v>1.0961544009999999</v>
      </c>
      <c r="E36" s="12">
        <f t="shared" si="1"/>
        <v>4.8935464330357142E-2</v>
      </c>
      <c r="F36" s="12">
        <f>E36/Calculation!K$15*1000</f>
        <v>4.310198987057777E-2</v>
      </c>
      <c r="G36" s="12">
        <f t="shared" si="3"/>
        <v>47.128917851780685</v>
      </c>
    </row>
    <row r="37" spans="1:7">
      <c r="A37" s="35">
        <v>16</v>
      </c>
      <c r="B37" s="77">
        <v>13356.58</v>
      </c>
      <c r="C37" s="36">
        <f t="shared" si="0"/>
        <v>13.356579999999999</v>
      </c>
      <c r="D37" s="12">
        <f t="shared" si="2"/>
        <v>0.93629625799999994</v>
      </c>
      <c r="E37" s="12">
        <f t="shared" si="1"/>
        <v>4.1798940089285717E-2</v>
      </c>
      <c r="F37" s="12">
        <f>E37/Calculation!K$15*1000</f>
        <v>3.6816192856918409E-2</v>
      </c>
      <c r="G37" s="12">
        <f t="shared" si="3"/>
        <v>48.327690592693131</v>
      </c>
    </row>
    <row r="38" spans="1:7">
      <c r="A38" s="35">
        <v>16.5</v>
      </c>
      <c r="B38" s="77">
        <v>11885.18</v>
      </c>
      <c r="C38" s="36">
        <f t="shared" si="0"/>
        <v>11.88518</v>
      </c>
      <c r="D38" s="12">
        <f t="shared" si="2"/>
        <v>0.83315111799999997</v>
      </c>
      <c r="E38" s="12">
        <f t="shared" si="1"/>
        <v>3.7194246339285718E-2</v>
      </c>
      <c r="F38" s="12">
        <f>E38/Calculation!K$15*1000</f>
        <v>3.2760413146118959E-2</v>
      </c>
      <c r="G38" s="12">
        <f t="shared" si="3"/>
        <v>49.371339682738693</v>
      </c>
    </row>
    <row r="39" spans="1:7">
      <c r="A39" s="35">
        <v>17</v>
      </c>
      <c r="B39" s="77">
        <v>10112.959999999999</v>
      </c>
      <c r="C39" s="36">
        <f t="shared" si="0"/>
        <v>10.112959999999999</v>
      </c>
      <c r="D39" s="12">
        <f t="shared" si="2"/>
        <v>0.7089184959999999</v>
      </c>
      <c r="E39" s="12">
        <f t="shared" si="1"/>
        <v>3.1648147142857137E-2</v>
      </c>
      <c r="F39" s="12">
        <f>E39/Calculation!K$16*1000</f>
        <v>2.8953109752411523E-2</v>
      </c>
      <c r="G39" s="12">
        <f>G38+(F39+F38)/2*30</f>
        <v>50.29704252621665</v>
      </c>
    </row>
    <row r="40" spans="1:7">
      <c r="A40" s="35">
        <v>17.5</v>
      </c>
      <c r="B40" s="77">
        <v>229.24</v>
      </c>
      <c r="C40" s="36">
        <f t="shared" si="0"/>
        <v>0.22924</v>
      </c>
      <c r="D40" s="12">
        <f t="shared" si="2"/>
        <v>1.6069723999999997E-2</v>
      </c>
      <c r="E40" s="12">
        <f t="shared" si="1"/>
        <v>7.1739839285714282E-4</v>
      </c>
      <c r="F40" s="12">
        <f>E40/Calculation!K$16*1000</f>
        <v>6.5630743913184847E-4</v>
      </c>
      <c r="G40" s="12">
        <f t="shared" si="3"/>
        <v>50.741183784089799</v>
      </c>
    </row>
    <row r="41" spans="1:7">
      <c r="A41" s="35">
        <v>18</v>
      </c>
      <c r="B41" s="77">
        <v>7184.35</v>
      </c>
      <c r="C41" s="36">
        <f t="shared" si="0"/>
        <v>7.1843500000000002</v>
      </c>
      <c r="D41" s="12">
        <f t="shared" si="2"/>
        <v>0.50362293499999999</v>
      </c>
      <c r="E41" s="12">
        <f t="shared" si="1"/>
        <v>2.2483166741071429E-2</v>
      </c>
      <c r="F41" s="12">
        <f>E41/Calculation!K$17*1000</f>
        <v>2.1434048844051222E-2</v>
      </c>
      <c r="G41" s="12">
        <f t="shared" si="3"/>
        <v>51.072539128337546</v>
      </c>
    </row>
    <row r="42" spans="1:7">
      <c r="A42" s="35">
        <v>18.5</v>
      </c>
      <c r="B42" s="77">
        <v>6091.88</v>
      </c>
      <c r="C42" s="36">
        <f t="shared" si="0"/>
        <v>6.0918799999999997</v>
      </c>
      <c r="D42" s="12">
        <f t="shared" si="2"/>
        <v>0.42704078799999995</v>
      </c>
      <c r="E42" s="12">
        <f t="shared" si="1"/>
        <v>1.9064320892857142E-2</v>
      </c>
      <c r="F42" s="12">
        <f>E42/Calculation!K$17*1000</f>
        <v>1.8174734453652554E-2</v>
      </c>
      <c r="G42" s="12">
        <f t="shared" si="3"/>
        <v>51.666670877803099</v>
      </c>
    </row>
    <row r="43" spans="1:7">
      <c r="A43" s="35">
        <v>19</v>
      </c>
      <c r="B43" s="77">
        <v>5189.75</v>
      </c>
      <c r="C43" s="36">
        <f t="shared" si="0"/>
        <v>5.1897500000000001</v>
      </c>
      <c r="D43" s="12">
        <f t="shared" si="2"/>
        <v>0.36380147499999999</v>
      </c>
      <c r="E43" s="12">
        <f t="shared" si="1"/>
        <v>1.6241137276785715E-2</v>
      </c>
      <c r="F43" s="12">
        <f>E43/Calculation!K$17*1000</f>
        <v>1.548328728255372E-2</v>
      </c>
      <c r="G43" s="12">
        <f t="shared" si="3"/>
        <v>52.171541203846196</v>
      </c>
    </row>
    <row r="44" spans="1:7">
      <c r="A44" s="35">
        <v>19.5</v>
      </c>
      <c r="B44" s="77">
        <v>4314.72</v>
      </c>
      <c r="C44" s="36">
        <f t="shared" si="0"/>
        <v>4.3147200000000003</v>
      </c>
      <c r="D44" s="12">
        <f t="shared" si="2"/>
        <v>0.30246187199999996</v>
      </c>
      <c r="E44" s="12">
        <f t="shared" si="1"/>
        <v>1.3502762142857143E-2</v>
      </c>
      <c r="F44" s="12">
        <f>E44/Calculation!K$17*1000</f>
        <v>1.2872691228629546E-2</v>
      </c>
      <c r="G44" s="12">
        <f t="shared" si="3"/>
        <v>52.596880881513947</v>
      </c>
    </row>
    <row r="45" spans="1:7">
      <c r="A45" s="35">
        <v>20</v>
      </c>
      <c r="B45" s="77">
        <v>3613.3</v>
      </c>
      <c r="C45" s="36">
        <f t="shared" si="0"/>
        <v>3.6133000000000002</v>
      </c>
      <c r="D45" s="12">
        <f t="shared" si="2"/>
        <v>0.25329233000000001</v>
      </c>
      <c r="E45" s="12">
        <f t="shared" si="1"/>
        <v>1.1307693303571429E-2</v>
      </c>
      <c r="F45" s="12">
        <f>E45/Calculation!K$17*1000</f>
        <v>1.0780049508753092E-2</v>
      </c>
      <c r="G45" s="12">
        <f t="shared" si="3"/>
        <v>52.951671992574688</v>
      </c>
    </row>
    <row r="46" spans="1:7">
      <c r="A46" s="35">
        <v>20.5</v>
      </c>
      <c r="B46" s="77">
        <v>3082.29</v>
      </c>
      <c r="C46" s="36">
        <f t="shared" si="0"/>
        <v>3.08229</v>
      </c>
      <c r="D46" s="12">
        <f t="shared" si="2"/>
        <v>0.21606852899999998</v>
      </c>
      <c r="E46" s="12">
        <f t="shared" si="1"/>
        <v>9.6459164732142846E-3</v>
      </c>
      <c r="F46" s="12">
        <f>E46/Calculation!K$17*1000</f>
        <v>9.1958151275384169E-3</v>
      </c>
      <c r="G46" s="12">
        <f t="shared" si="3"/>
        <v>53.251309962119059</v>
      </c>
    </row>
    <row r="47" spans="1:7">
      <c r="A47" s="35">
        <v>21</v>
      </c>
      <c r="B47" s="77">
        <v>2602.13</v>
      </c>
      <c r="C47" s="36">
        <f t="shared" si="0"/>
        <v>2.6021300000000003</v>
      </c>
      <c r="D47" s="12">
        <f t="shared" si="2"/>
        <v>0.18240931299999999</v>
      </c>
      <c r="E47" s="12">
        <f t="shared" si="1"/>
        <v>8.1432729017857138E-3</v>
      </c>
      <c r="F47" s="12">
        <f>E47/Calculation!K$17*1000</f>
        <v>7.7632884698784167E-3</v>
      </c>
      <c r="G47" s="12">
        <f t="shared" si="3"/>
        <v>53.505696516080313</v>
      </c>
    </row>
    <row r="48" spans="1:7">
      <c r="A48" s="35">
        <v>21.5</v>
      </c>
      <c r="B48" s="77">
        <v>2204.23</v>
      </c>
      <c r="C48" s="36">
        <f t="shared" si="0"/>
        <v>2.2042299999999999</v>
      </c>
      <c r="D48" s="12">
        <f t="shared" si="2"/>
        <v>0.15451652299999996</v>
      </c>
      <c r="E48" s="12">
        <f t="shared" si="1"/>
        <v>6.8980590624999989E-3</v>
      </c>
      <c r="F48" s="12">
        <f>E48/Calculation!K$17*1000</f>
        <v>6.5761792623581835E-3</v>
      </c>
      <c r="G48" s="12">
        <f t="shared" si="3"/>
        <v>53.720788532063864</v>
      </c>
    </row>
    <row r="49" spans="1:7">
      <c r="A49" s="35">
        <v>22</v>
      </c>
      <c r="B49" s="77">
        <v>1899.75</v>
      </c>
      <c r="C49" s="36">
        <f t="shared" si="0"/>
        <v>1.89975</v>
      </c>
      <c r="D49" s="12">
        <f t="shared" si="2"/>
        <v>0.13317247499999998</v>
      </c>
      <c r="E49" s="12">
        <f t="shared" si="1"/>
        <v>5.9451997767857138E-3</v>
      </c>
      <c r="F49" s="12">
        <f>E49/Calculation!K$17*1000</f>
        <v>5.6677826513861799E-3</v>
      </c>
      <c r="G49" s="12">
        <f t="shared" si="3"/>
        <v>53.904447960770028</v>
      </c>
    </row>
    <row r="50" spans="1:7">
      <c r="A50" s="35">
        <v>22.5</v>
      </c>
      <c r="B50" s="77">
        <v>1666.36</v>
      </c>
      <c r="C50" s="36">
        <f t="shared" si="0"/>
        <v>1.6663599999999998</v>
      </c>
      <c r="D50" s="12">
        <f t="shared" si="2"/>
        <v>0.11681183599999997</v>
      </c>
      <c r="E50" s="12">
        <f t="shared" si="1"/>
        <v>5.2148141071428561E-3</v>
      </c>
      <c r="F50" s="12">
        <f>E50/Calculation!K$17*1000</f>
        <v>4.9714785097849049E-3</v>
      </c>
      <c r="G50" s="12">
        <f t="shared" si="3"/>
        <v>54.064036878187594</v>
      </c>
    </row>
    <row r="51" spans="1:7">
      <c r="A51" s="35">
        <v>23</v>
      </c>
      <c r="B51" s="77">
        <v>1485.27</v>
      </c>
      <c r="C51" s="36">
        <f t="shared" si="0"/>
        <v>1.4852700000000001</v>
      </c>
      <c r="D51" s="12">
        <f t="shared" si="2"/>
        <v>0.104117427</v>
      </c>
      <c r="E51" s="12">
        <f t="shared" si="1"/>
        <v>4.6480994196428571E-3</v>
      </c>
      <c r="F51" s="12">
        <f>E51/Calculation!K$17*1000</f>
        <v>4.431208074022557E-3</v>
      </c>
      <c r="G51" s="12">
        <f t="shared" si="3"/>
        <v>54.205077176944705</v>
      </c>
    </row>
    <row r="52" spans="1:7">
      <c r="A52" s="35">
        <v>23.5</v>
      </c>
      <c r="B52" s="77">
        <v>1333.67</v>
      </c>
      <c r="C52" s="36">
        <f t="shared" si="0"/>
        <v>1.3336700000000001</v>
      </c>
      <c r="D52" s="12">
        <f t="shared" si="2"/>
        <v>9.3490267000000002E-2</v>
      </c>
      <c r="E52" s="12">
        <f t="shared" si="1"/>
        <v>4.1736726339285718E-3</v>
      </c>
      <c r="F52" s="12">
        <f>E52/Calculation!K$17*1000</f>
        <v>3.9789191676137432E-3</v>
      </c>
      <c r="G52" s="12">
        <f t="shared" si="3"/>
        <v>54.331229085569248</v>
      </c>
    </row>
    <row r="53" spans="1:7">
      <c r="A53" s="35">
        <v>24</v>
      </c>
      <c r="B53" s="77">
        <v>1216.81</v>
      </c>
      <c r="C53" s="36">
        <f t="shared" si="0"/>
        <v>1.2168099999999999</v>
      </c>
      <c r="D53" s="12">
        <f t="shared" si="2"/>
        <v>8.5298380999999993E-2</v>
      </c>
      <c r="E53" s="12">
        <f t="shared" si="1"/>
        <v>3.8079634374999999E-3</v>
      </c>
      <c r="F53" s="12">
        <f>E53/Calculation!K$18*1000</f>
        <v>3.8109363941665848E-3</v>
      </c>
      <c r="G53" s="12">
        <f t="shared" si="3"/>
        <v>54.448076918995952</v>
      </c>
    </row>
    <row r="54" spans="1:7">
      <c r="A54" s="35">
        <v>24.5</v>
      </c>
      <c r="B54" s="77">
        <v>1120.05</v>
      </c>
      <c r="C54" s="36">
        <f t="shared" si="0"/>
        <v>1.12005</v>
      </c>
      <c r="D54" s="12">
        <f t="shared" si="2"/>
        <v>7.8515504999999999E-2</v>
      </c>
      <c r="E54" s="12">
        <f t="shared" si="1"/>
        <v>3.5051564732142861E-3</v>
      </c>
      <c r="F54" s="12">
        <f>E54/Calculation!K$18*1000</f>
        <v>3.5078930221532404E-3</v>
      </c>
      <c r="G54" s="12">
        <f t="shared" si="3"/>
        <v>54.557859360240748</v>
      </c>
    </row>
    <row r="55" spans="1:7">
      <c r="A55" s="35">
        <v>25</v>
      </c>
      <c r="B55" s="77">
        <v>1051.6600000000001</v>
      </c>
      <c r="C55" s="36">
        <f t="shared" si="0"/>
        <v>1.05166</v>
      </c>
      <c r="D55" s="12">
        <f t="shared" si="2"/>
        <v>7.3721365999999997E-2</v>
      </c>
      <c r="E55" s="12">
        <f t="shared" si="1"/>
        <v>3.2911324107142859E-3</v>
      </c>
      <c r="F55" s="12">
        <f>E55/Calculation!K$18*1000</f>
        <v>3.2937018665931666E-3</v>
      </c>
      <c r="G55" s="12">
        <f t="shared" si="3"/>
        <v>54.659883283571943</v>
      </c>
    </row>
    <row r="56" spans="1:7">
      <c r="A56" s="35">
        <v>25.5</v>
      </c>
      <c r="B56" s="77">
        <v>994.59</v>
      </c>
      <c r="C56" s="36">
        <f t="shared" si="0"/>
        <v>0.99459000000000009</v>
      </c>
      <c r="D56" s="12">
        <f t="shared" si="2"/>
        <v>6.9720758999999993E-2</v>
      </c>
      <c r="E56" s="12">
        <f t="shared" si="1"/>
        <v>3.1125338839285712E-3</v>
      </c>
      <c r="F56" s="12">
        <f>E56/Calculation!K$18*1000</f>
        <v>3.1149639042037324E-3</v>
      </c>
      <c r="G56" s="12">
        <f t="shared" si="3"/>
        <v>54.756013270133899</v>
      </c>
    </row>
    <row r="57" spans="1:7">
      <c r="A57" s="35">
        <v>26</v>
      </c>
      <c r="B57" s="77">
        <v>915.68</v>
      </c>
      <c r="C57" s="36">
        <f t="shared" si="0"/>
        <v>0.91567999999999994</v>
      </c>
      <c r="D57" s="12">
        <f t="shared" si="2"/>
        <v>6.4189167999999991E-2</v>
      </c>
      <c r="E57" s="12">
        <f t="shared" si="1"/>
        <v>2.8655878571428569E-3</v>
      </c>
      <c r="F57" s="12">
        <f>E57/Calculation!K$18*1000</f>
        <v>2.867825081492146E-3</v>
      </c>
      <c r="G57" s="12">
        <f t="shared" si="3"/>
        <v>54.845755104919334</v>
      </c>
    </row>
    <row r="58" spans="1:7">
      <c r="A58" s="35">
        <v>26.5</v>
      </c>
      <c r="B58" s="77">
        <v>884.59</v>
      </c>
      <c r="C58" s="36">
        <f t="shared" si="0"/>
        <v>0.88458999999999999</v>
      </c>
      <c r="D58" s="12">
        <f t="shared" si="2"/>
        <v>6.2009758999999991E-2</v>
      </c>
      <c r="E58" s="12">
        <f t="shared" si="1"/>
        <v>2.7682928124999999E-3</v>
      </c>
      <c r="F58" s="12">
        <f>E58/Calculation!K$18*1000</f>
        <v>2.7704540765738444E-3</v>
      </c>
      <c r="G58" s="12">
        <f t="shared" si="3"/>
        <v>54.930329292290324</v>
      </c>
    </row>
    <row r="59" spans="1:7">
      <c r="A59" s="35">
        <v>27</v>
      </c>
      <c r="B59" s="77">
        <v>890.97</v>
      </c>
      <c r="C59" s="36">
        <f t="shared" si="0"/>
        <v>0.89097000000000004</v>
      </c>
      <c r="D59" s="12">
        <f t="shared" si="2"/>
        <v>6.2456997E-2</v>
      </c>
      <c r="E59" s="12">
        <f t="shared" si="1"/>
        <v>2.7882587946428572E-3</v>
      </c>
      <c r="F59" s="12">
        <f>E59/Calculation!K$18*1000</f>
        <v>2.7904356465763779E-3</v>
      </c>
      <c r="G59" s="12">
        <f t="shared" si="3"/>
        <v>55.013742638137579</v>
      </c>
    </row>
    <row r="60" spans="1:7">
      <c r="A60" s="35">
        <v>27.5</v>
      </c>
      <c r="B60" s="77">
        <v>890.33</v>
      </c>
      <c r="C60" s="36">
        <f t="shared" si="0"/>
        <v>0.89033000000000007</v>
      </c>
      <c r="D60" s="12">
        <f t="shared" si="2"/>
        <v>6.2412133000000002E-2</v>
      </c>
      <c r="E60" s="12">
        <f t="shared" si="1"/>
        <v>2.7862559375000004E-3</v>
      </c>
      <c r="F60" s="12">
        <f>E60/Calculation!K$18*1000</f>
        <v>2.7884312257610774E-3</v>
      </c>
      <c r="G60" s="12">
        <f t="shared" si="3"/>
        <v>55.097425641222642</v>
      </c>
    </row>
    <row r="61" spans="1:7">
      <c r="A61" s="35">
        <v>28</v>
      </c>
      <c r="B61" s="77">
        <v>883.48</v>
      </c>
      <c r="C61" s="36">
        <f t="shared" si="0"/>
        <v>0.88348000000000004</v>
      </c>
      <c r="D61" s="12">
        <f t="shared" si="2"/>
        <v>6.1931948000000001E-2</v>
      </c>
      <c r="E61" s="12">
        <f t="shared" si="1"/>
        <v>2.7648191071428575E-3</v>
      </c>
      <c r="F61" s="12">
        <f>E61/Calculation!K$18*1000</f>
        <v>2.7669776592223068E-3</v>
      </c>
      <c r="G61" s="12">
        <f t="shared" si="3"/>
        <v>55.180756774497397</v>
      </c>
    </row>
    <row r="62" spans="1:7">
      <c r="A62" s="35">
        <v>28.5</v>
      </c>
      <c r="B62" s="77">
        <v>884.27</v>
      </c>
      <c r="C62" s="36">
        <f t="shared" si="0"/>
        <v>0.88427</v>
      </c>
      <c r="D62" s="12">
        <f t="shared" si="2"/>
        <v>6.1987326999999995E-2</v>
      </c>
      <c r="E62" s="12">
        <f t="shared" si="1"/>
        <v>2.7672913839285715E-3</v>
      </c>
      <c r="F62" s="12">
        <f>E62/Calculation!K$18*1000</f>
        <v>2.7694518661661939E-3</v>
      </c>
      <c r="G62" s="12">
        <f t="shared" si="3"/>
        <v>55.263803217378225</v>
      </c>
    </row>
    <row r="63" spans="1:7">
      <c r="A63" s="35">
        <v>29</v>
      </c>
      <c r="B63" s="77">
        <v>897.51</v>
      </c>
      <c r="C63" s="36">
        <f t="shared" si="0"/>
        <v>0.89751000000000003</v>
      </c>
      <c r="D63" s="12">
        <f t="shared" si="2"/>
        <v>6.2915450999999997E-2</v>
      </c>
      <c r="E63" s="12">
        <f t="shared" si="1"/>
        <v>2.8087254910714285E-3</v>
      </c>
      <c r="F63" s="12">
        <f>E63/Calculation!K$18*1000</f>
        <v>2.8109183217827367E-3</v>
      </c>
      <c r="G63" s="12">
        <f t="shared" si="3"/>
        <v>55.347508770197457</v>
      </c>
    </row>
    <row r="64" spans="1:7">
      <c r="A64" s="35">
        <v>29.5</v>
      </c>
      <c r="B64" s="77">
        <v>863.39</v>
      </c>
      <c r="C64" s="36">
        <f t="shared" si="0"/>
        <v>0.86338999999999999</v>
      </c>
      <c r="D64" s="12">
        <f t="shared" si="2"/>
        <v>6.0523638999999997E-2</v>
      </c>
      <c r="E64" s="12">
        <f t="shared" si="1"/>
        <v>2.7019481696428571E-3</v>
      </c>
      <c r="F64" s="12">
        <f>E64/Calculation!K$18*1000</f>
        <v>2.7040576370669931E-3</v>
      </c>
      <c r="G64" s="12">
        <f t="shared" si="3"/>
        <v>55.430233409580204</v>
      </c>
    </row>
    <row r="65" spans="1:7">
      <c r="A65" s="35">
        <v>30</v>
      </c>
      <c r="B65" s="77">
        <v>906.43</v>
      </c>
      <c r="C65" s="36">
        <f t="shared" si="0"/>
        <v>0.90642999999999996</v>
      </c>
      <c r="D65" s="12">
        <f t="shared" si="2"/>
        <v>6.3540742999999997E-2</v>
      </c>
      <c r="E65" s="12">
        <f t="shared" si="1"/>
        <v>2.8366403124999999E-3</v>
      </c>
      <c r="F65" s="12">
        <f>E65/Calculation!K$19*1000</f>
        <v>3.0385733746675745E-3</v>
      </c>
      <c r="G65" s="12">
        <f t="shared" si="3"/>
        <v>55.516372874756222</v>
      </c>
    </row>
    <row r="66" spans="1:7">
      <c r="A66" s="35">
        <v>30.5</v>
      </c>
      <c r="B66" s="77">
        <v>888.74</v>
      </c>
      <c r="C66" s="36">
        <f t="shared" si="0"/>
        <v>0.88873999999999997</v>
      </c>
      <c r="D66" s="12">
        <f t="shared" si="2"/>
        <v>6.2300673999999993E-2</v>
      </c>
      <c r="E66" s="12">
        <f t="shared" si="1"/>
        <v>2.7812800892857144E-3</v>
      </c>
      <c r="F66" s="12">
        <f>E66/Calculation!K$19*1000</f>
        <v>2.9792722008341074E-3</v>
      </c>
      <c r="G66" s="12">
        <f t="shared" si="3"/>
        <v>55.606640558388747</v>
      </c>
    </row>
    <row r="67" spans="1:7">
      <c r="A67" s="35">
        <v>31</v>
      </c>
      <c r="B67" s="77">
        <v>882.68</v>
      </c>
      <c r="C67" s="36">
        <f t="shared" si="0"/>
        <v>0.88267999999999991</v>
      </c>
      <c r="D67" s="12">
        <f t="shared" si="2"/>
        <v>6.1875867999999994E-2</v>
      </c>
      <c r="E67" s="12">
        <f t="shared" si="1"/>
        <v>2.7623155357142854E-3</v>
      </c>
      <c r="F67" s="12">
        <f>E67/Calculation!K$19*1000</f>
        <v>2.9589576099109411E-3</v>
      </c>
      <c r="G67" s="12">
        <f t="shared" si="3"/>
        <v>55.695714005549924</v>
      </c>
    </row>
    <row r="68" spans="1:7">
      <c r="A68" s="35">
        <v>31.5</v>
      </c>
      <c r="B68" s="77">
        <v>873.12</v>
      </c>
      <c r="C68" s="36">
        <f t="shared" si="0"/>
        <v>0.87312000000000001</v>
      </c>
      <c r="D68" s="12">
        <f t="shared" si="2"/>
        <v>6.1205711999999995E-2</v>
      </c>
      <c r="E68" s="12">
        <f t="shared" si="1"/>
        <v>2.7323978571428572E-3</v>
      </c>
      <c r="F68" s="12">
        <f>E68/Calculation!K$19*1000</f>
        <v>2.9269101694446927E-3</v>
      </c>
      <c r="G68" s="12">
        <f t="shared" si="3"/>
        <v>55.784002022240259</v>
      </c>
    </row>
    <row r="69" spans="1:7">
      <c r="A69" s="35">
        <v>32</v>
      </c>
      <c r="B69" s="77">
        <v>865.94</v>
      </c>
      <c r="C69" s="36">
        <f t="shared" si="0"/>
        <v>0.86594000000000004</v>
      </c>
      <c r="D69" s="12">
        <f t="shared" si="2"/>
        <v>6.0702394E-2</v>
      </c>
      <c r="E69" s="12">
        <f t="shared" si="1"/>
        <v>2.7099283035714287E-3</v>
      </c>
      <c r="F69" s="12">
        <f>E69/Calculation!K$19*1000</f>
        <v>2.9028410666677397E-3</v>
      </c>
      <c r="G69" s="12">
        <f t="shared" si="3"/>
        <v>55.871448290781942</v>
      </c>
    </row>
    <row r="70" spans="1:7">
      <c r="A70" s="35">
        <v>32.5</v>
      </c>
      <c r="B70" s="77">
        <v>832.78</v>
      </c>
      <c r="C70" s="36">
        <f t="shared" ref="C70:C101" si="4">B70/1000</f>
        <v>0.83277999999999996</v>
      </c>
      <c r="D70" s="12">
        <f t="shared" ref="D70:D101" si="5">C70/1000*$B$1</f>
        <v>5.8377877999999994E-2</v>
      </c>
      <c r="E70" s="12">
        <f t="shared" ref="E70:E101" si="6">D70/22.4</f>
        <v>2.6061552678571429E-3</v>
      </c>
      <c r="F70" s="12">
        <f>E70/Calculation!K$19*1000</f>
        <v>2.7916806978538471E-3</v>
      </c>
      <c r="G70" s="12">
        <f t="shared" si="3"/>
        <v>55.956866117249767</v>
      </c>
    </row>
    <row r="71" spans="1:7">
      <c r="A71" s="35">
        <v>33</v>
      </c>
      <c r="B71" s="77">
        <v>831.67</v>
      </c>
      <c r="C71" s="36">
        <f t="shared" si="4"/>
        <v>0.83166999999999991</v>
      </c>
      <c r="D71" s="12">
        <f t="shared" si="5"/>
        <v>5.830006699999999E-2</v>
      </c>
      <c r="E71" s="12">
        <f t="shared" si="6"/>
        <v>2.6026815624999996E-3</v>
      </c>
      <c r="F71" s="12">
        <f>E71/Calculation!K$19*1000</f>
        <v>2.7879597084273264E-3</v>
      </c>
      <c r="G71" s="12">
        <f t="shared" ref="G71:G101" si="7">G70+(F71+F70)/2*30</f>
        <v>56.040560723343987</v>
      </c>
    </row>
    <row r="72" spans="1:7">
      <c r="A72" s="35">
        <v>33.5</v>
      </c>
      <c r="B72" s="77">
        <v>828.48</v>
      </c>
      <c r="C72" s="36">
        <f t="shared" si="4"/>
        <v>0.82847999999999999</v>
      </c>
      <c r="D72" s="12">
        <f t="shared" si="5"/>
        <v>5.8076447999999996E-2</v>
      </c>
      <c r="E72" s="12">
        <f t="shared" si="6"/>
        <v>2.5926985714285716E-3</v>
      </c>
      <c r="F72" s="12">
        <f>E72/Calculation!K$19*1000</f>
        <v>2.7772660541294882E-3</v>
      </c>
      <c r="G72" s="12">
        <f t="shared" si="7"/>
        <v>56.124039109782338</v>
      </c>
    </row>
    <row r="73" spans="1:7">
      <c r="A73" s="35">
        <v>34</v>
      </c>
      <c r="B73" s="77">
        <v>822.26</v>
      </c>
      <c r="C73" s="36">
        <f t="shared" si="4"/>
        <v>0.82225999999999999</v>
      </c>
      <c r="D73" s="12">
        <f t="shared" si="5"/>
        <v>5.7640425999999995E-2</v>
      </c>
      <c r="E73" s="12">
        <f t="shared" si="6"/>
        <v>2.5732333035714287E-3</v>
      </c>
      <c r="F73" s="12">
        <f>E73/Calculation!K$19*1000</f>
        <v>2.7564151043700672E-3</v>
      </c>
      <c r="G73" s="12">
        <f t="shared" si="7"/>
        <v>56.207044327159828</v>
      </c>
    </row>
    <row r="74" spans="1:7">
      <c r="A74" s="35">
        <v>34.5</v>
      </c>
      <c r="B74" s="77">
        <v>819.71</v>
      </c>
      <c r="C74" s="36">
        <f t="shared" si="4"/>
        <v>0.81971000000000005</v>
      </c>
      <c r="D74" s="12">
        <f t="shared" si="5"/>
        <v>5.7461670999999999E-2</v>
      </c>
      <c r="E74" s="12">
        <f t="shared" si="6"/>
        <v>2.5652531696428575E-3</v>
      </c>
      <c r="F74" s="12">
        <f>E74/Calculation!K$19*1000</f>
        <v>2.7478668854172498E-3</v>
      </c>
      <c r="G74" s="12">
        <f t="shared" si="7"/>
        <v>56.289608557006638</v>
      </c>
    </row>
    <row r="75" spans="1:7">
      <c r="A75" s="35">
        <v>35</v>
      </c>
      <c r="B75" s="77">
        <v>836.13</v>
      </c>
      <c r="C75" s="36">
        <f t="shared" si="4"/>
        <v>0.83613000000000004</v>
      </c>
      <c r="D75" s="12">
        <f t="shared" si="5"/>
        <v>5.8612712999999997E-2</v>
      </c>
      <c r="E75" s="12">
        <f t="shared" si="6"/>
        <v>2.6166389732142858E-3</v>
      </c>
      <c r="F75" s="12">
        <f>E75/Calculation!K$19*1000</f>
        <v>2.8029107109879409E-3</v>
      </c>
      <c r="G75" s="12">
        <f t="shared" si="7"/>
        <v>56.372870220952713</v>
      </c>
    </row>
    <row r="76" spans="1:7">
      <c r="A76" s="35">
        <v>35.5</v>
      </c>
      <c r="B76" s="77">
        <v>858.29</v>
      </c>
      <c r="C76" s="36">
        <f t="shared" si="4"/>
        <v>0.85829</v>
      </c>
      <c r="D76" s="12">
        <f t="shared" si="5"/>
        <v>6.0166128999999999E-2</v>
      </c>
      <c r="E76" s="12">
        <f t="shared" si="6"/>
        <v>2.6859879017857146E-3</v>
      </c>
      <c r="F76" s="12">
        <f>E76/Calculation!K$19*1000</f>
        <v>2.8771964098092875E-3</v>
      </c>
      <c r="G76" s="12">
        <f t="shared" si="7"/>
        <v>56.45807182776467</v>
      </c>
    </row>
    <row r="77" spans="1:7">
      <c r="A77" s="35">
        <v>36</v>
      </c>
      <c r="B77" s="77">
        <v>844.42</v>
      </c>
      <c r="C77" s="36">
        <f t="shared" si="4"/>
        <v>0.84441999999999995</v>
      </c>
      <c r="D77" s="12">
        <f t="shared" si="5"/>
        <v>5.919384199999999E-2</v>
      </c>
      <c r="E77" s="12">
        <f t="shared" si="6"/>
        <v>2.6425822321428567E-3</v>
      </c>
      <c r="F77" s="12">
        <f>E77/Calculation!K$19*1000</f>
        <v>2.8307008031914133E-3</v>
      </c>
      <c r="G77" s="12">
        <f t="shared" si="7"/>
        <v>56.543690285959677</v>
      </c>
    </row>
    <row r="78" spans="1:7">
      <c r="A78" s="35">
        <v>36.5</v>
      </c>
      <c r="B78" s="77">
        <v>832.62</v>
      </c>
      <c r="C78" s="36">
        <f t="shared" si="4"/>
        <v>0.83262000000000003</v>
      </c>
      <c r="D78" s="12">
        <f t="shared" si="5"/>
        <v>5.8366662E-2</v>
      </c>
      <c r="E78" s="12">
        <f t="shared" si="6"/>
        <v>2.6056545535714289E-3</v>
      </c>
      <c r="F78" s="12">
        <f>E78/Calculation!K$19*1000</f>
        <v>2.7911443390175924E-3</v>
      </c>
      <c r="G78" s="12">
        <f t="shared" si="7"/>
        <v>56.628017963092809</v>
      </c>
    </row>
    <row r="79" spans="1:7">
      <c r="A79" s="35">
        <v>37</v>
      </c>
      <c r="B79" s="77">
        <v>813.81</v>
      </c>
      <c r="C79" s="36">
        <f t="shared" si="4"/>
        <v>0.81380999999999992</v>
      </c>
      <c r="D79" s="12">
        <f t="shared" si="5"/>
        <v>5.7048080999999987E-2</v>
      </c>
      <c r="E79" s="12">
        <f t="shared" si="6"/>
        <v>2.5467893303571425E-3</v>
      </c>
      <c r="F79" s="12">
        <f>E79/Calculation!K$19*1000</f>
        <v>2.7280886533303382E-3</v>
      </c>
      <c r="G79" s="12">
        <f t="shared" si="7"/>
        <v>56.71080645797803</v>
      </c>
    </row>
    <row r="80" spans="1:7">
      <c r="A80" s="35">
        <v>37.5</v>
      </c>
      <c r="B80" s="77">
        <v>811.74</v>
      </c>
      <c r="C80" s="36">
        <f t="shared" si="4"/>
        <v>0.81174000000000002</v>
      </c>
      <c r="D80" s="12">
        <f t="shared" si="5"/>
        <v>5.6902973999999995E-2</v>
      </c>
      <c r="E80" s="12">
        <f t="shared" si="6"/>
        <v>2.5403113392857141E-3</v>
      </c>
      <c r="F80" s="12">
        <f>E80/Calculation!K$19*1000</f>
        <v>2.7211495108862864E-3</v>
      </c>
      <c r="G80" s="12">
        <f t="shared" si="7"/>
        <v>56.792545030441282</v>
      </c>
    </row>
    <row r="81" spans="1:7">
      <c r="A81" s="35">
        <v>38</v>
      </c>
      <c r="B81" s="77">
        <v>804.25</v>
      </c>
      <c r="C81" s="36">
        <f t="shared" si="4"/>
        <v>0.80425000000000002</v>
      </c>
      <c r="D81" s="12">
        <f t="shared" si="5"/>
        <v>5.6377925000000002E-2</v>
      </c>
      <c r="E81" s="12">
        <f t="shared" si="6"/>
        <v>2.5168716517857148E-3</v>
      </c>
      <c r="F81" s="12">
        <f>E81/Calculation!K$19*1000</f>
        <v>2.6960412128640902E-3</v>
      </c>
      <c r="G81" s="12">
        <f t="shared" si="7"/>
        <v>56.873802891297537</v>
      </c>
    </row>
    <row r="82" spans="1:7">
      <c r="A82" s="35">
        <v>38.5</v>
      </c>
      <c r="B82" s="77">
        <v>816.2</v>
      </c>
      <c r="C82" s="36">
        <f t="shared" si="4"/>
        <v>0.81620000000000004</v>
      </c>
      <c r="D82" s="12">
        <f t="shared" si="5"/>
        <v>5.7215619999999995E-2</v>
      </c>
      <c r="E82" s="12">
        <f t="shared" si="6"/>
        <v>2.5542687499999998E-3</v>
      </c>
      <c r="F82" s="12">
        <f>E82/Calculation!K$19*1000</f>
        <v>2.7361005134469004E-3</v>
      </c>
      <c r="G82" s="12">
        <f t="shared" si="7"/>
        <v>56.955285017192203</v>
      </c>
    </row>
    <row r="83" spans="1:7">
      <c r="A83" s="35">
        <v>39</v>
      </c>
      <c r="B83" s="77">
        <v>837.88</v>
      </c>
      <c r="C83" s="36">
        <f t="shared" si="4"/>
        <v>0.83787999999999996</v>
      </c>
      <c r="D83" s="12">
        <f t="shared" si="5"/>
        <v>5.8735387999999993E-2</v>
      </c>
      <c r="E83" s="12">
        <f t="shared" si="6"/>
        <v>2.6221155357142854E-3</v>
      </c>
      <c r="F83" s="12">
        <f>E83/Calculation!K$19*1000</f>
        <v>2.8087771357594815E-3</v>
      </c>
      <c r="G83" s="12">
        <f t="shared" si="7"/>
        <v>57.038458181930302</v>
      </c>
    </row>
    <row r="84" spans="1:7">
      <c r="A84" s="35">
        <v>39.5</v>
      </c>
      <c r="B84" s="77">
        <v>833.74</v>
      </c>
      <c r="C84" s="36">
        <f t="shared" si="4"/>
        <v>0.83374000000000004</v>
      </c>
      <c r="D84" s="12">
        <f t="shared" si="5"/>
        <v>5.8445173999999996E-2</v>
      </c>
      <c r="E84" s="12">
        <f t="shared" si="6"/>
        <v>2.6091595535714285E-3</v>
      </c>
      <c r="F84" s="12">
        <f>E84/Calculation!K$19*1000</f>
        <v>2.7948988508713782E-3</v>
      </c>
      <c r="G84" s="12">
        <f t="shared" si="7"/>
        <v>57.122513321729762</v>
      </c>
    </row>
    <row r="85" spans="1:7">
      <c r="A85" s="35">
        <v>40</v>
      </c>
      <c r="B85" s="77">
        <v>857.49</v>
      </c>
      <c r="C85" s="36">
        <f t="shared" si="4"/>
        <v>0.85748999999999997</v>
      </c>
      <c r="D85" s="12">
        <f t="shared" si="5"/>
        <v>6.0110048999999992E-2</v>
      </c>
      <c r="E85" s="12">
        <f t="shared" si="6"/>
        <v>2.6834843303571426E-3</v>
      </c>
      <c r="F85" s="12">
        <f>E85/Calculation!K$19*1000</f>
        <v>2.8745146156280111E-3</v>
      </c>
      <c r="G85" s="12">
        <f t="shared" si="7"/>
        <v>57.207554523727254</v>
      </c>
    </row>
    <row r="86" spans="1:7">
      <c r="A86" s="35">
        <v>40.5</v>
      </c>
      <c r="B86" s="77">
        <v>872.64</v>
      </c>
      <c r="C86" s="36">
        <f t="shared" si="4"/>
        <v>0.87263999999999997</v>
      </c>
      <c r="D86" s="12">
        <f t="shared" si="5"/>
        <v>6.1172063999999991E-2</v>
      </c>
      <c r="E86" s="12">
        <f t="shared" si="6"/>
        <v>2.730895714285714E-3</v>
      </c>
      <c r="F86" s="12">
        <f>E86/Calculation!K$19*1000</f>
        <v>2.9253010929359263E-3</v>
      </c>
      <c r="G86" s="12">
        <f t="shared" si="7"/>
        <v>57.294551759355713</v>
      </c>
    </row>
    <row r="87" spans="1:7">
      <c r="A87" s="35">
        <v>41</v>
      </c>
      <c r="B87" s="77">
        <v>894.64</v>
      </c>
      <c r="C87" s="36">
        <f t="shared" si="4"/>
        <v>0.89463999999999999</v>
      </c>
      <c r="D87" s="12">
        <f t="shared" si="5"/>
        <v>6.2714263999999992E-2</v>
      </c>
      <c r="E87" s="12">
        <f t="shared" si="6"/>
        <v>2.7997439285714285E-3</v>
      </c>
      <c r="F87" s="12">
        <f>E87/Calculation!K$19*1000</f>
        <v>2.9990504329210181E-3</v>
      </c>
      <c r="G87" s="12">
        <f t="shared" si="7"/>
        <v>57.383417032243564</v>
      </c>
    </row>
    <row r="88" spans="1:7">
      <c r="A88" s="35">
        <v>41.5</v>
      </c>
      <c r="B88" s="77">
        <v>922.85</v>
      </c>
      <c r="C88" s="36">
        <f t="shared" si="4"/>
        <v>0.92285000000000006</v>
      </c>
      <c r="D88" s="12">
        <f t="shared" si="5"/>
        <v>6.4691785000000002E-2</v>
      </c>
      <c r="E88" s="12">
        <f t="shared" si="6"/>
        <v>2.8880261160714286E-3</v>
      </c>
      <c r="F88" s="12">
        <f>E88/Calculation!K$19*1000</f>
        <v>3.0936172002382655E-3</v>
      </c>
      <c r="G88" s="12">
        <f t="shared" si="7"/>
        <v>57.474807046740956</v>
      </c>
    </row>
    <row r="89" spans="1:7">
      <c r="A89" s="35">
        <v>42</v>
      </c>
      <c r="B89" s="77">
        <v>956.65</v>
      </c>
      <c r="C89" s="36">
        <f t="shared" si="4"/>
        <v>0.95665</v>
      </c>
      <c r="D89" s="12">
        <f t="shared" si="5"/>
        <v>6.7061164999999992E-2</v>
      </c>
      <c r="E89" s="12">
        <f t="shared" si="6"/>
        <v>2.9938020089285713E-3</v>
      </c>
      <c r="F89" s="12">
        <f>E89/Calculation!K$19*1000</f>
        <v>3.2069230043971792E-3</v>
      </c>
      <c r="G89" s="12">
        <f t="shared" si="7"/>
        <v>57.569315149810485</v>
      </c>
    </row>
    <row r="90" spans="1:7">
      <c r="A90" s="35">
        <v>42.5</v>
      </c>
      <c r="B90" s="77">
        <v>978.97</v>
      </c>
      <c r="C90" s="36">
        <f t="shared" si="4"/>
        <v>0.97897000000000001</v>
      </c>
      <c r="D90" s="12">
        <f t="shared" si="5"/>
        <v>6.8625797000000002E-2</v>
      </c>
      <c r="E90" s="12">
        <f t="shared" si="6"/>
        <v>3.0636516517857145E-3</v>
      </c>
      <c r="F90" s="12">
        <f>E90/Calculation!K$19*1000</f>
        <v>3.2817450620547814E-3</v>
      </c>
      <c r="G90" s="12">
        <f t="shared" si="7"/>
        <v>57.666645170807264</v>
      </c>
    </row>
    <row r="91" spans="1:7">
      <c r="A91" s="35">
        <v>43</v>
      </c>
      <c r="B91" s="77">
        <v>1025.68</v>
      </c>
      <c r="C91" s="36">
        <f t="shared" si="4"/>
        <v>1.0256800000000001</v>
      </c>
      <c r="D91" s="12">
        <f t="shared" si="5"/>
        <v>7.1900168E-2</v>
      </c>
      <c r="E91" s="12">
        <f t="shared" si="6"/>
        <v>3.2098289285714286E-3</v>
      </c>
      <c r="F91" s="12">
        <f>E91/Calculation!K$19*1000</f>
        <v>3.4383283198140368E-3</v>
      </c>
      <c r="G91" s="12">
        <f t="shared" si="7"/>
        <v>57.767446271535299</v>
      </c>
    </row>
    <row r="92" spans="1:7">
      <c r="A92" s="35">
        <v>43.5</v>
      </c>
      <c r="B92" s="77">
        <v>1086.0899999999999</v>
      </c>
      <c r="C92" s="36">
        <f t="shared" si="4"/>
        <v>1.08609</v>
      </c>
      <c r="D92" s="12">
        <f t="shared" si="5"/>
        <v>7.6134909000000001E-2</v>
      </c>
      <c r="E92" s="12">
        <f t="shared" si="6"/>
        <v>3.3988798660714286E-3</v>
      </c>
      <c r="F92" s="12">
        <f>E92/Calculation!K$19*1000</f>
        <v>3.6408373029276453E-3</v>
      </c>
      <c r="G92" s="12">
        <f t="shared" si="7"/>
        <v>57.873633755876426</v>
      </c>
    </row>
    <row r="93" spans="1:7">
      <c r="A93" s="35">
        <v>44</v>
      </c>
      <c r="B93" s="77">
        <v>1161.6600000000001</v>
      </c>
      <c r="C93" s="36">
        <f t="shared" si="4"/>
        <v>1.1616600000000001</v>
      </c>
      <c r="D93" s="12">
        <f t="shared" si="5"/>
        <v>8.1432366000000006E-2</v>
      </c>
      <c r="E93" s="12">
        <f t="shared" si="6"/>
        <v>3.6353734821428577E-3</v>
      </c>
      <c r="F93" s="12">
        <f>E93/Calculation!K$19*1000</f>
        <v>3.8941662857764356E-3</v>
      </c>
      <c r="G93" s="12">
        <f t="shared" si="7"/>
        <v>57.986658809706988</v>
      </c>
    </row>
    <row r="94" spans="1:7">
      <c r="A94" s="35">
        <v>44.5</v>
      </c>
      <c r="B94" s="77">
        <v>1237.22</v>
      </c>
      <c r="C94" s="36">
        <f t="shared" si="4"/>
        <v>1.23722</v>
      </c>
      <c r="D94" s="12">
        <f t="shared" si="5"/>
        <v>8.6729121999999992E-2</v>
      </c>
      <c r="E94" s="12">
        <f t="shared" si="6"/>
        <v>3.8718358035714283E-3</v>
      </c>
      <c r="F94" s="12">
        <f>E94/Calculation!K$19*1000</f>
        <v>4.1474617461979592E-3</v>
      </c>
      <c r="G94" s="12">
        <f t="shared" si="7"/>
        <v>58.107283230186603</v>
      </c>
    </row>
    <row r="95" spans="1:7">
      <c r="A95" s="35">
        <v>45</v>
      </c>
      <c r="B95" s="77">
        <v>1292.8499999999999</v>
      </c>
      <c r="C95" s="36">
        <f t="shared" si="4"/>
        <v>1.2928499999999998</v>
      </c>
      <c r="D95" s="12">
        <f t="shared" si="5"/>
        <v>9.0628784999999989E-2</v>
      </c>
      <c r="E95" s="12">
        <f t="shared" si="6"/>
        <v>4.0459279017857142E-3</v>
      </c>
      <c r="F95" s="12">
        <f>E95/Calculation!K$19*1000</f>
        <v>4.3339470090784432E-3</v>
      </c>
      <c r="G95" s="12">
        <f t="shared" si="7"/>
        <v>58.234504361515746</v>
      </c>
    </row>
    <row r="96" spans="1:7">
      <c r="A96" s="35">
        <v>45.5</v>
      </c>
      <c r="B96" s="77">
        <v>1323.78</v>
      </c>
      <c r="C96" s="36">
        <f t="shared" si="4"/>
        <v>1.32378</v>
      </c>
      <c r="D96" s="12">
        <f t="shared" si="5"/>
        <v>9.2796977999999988E-2</v>
      </c>
      <c r="E96" s="12">
        <f t="shared" si="6"/>
        <v>4.1427222321428567E-3</v>
      </c>
      <c r="F96" s="12">
        <f>E96/Calculation!K$19*1000</f>
        <v>4.4376318766120287E-3</v>
      </c>
      <c r="G96" s="12">
        <f t="shared" si="7"/>
        <v>58.366078044801107</v>
      </c>
    </row>
    <row r="97" spans="1:7">
      <c r="A97" s="35">
        <v>46</v>
      </c>
      <c r="B97" s="77">
        <v>1176.8</v>
      </c>
      <c r="C97" s="36">
        <f t="shared" si="4"/>
        <v>1.1767999999999998</v>
      </c>
      <c r="D97" s="12">
        <f t="shared" si="5"/>
        <v>8.2493679999999972E-2</v>
      </c>
      <c r="E97" s="12">
        <f t="shared" si="6"/>
        <v>3.6827535714285702E-3</v>
      </c>
      <c r="F97" s="12">
        <f>E97/Calculation!K$19*1000</f>
        <v>3.9449192406570835E-3</v>
      </c>
      <c r="G97" s="12">
        <f t="shared" si="7"/>
        <v>58.491816311560143</v>
      </c>
    </row>
    <row r="98" spans="1:7">
      <c r="A98" s="35">
        <v>46.5</v>
      </c>
      <c r="B98" s="77">
        <v>1009.42</v>
      </c>
      <c r="C98" s="36">
        <f t="shared" si="4"/>
        <v>1.00942</v>
      </c>
      <c r="D98" s="12">
        <f t="shared" si="5"/>
        <v>7.076034199999999E-2</v>
      </c>
      <c r="E98" s="12">
        <f t="shared" si="6"/>
        <v>3.1589438392857138E-3</v>
      </c>
      <c r="F98" s="12">
        <f>E98/Calculation!K$19*1000</f>
        <v>3.3838208530796005E-3</v>
      </c>
      <c r="G98" s="12">
        <f t="shared" si="7"/>
        <v>58.601747412966191</v>
      </c>
    </row>
    <row r="99" spans="1:7">
      <c r="A99" s="35">
        <v>47</v>
      </c>
      <c r="B99" s="77">
        <v>887.14</v>
      </c>
      <c r="C99" s="36">
        <f t="shared" si="4"/>
        <v>0.88714000000000004</v>
      </c>
      <c r="D99" s="12">
        <f t="shared" si="5"/>
        <v>6.2188513999999993E-2</v>
      </c>
      <c r="E99" s="12">
        <f t="shared" si="6"/>
        <v>2.7762729464285711E-3</v>
      </c>
      <c r="F99" s="12">
        <f>E99/Calculation!K$19*1000</f>
        <v>2.9739086124715552E-3</v>
      </c>
      <c r="G99" s="12">
        <f t="shared" si="7"/>
        <v>58.697113354949458</v>
      </c>
    </row>
    <row r="100" spans="1:7">
      <c r="A100" s="35">
        <v>47.5</v>
      </c>
      <c r="B100" s="77">
        <v>752.76</v>
      </c>
      <c r="C100" s="36">
        <f t="shared" si="4"/>
        <v>0.75275999999999998</v>
      </c>
      <c r="D100" s="12">
        <f t="shared" si="5"/>
        <v>5.2768475999999995E-2</v>
      </c>
      <c r="E100" s="12">
        <f t="shared" si="6"/>
        <v>2.3557355357142857E-3</v>
      </c>
      <c r="F100" s="12">
        <f>E100/Calculation!K$19*1000</f>
        <v>2.5234342348717091E-3</v>
      </c>
      <c r="G100" s="12">
        <f t="shared" si="7"/>
        <v>58.779573497659605</v>
      </c>
    </row>
    <row r="101" spans="1:7">
      <c r="A101" s="35">
        <v>48</v>
      </c>
      <c r="B101" s="77">
        <v>725.34</v>
      </c>
      <c r="C101" s="36">
        <f t="shared" si="4"/>
        <v>0.72533999999999998</v>
      </c>
      <c r="D101" s="12">
        <f t="shared" si="5"/>
        <v>5.0846333999999993E-2</v>
      </c>
      <c r="E101" s="12">
        <f t="shared" si="6"/>
        <v>2.269925625E-3</v>
      </c>
      <c r="F101" s="12">
        <f>E101/Calculation!K$20*1000</f>
        <v>2.5736340875145997E-3</v>
      </c>
      <c r="G101" s="12">
        <f t="shared" si="7"/>
        <v>58.856029522495398</v>
      </c>
    </row>
    <row r="102" spans="1:7">
      <c r="B102" s="10"/>
    </row>
    <row r="103" spans="1:7">
      <c r="B103" s="10"/>
    </row>
    <row r="104" spans="1:7">
      <c r="B104" s="10"/>
    </row>
    <row r="105" spans="1:7">
      <c r="B105" s="10"/>
    </row>
    <row r="106" spans="1:7">
      <c r="B106" s="10"/>
    </row>
    <row r="107" spans="1:7">
      <c r="B107" s="10"/>
    </row>
    <row r="108" spans="1:7">
      <c r="B108" s="10"/>
    </row>
    <row r="109" spans="1:7">
      <c r="B109" s="10"/>
    </row>
    <row r="110" spans="1:7">
      <c r="B110" s="10"/>
    </row>
    <row r="111" spans="1:7">
      <c r="B111" s="10"/>
    </row>
    <row r="112" spans="1:7">
      <c r="B112" s="10"/>
    </row>
    <row r="113" spans="2:2">
      <c r="B113" s="10"/>
    </row>
    <row r="114" spans="2:2">
      <c r="B114" s="10"/>
    </row>
    <row r="115" spans="2:2">
      <c r="B115" s="10"/>
    </row>
    <row r="116" spans="2:2">
      <c r="B116" s="10"/>
    </row>
    <row r="117" spans="2:2">
      <c r="B117" s="10"/>
    </row>
    <row r="118" spans="2:2">
      <c r="B118" s="10"/>
    </row>
    <row r="119" spans="2:2">
      <c r="B119" s="10"/>
    </row>
    <row r="120" spans="2:2">
      <c r="B120" s="10"/>
    </row>
    <row r="121" spans="2:2">
      <c r="B121" s="10"/>
    </row>
    <row r="122" spans="2:2">
      <c r="B122" s="10"/>
    </row>
    <row r="123" spans="2:2">
      <c r="B123" s="10"/>
    </row>
    <row r="124" spans="2:2">
      <c r="B124" s="10"/>
    </row>
    <row r="125" spans="2:2">
      <c r="B125" s="10"/>
    </row>
    <row r="126" spans="2:2">
      <c r="B126" s="10"/>
    </row>
    <row r="127" spans="2:2">
      <c r="B127" s="10"/>
    </row>
    <row r="128" spans="2:2">
      <c r="B128" s="10"/>
    </row>
    <row r="129" spans="2:2">
      <c r="B129" s="10"/>
    </row>
    <row r="130" spans="2:2">
      <c r="B130" s="10"/>
    </row>
    <row r="131" spans="2:2">
      <c r="B131" s="10"/>
    </row>
    <row r="132" spans="2:2">
      <c r="B132" s="10"/>
    </row>
    <row r="133" spans="2:2">
      <c r="B133" s="10"/>
    </row>
    <row r="134" spans="2:2">
      <c r="B134" s="10"/>
    </row>
    <row r="135" spans="2:2">
      <c r="B135" s="10"/>
    </row>
    <row r="136" spans="2:2">
      <c r="B136" s="10"/>
    </row>
    <row r="137" spans="2:2">
      <c r="B137" s="10"/>
    </row>
    <row r="138" spans="2:2">
      <c r="B138" s="10"/>
    </row>
    <row r="139" spans="2:2">
      <c r="B139" s="10"/>
    </row>
    <row r="140" spans="2:2">
      <c r="B140" s="10"/>
    </row>
    <row r="141" spans="2:2">
      <c r="B141" s="10"/>
    </row>
    <row r="142" spans="2:2">
      <c r="B142" s="10"/>
    </row>
    <row r="143" spans="2:2">
      <c r="B143" s="10"/>
    </row>
    <row r="144" spans="2:2">
      <c r="B144" s="10"/>
    </row>
    <row r="145" spans="2:2">
      <c r="B145" s="10"/>
    </row>
    <row r="146" spans="2:2">
      <c r="B146" s="10"/>
    </row>
    <row r="147" spans="2:2">
      <c r="B147" s="10"/>
    </row>
    <row r="148" spans="2:2">
      <c r="B148" s="10"/>
    </row>
    <row r="149" spans="2:2">
      <c r="B149" s="10"/>
    </row>
    <row r="150" spans="2:2">
      <c r="B150" s="10"/>
    </row>
    <row r="151" spans="2:2">
      <c r="B151" s="10"/>
    </row>
    <row r="152" spans="2:2">
      <c r="B152" s="10"/>
    </row>
  </sheetData>
  <mergeCells count="3">
    <mergeCell ref="A3:A4"/>
    <mergeCell ref="B3:C3"/>
    <mergeCell ref="D3:F3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1"/>
  <sheetViews>
    <sheetView workbookViewId="0">
      <selection activeCell="U24" sqref="U24"/>
    </sheetView>
  </sheetViews>
  <sheetFormatPr baseColWidth="10" defaultColWidth="8.83203125" defaultRowHeight="14" x14ac:dyDescent="0"/>
  <cols>
    <col min="1" max="1" width="16.83203125" style="2" bestFit="1" customWidth="1"/>
    <col min="2" max="16384" width="8.83203125" style="2"/>
  </cols>
  <sheetData>
    <row r="1" spans="1:21">
      <c r="A1" s="131" t="s">
        <v>41</v>
      </c>
      <c r="B1" s="131"/>
      <c r="D1" s="157" t="s">
        <v>4</v>
      </c>
      <c r="E1" s="157" t="s">
        <v>5</v>
      </c>
      <c r="F1" s="131" t="s">
        <v>142</v>
      </c>
      <c r="G1" s="131"/>
      <c r="H1" s="131"/>
      <c r="I1" s="131"/>
      <c r="J1" s="131" t="s">
        <v>42</v>
      </c>
      <c r="K1" s="131"/>
      <c r="L1" s="131"/>
      <c r="M1" s="131"/>
      <c r="N1" s="158" t="s">
        <v>43</v>
      </c>
      <c r="O1" s="129"/>
      <c r="P1" s="129"/>
      <c r="Q1" s="159"/>
      <c r="R1" s="131" t="s">
        <v>65</v>
      </c>
      <c r="S1" s="131"/>
      <c r="T1" s="131"/>
      <c r="U1" s="131"/>
    </row>
    <row r="2" spans="1:21">
      <c r="A2" s="131" t="s">
        <v>34</v>
      </c>
      <c r="B2" s="131"/>
      <c r="D2" s="157"/>
      <c r="E2" s="157"/>
      <c r="F2" s="14" t="s">
        <v>48</v>
      </c>
      <c r="G2" s="14" t="s">
        <v>23</v>
      </c>
      <c r="H2" s="14" t="s">
        <v>48</v>
      </c>
      <c r="I2" s="14" t="s">
        <v>23</v>
      </c>
      <c r="J2" s="14" t="s">
        <v>48</v>
      </c>
      <c r="K2" s="14" t="s">
        <v>23</v>
      </c>
      <c r="L2" s="14" t="s">
        <v>48</v>
      </c>
      <c r="M2" s="14" t="s">
        <v>23</v>
      </c>
      <c r="N2" s="14" t="s">
        <v>48</v>
      </c>
      <c r="O2" s="14" t="s">
        <v>23</v>
      </c>
      <c r="P2" s="14" t="s">
        <v>48</v>
      </c>
      <c r="Q2" s="14" t="s">
        <v>23</v>
      </c>
      <c r="R2" s="14" t="s">
        <v>48</v>
      </c>
      <c r="S2" s="14" t="s">
        <v>23</v>
      </c>
      <c r="T2" s="14" t="s">
        <v>48</v>
      </c>
      <c r="U2" s="14" t="s">
        <v>23</v>
      </c>
    </row>
    <row r="3" spans="1:21">
      <c r="A3" s="131" t="s">
        <v>35</v>
      </c>
      <c r="B3" s="14" t="s">
        <v>38</v>
      </c>
      <c r="D3" s="16">
        <v>0</v>
      </c>
      <c r="E3" s="64">
        <v>-0.16666666666666666</v>
      </c>
      <c r="F3" s="52">
        <v>50.358940201302531</v>
      </c>
      <c r="G3" s="52">
        <v>0.37190545912528994</v>
      </c>
      <c r="H3" s="13">
        <f>F3*Calculation!I3/Calculation!F22</f>
        <v>50.358940201302538</v>
      </c>
      <c r="I3" s="13">
        <f>G3*Calculation!I3/Calculation!F22</f>
        <v>0.37190545912528994</v>
      </c>
      <c r="J3" s="13">
        <v>0.43664890467732381</v>
      </c>
      <c r="K3" s="13">
        <v>1.2818611660515679E-2</v>
      </c>
      <c r="L3" s="13">
        <f>J3*Calculation!I3/Calculation!F22</f>
        <v>0.43664890467732381</v>
      </c>
      <c r="M3" s="13">
        <f>K3*Calculation!I3/Calculation!F22</f>
        <v>1.2818611660515679E-2</v>
      </c>
      <c r="N3" s="13">
        <v>0.98806550097141266</v>
      </c>
      <c r="O3" s="13">
        <v>5.087511179523551E-2</v>
      </c>
      <c r="P3" s="13">
        <f>N3*Calculation!I3/Calculation!F22</f>
        <v>0.98806550097141266</v>
      </c>
      <c r="Q3" s="13">
        <f>O3*Calculation!I3/Calculation!F22</f>
        <v>5.087511179523551E-2</v>
      </c>
      <c r="R3" s="13">
        <v>0</v>
      </c>
      <c r="S3" s="13">
        <v>0</v>
      </c>
      <c r="T3" s="13">
        <f>R3*Calculation!I3/Calculation!F22</f>
        <v>0</v>
      </c>
      <c r="U3" s="13">
        <f>S3*Calculation!I3/Calculation!F22</f>
        <v>0</v>
      </c>
    </row>
    <row r="4" spans="1:21">
      <c r="A4" s="131"/>
      <c r="B4" s="14" t="s">
        <v>39</v>
      </c>
      <c r="D4" s="16">
        <v>0</v>
      </c>
      <c r="E4" s="66">
        <v>0.16666666666666666</v>
      </c>
      <c r="F4" s="52">
        <v>49.100799289520424</v>
      </c>
      <c r="G4" s="52">
        <v>0.3466362121668759</v>
      </c>
      <c r="H4" s="13">
        <f>F4*Calculation!I4/Calculation!K3</f>
        <v>49.188375031416122</v>
      </c>
      <c r="I4" s="13">
        <f>G4*Calculation!I4/Calculation!K3</f>
        <v>0.34725446938239352</v>
      </c>
      <c r="J4" s="13">
        <v>0.6586737714624038</v>
      </c>
      <c r="K4" s="13">
        <v>1.2818611660515638E-2</v>
      </c>
      <c r="L4" s="13">
        <f>J4*Calculation!I4/Calculation!K3</f>
        <v>0.65984857604884084</v>
      </c>
      <c r="M4" s="13">
        <f>K4*Calculation!I4/Calculation!K3</f>
        <v>1.2841474820433324E-2</v>
      </c>
      <c r="N4" s="13">
        <v>4.3408270885373303</v>
      </c>
      <c r="O4" s="13">
        <v>0.15018317245038798</v>
      </c>
      <c r="P4" s="13">
        <f>N4*Calculation!I4/Calculation!K3</f>
        <v>4.348569348504995</v>
      </c>
      <c r="Q4" s="13">
        <f>O4*Calculation!I4/Calculation!K3</f>
        <v>0.15045103779958605</v>
      </c>
      <c r="R4" s="13">
        <v>1.1731479469910928</v>
      </c>
      <c r="S4" s="13">
        <v>0</v>
      </c>
      <c r="T4" s="13">
        <f>R4*Calculation!I4/Calculation!K3</f>
        <v>1.1752403630677712</v>
      </c>
      <c r="U4" s="13">
        <f>S4*Calculation!I4/Calculation!K3</f>
        <v>0</v>
      </c>
    </row>
    <row r="5" spans="1:21">
      <c r="A5" s="15" t="s">
        <v>37</v>
      </c>
      <c r="B5" s="15">
        <v>180.16</v>
      </c>
      <c r="D5" s="16">
        <v>1</v>
      </c>
      <c r="E5" s="66">
        <v>2</v>
      </c>
      <c r="F5" s="52">
        <v>48.020278271166376</v>
      </c>
      <c r="G5" s="52">
        <v>0.14907665096568865</v>
      </c>
      <c r="H5" s="13">
        <f>F5*Calculation!I5/Calculation!K4</f>
        <v>48.164700082026386</v>
      </c>
      <c r="I5" s="13">
        <f>G5*Calculation!I5/Calculation!K4</f>
        <v>0.14952500155141066</v>
      </c>
      <c r="J5" s="13">
        <v>0.51805802249851984</v>
      </c>
      <c r="K5" s="13">
        <v>2.5637223321031358E-2</v>
      </c>
      <c r="L5" s="13">
        <f>J5*Calculation!I5/Calculation!K4</f>
        <v>0.5196160908903209</v>
      </c>
      <c r="M5" s="13">
        <f>K5*Calculation!I5/Calculation!K4</f>
        <v>2.5714327710067545E-2</v>
      </c>
      <c r="N5" s="13">
        <v>4.4629475437135726</v>
      </c>
      <c r="O5" s="13">
        <v>3.3305578684429675E-2</v>
      </c>
      <c r="P5" s="13">
        <f>N5*Calculation!I5/Calculation!K4</f>
        <v>4.4763699350291057</v>
      </c>
      <c r="Q5" s="13">
        <f>O5*Calculation!I5/Calculation!K4</f>
        <v>3.3405745783799325E-2</v>
      </c>
      <c r="R5" s="13">
        <v>1.0862480990658268</v>
      </c>
      <c r="S5" s="13">
        <v>1.8462686773714401E-16</v>
      </c>
      <c r="T5" s="13">
        <f>R5*Calculation!I5/Calculation!K4</f>
        <v>1.0895150088622352</v>
      </c>
      <c r="U5" s="13">
        <f>S5*Calculation!I5/Calculation!K4</f>
        <v>1.8518213620979718E-16</v>
      </c>
    </row>
    <row r="6" spans="1:21">
      <c r="A6" s="15" t="s">
        <v>40</v>
      </c>
      <c r="B6" s="15">
        <v>180.16</v>
      </c>
      <c r="D6" s="16">
        <v>2</v>
      </c>
      <c r="E6" s="66">
        <v>3.3333333333333335</v>
      </c>
      <c r="F6" s="52">
        <v>47.158081705150977</v>
      </c>
      <c r="G6" s="52">
        <v>0.24041305314950603</v>
      </c>
      <c r="H6" s="13">
        <f>F6*Calculation!I6/Calculation!K5</f>
        <v>47.359220677577603</v>
      </c>
      <c r="I6" s="13">
        <f>G6*Calculation!I6/Calculation!K5</f>
        <v>0.2414384645470854</v>
      </c>
      <c r="J6" s="13">
        <v>0.56986382474837183</v>
      </c>
      <c r="K6" s="13">
        <v>1.2818611660515638E-2</v>
      </c>
      <c r="L6" s="13">
        <f>J6*Calculation!I6/Calculation!K5</f>
        <v>0.57229441182885687</v>
      </c>
      <c r="M6" s="13">
        <f>K6*Calculation!I6/Calculation!K5</f>
        <v>1.287328569058863E-2</v>
      </c>
      <c r="N6" s="13">
        <v>4.962531223980017</v>
      </c>
      <c r="O6" s="13">
        <v>3.3305578684429675E-2</v>
      </c>
      <c r="P6" s="13">
        <f>N6*Calculation!I6/Calculation!K5</f>
        <v>4.9836974460767349</v>
      </c>
      <c r="Q6" s="13">
        <f>O6*Calculation!I6/Calculation!K5</f>
        <v>3.3447633866286845E-2</v>
      </c>
      <c r="R6" s="13">
        <v>1.057281483090738</v>
      </c>
      <c r="S6" s="13">
        <v>5.0171650592189976E-2</v>
      </c>
      <c r="T6" s="13">
        <f>R6*Calculation!I6/Calculation!K5</f>
        <v>1.0617910072992121</v>
      </c>
      <c r="U6" s="13">
        <f>S6*Calculation!I6/Calculation!K5</f>
        <v>5.0385643059232134E-2</v>
      </c>
    </row>
    <row r="7" spans="1:21">
      <c r="A7" s="32" t="s">
        <v>116</v>
      </c>
      <c r="B7" s="32">
        <v>46.03</v>
      </c>
      <c r="D7" s="16">
        <v>3</v>
      </c>
      <c r="E7" s="66">
        <v>4.666666666666667</v>
      </c>
      <c r="F7" s="52">
        <v>44.726909413854365</v>
      </c>
      <c r="G7" s="52">
        <v>0.73023907805033972</v>
      </c>
      <c r="H7" s="13">
        <f>F7*Calculation!I7/Calculation!K6</f>
        <v>45.062574672101967</v>
      </c>
      <c r="I7" s="13">
        <f>G7*Calculation!I7/Calculation!K6</f>
        <v>0.73571935585018089</v>
      </c>
      <c r="J7" s="13">
        <v>0.62166962699822381</v>
      </c>
      <c r="K7" s="13">
        <v>2.2202486678508014E-2</v>
      </c>
      <c r="L7" s="13">
        <f>J7*Calculation!I7/Calculation!K6</f>
        <v>0.62633511581973422</v>
      </c>
      <c r="M7" s="13">
        <f>K7*Calculation!I7/Calculation!K6</f>
        <v>2.2369111279276245E-2</v>
      </c>
      <c r="N7" s="13">
        <v>5.9394948653899533</v>
      </c>
      <c r="O7" s="13">
        <v>0.21151883300868857</v>
      </c>
      <c r="P7" s="13">
        <f>N7*Calculation!I7/Calculation!K6</f>
        <v>5.9840694202603562</v>
      </c>
      <c r="Q7" s="13">
        <f>O7*Calculation!I7/Calculation!K6</f>
        <v>0.21310623362805931</v>
      </c>
      <c r="R7" s="13">
        <v>1.2021145629661816</v>
      </c>
      <c r="S7" s="13">
        <v>5.0171650592189976E-2</v>
      </c>
      <c r="T7" s="13">
        <f>R7*Calculation!I7/Calculation!K6</f>
        <v>1.2111361587014828</v>
      </c>
      <c r="U7" s="13">
        <f>S7*Calculation!I7/Calculation!K6</f>
        <v>5.0548177391681264E-2</v>
      </c>
    </row>
    <row r="8" spans="1:21">
      <c r="A8" s="15" t="s">
        <v>43</v>
      </c>
      <c r="B8" s="15">
        <v>60.05</v>
      </c>
      <c r="D8" s="16">
        <v>4</v>
      </c>
      <c r="E8" s="66">
        <v>6</v>
      </c>
      <c r="F8" s="52">
        <v>40.871077560686793</v>
      </c>
      <c r="G8" s="52">
        <v>0.11870200512392998</v>
      </c>
      <c r="H8" s="13">
        <f>F8*Calculation!I8/Calculation!K7</f>
        <v>41.396110812763652</v>
      </c>
      <c r="I8" s="13">
        <f>G8*Calculation!I8/Calculation!K7</f>
        <v>0.12022686092656258</v>
      </c>
      <c r="J8" s="13">
        <v>0.58466548253404382</v>
      </c>
      <c r="K8" s="13">
        <v>1.2818611660515681E-2</v>
      </c>
      <c r="L8" s="13">
        <f>J8*Calculation!I8/Calculation!K7</f>
        <v>0.59217614381318762</v>
      </c>
      <c r="M8" s="13">
        <f>K8*Calculation!I8/Calculation!K7</f>
        <v>1.2983280609046279E-2</v>
      </c>
      <c r="N8" s="13">
        <v>7.2717180127671392</v>
      </c>
      <c r="O8" s="13">
        <v>0.13866218147984244</v>
      </c>
      <c r="P8" s="13">
        <f>N8*Calculation!I8/Calculation!K7</f>
        <v>7.3651311054549948</v>
      </c>
      <c r="Q8" s="13">
        <f>O8*Calculation!I8/Calculation!K7</f>
        <v>0.14044344736338399</v>
      </c>
      <c r="R8" s="13">
        <v>1.3903975668042581</v>
      </c>
      <c r="S8" s="13">
        <v>4.34499239626331E-2</v>
      </c>
      <c r="T8" s="13">
        <f>R8*Calculation!I8/Calculation!K7</f>
        <v>1.408258729263091</v>
      </c>
      <c r="U8" s="13">
        <f>S8*Calculation!I8/Calculation!K7</f>
        <v>4.4008085289471623E-2</v>
      </c>
    </row>
    <row r="9" spans="1:21">
      <c r="A9" s="32" t="s">
        <v>67</v>
      </c>
      <c r="B9" s="32">
        <v>74.08</v>
      </c>
      <c r="D9" s="16">
        <v>5</v>
      </c>
      <c r="E9" s="66">
        <v>7.333333333333333</v>
      </c>
      <c r="F9" s="52">
        <v>33.174215512137359</v>
      </c>
      <c r="G9" s="52">
        <v>0.1878484331926738</v>
      </c>
      <c r="H9" s="13">
        <f>F9*Calculation!I9/Calculation!K8</f>
        <v>33.874476541102631</v>
      </c>
      <c r="I9" s="13">
        <f>G9*Calculation!I9/Calculation!K8</f>
        <v>0.1918136494031035</v>
      </c>
      <c r="J9" s="13">
        <v>0.61426879810538781</v>
      </c>
      <c r="K9" s="13">
        <v>3.3914858606837212E-2</v>
      </c>
      <c r="L9" s="13">
        <f>J9*Calculation!I9/Calculation!K8</f>
        <v>0.62723514844651829</v>
      </c>
      <c r="M9" s="13">
        <f>K9*Calculation!I9/Calculation!K8</f>
        <v>3.4630753569795614E-2</v>
      </c>
      <c r="N9" s="13">
        <v>10.824313072439635</v>
      </c>
      <c r="O9" s="13">
        <v>8.8118278470094694E-2</v>
      </c>
      <c r="P9" s="13">
        <f>N9*Calculation!I9/Calculation!K8</f>
        <v>11.052799096688666</v>
      </c>
      <c r="Q9" s="13">
        <f>O9*Calculation!I9/Calculation!K8</f>
        <v>8.9978331387684879E-2</v>
      </c>
      <c r="R9" s="13">
        <v>1.0283148671156492</v>
      </c>
      <c r="S9" s="13">
        <v>2.5085825296094995E-2</v>
      </c>
      <c r="T9" s="13">
        <f>R9*Calculation!I9/Calculation!K8</f>
        <v>1.0500211476057857</v>
      </c>
      <c r="U9" s="13">
        <f>S9*Calculation!I9/Calculation!K8</f>
        <v>2.5615351784154961E-2</v>
      </c>
    </row>
    <row r="10" spans="1:21">
      <c r="A10" s="32" t="s">
        <v>66</v>
      </c>
      <c r="B10" s="32">
        <v>88.11</v>
      </c>
      <c r="D10" s="16">
        <v>6</v>
      </c>
      <c r="E10" s="66">
        <v>8.6666666666666661</v>
      </c>
      <c r="F10" s="52">
        <v>22.961071640023686</v>
      </c>
      <c r="G10" s="52">
        <v>2.5637223321031362E-2</v>
      </c>
      <c r="H10" s="13">
        <f>F10*Calculation!I10/Calculation!K9</f>
        <v>23.722345560434615</v>
      </c>
      <c r="I10" s="13">
        <f>G10*Calculation!I10/Calculation!K9</f>
        <v>2.6487225002661582E-2</v>
      </c>
      <c r="J10" s="13">
        <v>2.2646536412078153</v>
      </c>
      <c r="K10" s="13">
        <v>0</v>
      </c>
      <c r="L10" s="13">
        <f>J10*Calculation!I10/Calculation!K9</f>
        <v>2.3397381922620442</v>
      </c>
      <c r="M10" s="13">
        <f>K10*Calculation!I10/Calculation!K9</f>
        <v>0</v>
      </c>
      <c r="N10" s="13">
        <v>16.53066888703858</v>
      </c>
      <c r="O10" s="13">
        <v>0.13866218147984247</v>
      </c>
      <c r="P10" s="13">
        <f>N10*Calculation!I10/Calculation!K9</f>
        <v>17.078742918945476</v>
      </c>
      <c r="Q10" s="13">
        <f>O10*Calculation!I10/Calculation!K9</f>
        <v>0.14325952363193475</v>
      </c>
      <c r="R10" s="13">
        <v>2.1724961981316535</v>
      </c>
      <c r="S10" s="13">
        <v>4.3449923962632954E-2</v>
      </c>
      <c r="T10" s="13">
        <f>R10*Calculation!I10/Calculation!K9</f>
        <v>2.2445252708055374</v>
      </c>
      <c r="U10" s="13">
        <f>S10*Calculation!I10/Calculation!K9</f>
        <v>4.4890505416110636E-2</v>
      </c>
    </row>
    <row r="11" spans="1:21">
      <c r="A11" s="15" t="s">
        <v>42</v>
      </c>
      <c r="B11" s="15">
        <v>90.08</v>
      </c>
      <c r="D11" s="16">
        <v>7</v>
      </c>
      <c r="E11" s="66">
        <v>10</v>
      </c>
      <c r="F11" s="52">
        <v>9.8246003552397863</v>
      </c>
      <c r="G11" s="52">
        <v>0.14685564559639169</v>
      </c>
      <c r="H11" s="13">
        <f>F11*Calculation!I11/Calculation!K10</f>
        <v>10.294005502538354</v>
      </c>
      <c r="I11" s="13">
        <f>G11*Calculation!I11/Calculation!K10</f>
        <v>0.1538721952228643</v>
      </c>
      <c r="J11" s="13">
        <v>6.016873889875666</v>
      </c>
      <c r="K11" s="13">
        <v>0.1350524540474739</v>
      </c>
      <c r="L11" s="13">
        <f>J11*Calculation!I11/Calculation!K10</f>
        <v>6.3043513925150139</v>
      </c>
      <c r="M11" s="13">
        <f>K11*Calculation!I11/Calculation!K10</f>
        <v>0.1415050643107888</v>
      </c>
      <c r="N11" s="13">
        <v>20.738273660838189</v>
      </c>
      <c r="O11" s="13">
        <v>0.41908600806387769</v>
      </c>
      <c r="P11" s="13">
        <f>N11*Calculation!I11/Calculation!K10</f>
        <v>21.729118280516985</v>
      </c>
      <c r="Q11" s="13">
        <f>O11*Calculation!I11/Calculation!K10</f>
        <v>0.43910932934239416</v>
      </c>
      <c r="R11" s="13">
        <v>4.5332754001013829</v>
      </c>
      <c r="S11" s="13">
        <v>6.6370855166280593E-2</v>
      </c>
      <c r="T11" s="13">
        <f>R11*Calculation!I11/Calculation!K10</f>
        <v>4.7498687199298741</v>
      </c>
      <c r="U11" s="13">
        <f>S11*Calculation!I11/Calculation!K10</f>
        <v>6.9541958307289667E-2</v>
      </c>
    </row>
    <row r="12" spans="1:21">
      <c r="A12" s="15" t="s">
        <v>44</v>
      </c>
      <c r="B12" s="15">
        <v>46.07</v>
      </c>
      <c r="D12" s="16">
        <v>8</v>
      </c>
      <c r="E12" s="66">
        <v>11.333333333333334</v>
      </c>
      <c r="F12" s="52">
        <v>0</v>
      </c>
      <c r="G12" s="52">
        <v>0</v>
      </c>
      <c r="H12" s="13">
        <f>F12*Calculation!I12/Calculation!K11</f>
        <v>0</v>
      </c>
      <c r="I12" s="13">
        <f>G12*Calculation!I12/Calculation!K11</f>
        <v>0</v>
      </c>
      <c r="J12" s="13">
        <v>8.4295441089402008</v>
      </c>
      <c r="K12" s="13">
        <v>7.7972570699028632E-2</v>
      </c>
      <c r="L12" s="13">
        <f>J12*Calculation!I12/Calculation!K11</f>
        <v>8.9279521232183185</v>
      </c>
      <c r="M12" s="13">
        <f>K12*Calculation!I12/Calculation!K11</f>
        <v>8.2582802714903203E-2</v>
      </c>
      <c r="N12" s="13">
        <v>25.123508187621425</v>
      </c>
      <c r="O12" s="13">
        <v>0.27732436295968488</v>
      </c>
      <c r="P12" s="13">
        <f>N12*Calculation!I12/Calculation!K11</f>
        <v>26.608969045962755</v>
      </c>
      <c r="Q12" s="13">
        <f>O12*Calculation!I12/Calculation!K11</f>
        <v>0.2937215350092488</v>
      </c>
      <c r="R12" s="13">
        <v>4.4029256282134837</v>
      </c>
      <c r="S12" s="13">
        <v>9.0448229392401769E-2</v>
      </c>
      <c r="T12" s="13">
        <f>R12*Calculation!I12/Calculation!K11</f>
        <v>4.6632544658127468</v>
      </c>
      <c r="U12" s="13">
        <f>S12*Calculation!I12/Calculation!K11</f>
        <v>9.57961013323122E-2</v>
      </c>
    </row>
    <row r="13" spans="1:21">
      <c r="D13" s="16">
        <v>9</v>
      </c>
      <c r="E13" s="66">
        <v>12.666666666666666</v>
      </c>
      <c r="F13" s="52">
        <v>0</v>
      </c>
      <c r="G13" s="52">
        <v>0</v>
      </c>
      <c r="H13" s="13">
        <f>F13*Calculation!I13/Calculation!K12</f>
        <v>0</v>
      </c>
      <c r="I13" s="13">
        <f>G13*Calculation!I13/Calculation!K12</f>
        <v>0</v>
      </c>
      <c r="J13" s="13">
        <v>8.7255772646536407</v>
      </c>
      <c r="K13" s="13">
        <v>2.2202486678508014E-2</v>
      </c>
      <c r="L13" s="13">
        <f>J13*Calculation!I13/Calculation!K12</f>
        <v>9.2551594744257741</v>
      </c>
      <c r="M13" s="13">
        <f>K13*Calculation!I13/Calculation!K12</f>
        <v>2.3550024107953649E-2</v>
      </c>
      <c r="N13" s="13">
        <v>26.633361087982237</v>
      </c>
      <c r="O13" s="13">
        <v>0.20075649536525275</v>
      </c>
      <c r="P13" s="13">
        <f>N13*Calculation!I13/Calculation!K12</f>
        <v>28.249821958229621</v>
      </c>
      <c r="Q13" s="13">
        <f>O13*Calculation!I13/Calculation!K12</f>
        <v>0.2129410265678264</v>
      </c>
      <c r="R13" s="13">
        <v>2.0566297342312985</v>
      </c>
      <c r="S13" s="13">
        <v>2.5085825296094995E-2</v>
      </c>
      <c r="T13" s="13">
        <f>R13*Calculation!I13/Calculation!K12</f>
        <v>2.1814529391955513</v>
      </c>
      <c r="U13" s="13">
        <f>S13*Calculation!I13/Calculation!K12</f>
        <v>2.6608361443712387E-2</v>
      </c>
    </row>
    <row r="14" spans="1:21">
      <c r="D14" s="16">
        <v>10</v>
      </c>
      <c r="E14" s="66">
        <v>14</v>
      </c>
      <c r="F14" s="52">
        <v>0</v>
      </c>
      <c r="G14" s="52">
        <v>0</v>
      </c>
      <c r="H14" s="13">
        <f>F14*Calculation!I14/Calculation!K13</f>
        <v>0</v>
      </c>
      <c r="I14" s="13">
        <f>G14*Calculation!I14/Calculation!K13</f>
        <v>0</v>
      </c>
      <c r="J14" s="13">
        <v>8.747779751332148</v>
      </c>
      <c r="K14" s="13">
        <v>2.2202486678508014E-2</v>
      </c>
      <c r="L14" s="13">
        <f>J14*Calculation!I14/Calculation!K13</f>
        <v>9.2928754672337792</v>
      </c>
      <c r="M14" s="13">
        <f>K14*Calculation!I14/Calculation!K13</f>
        <v>2.3585978343232967E-2</v>
      </c>
      <c r="N14" s="13">
        <v>27.044129891756871</v>
      </c>
      <c r="O14" s="13">
        <v>0.31771497132953874</v>
      </c>
      <c r="P14" s="13">
        <f>N14*Calculation!I14/Calculation!K13</f>
        <v>28.729316277712577</v>
      </c>
      <c r="Q14" s="13">
        <f>O14*Calculation!I14/Calculation!K13</f>
        <v>0.33751257422679593</v>
      </c>
      <c r="R14" s="13">
        <v>0.66623216742704028</v>
      </c>
      <c r="S14" s="13">
        <v>2.5085825296094988E-2</v>
      </c>
      <c r="T14" s="13">
        <f>R14*Calculation!I14/Calculation!K13</f>
        <v>0.70774673576136926</v>
      </c>
      <c r="U14" s="13">
        <f>S14*Calculation!I14/Calculation!K13</f>
        <v>2.6648984896298203E-2</v>
      </c>
    </row>
    <row r="15" spans="1:21">
      <c r="D15" s="16">
        <v>11</v>
      </c>
      <c r="E15" s="66">
        <v>15.333333333333334</v>
      </c>
      <c r="F15" s="52">
        <v>0</v>
      </c>
      <c r="G15" s="52">
        <v>0</v>
      </c>
      <c r="H15" s="13">
        <f>F15*Calculation!I15/Calculation!K14</f>
        <v>0</v>
      </c>
      <c r="I15" s="13">
        <f>G15*Calculation!I15/Calculation!K14</f>
        <v>0</v>
      </c>
      <c r="J15" s="13">
        <v>8.681172291296626</v>
      </c>
      <c r="K15" s="13">
        <v>0.13865448486674964</v>
      </c>
      <c r="L15" s="13">
        <f>J15*Calculation!I15/Calculation!K14</f>
        <v>9.2367442055303375</v>
      </c>
      <c r="M15" s="13">
        <f>K15*Calculation!I15/Calculation!K14</f>
        <v>0.14752800275001279</v>
      </c>
      <c r="N15" s="13">
        <v>26.844296419650291</v>
      </c>
      <c r="O15" s="13">
        <v>0.4662781015820141</v>
      </c>
      <c r="P15" s="13">
        <f>N15*Calculation!I15/Calculation!K14</f>
        <v>28.562259921316343</v>
      </c>
      <c r="Q15" s="13">
        <f>O15*Calculation!I15/Calculation!K14</f>
        <v>0.49611865868291322</v>
      </c>
      <c r="R15" s="13">
        <v>4.3449923962633065E-2</v>
      </c>
      <c r="S15" s="13">
        <v>0</v>
      </c>
      <c r="T15" s="13">
        <f>R15*Calculation!I15/Calculation!K14</f>
        <v>4.6230603416884945E-2</v>
      </c>
      <c r="U15" s="13">
        <f>S15*Calculation!I15/Calculation!K14</f>
        <v>0</v>
      </c>
    </row>
    <row r="16" spans="1:21">
      <c r="D16" s="16">
        <v>12</v>
      </c>
      <c r="E16" s="66">
        <v>16.666666666666668</v>
      </c>
      <c r="F16" s="52">
        <v>0</v>
      </c>
      <c r="G16" s="52">
        <v>0</v>
      </c>
      <c r="H16" s="13">
        <f>F16*Calculation!I16/Calculation!K15</f>
        <v>0</v>
      </c>
      <c r="I16" s="13">
        <f>G16*Calculation!I16/Calculation!K15</f>
        <v>0</v>
      </c>
      <c r="J16" s="13">
        <v>8.1335109532267627</v>
      </c>
      <c r="K16" s="13">
        <v>1.2818611660515681E-2</v>
      </c>
      <c r="L16" s="13">
        <f>J16*Calculation!I16/Calculation!K15</f>
        <v>8.6611979353262338</v>
      </c>
      <c r="M16" s="13">
        <f>K16*Calculation!I16/Calculation!K15</f>
        <v>1.3650259216010653E-2</v>
      </c>
      <c r="N16" s="13">
        <v>25.101304468498476</v>
      </c>
      <c r="O16" s="13">
        <v>0.10175022359047114</v>
      </c>
      <c r="P16" s="13">
        <f>N16*Calculation!I16/Calculation!K15</f>
        <v>26.72983016643057</v>
      </c>
      <c r="Q16" s="13">
        <f>O16*Calculation!I16/Calculation!K15</f>
        <v>0.10835158783810903</v>
      </c>
      <c r="R16" s="13">
        <v>0</v>
      </c>
      <c r="S16" s="13">
        <v>0</v>
      </c>
      <c r="T16" s="13">
        <f>R16*Calculation!I16/Calculation!K15</f>
        <v>0</v>
      </c>
      <c r="U16" s="13">
        <f>S16*Calculation!I16/Calculation!K15</f>
        <v>0</v>
      </c>
    </row>
    <row r="17" spans="4:21">
      <c r="D17" s="16">
        <v>13</v>
      </c>
      <c r="E17" s="66">
        <v>18</v>
      </c>
      <c r="F17" s="52">
        <v>0</v>
      </c>
      <c r="G17" s="52">
        <v>0</v>
      </c>
      <c r="H17" s="13">
        <f>F17*Calculation!I17/Calculation!K16</f>
        <v>0</v>
      </c>
      <c r="I17" s="13">
        <f>G17*Calculation!I17/Calculation!K16</f>
        <v>0</v>
      </c>
      <c r="J17" s="13">
        <v>8.917998815867378</v>
      </c>
      <c r="K17" s="13">
        <v>8.9730281623609756E-2</v>
      </c>
      <c r="L17" s="13">
        <f>J17*Calculation!I17/Calculation!K16</f>
        <v>9.4965819036106573</v>
      </c>
      <c r="M17" s="13">
        <f>K17*Calculation!I17/Calculation!K16</f>
        <v>9.5551814512074562E-2</v>
      </c>
      <c r="N17" s="13">
        <v>27.255065223424925</v>
      </c>
      <c r="O17" s="13">
        <v>0.3561257825666474</v>
      </c>
      <c r="P17" s="13">
        <f>N17*Calculation!I17/Calculation!K16</f>
        <v>29.023322891900509</v>
      </c>
      <c r="Q17" s="13">
        <f>O17*Calculation!I17/Calculation!K16</f>
        <v>0.37923055743337986</v>
      </c>
      <c r="R17" s="13">
        <v>0</v>
      </c>
      <c r="S17" s="13">
        <v>0</v>
      </c>
      <c r="T17" s="13">
        <f>R17*Calculation!I17/Calculation!K16</f>
        <v>0</v>
      </c>
      <c r="U17" s="13">
        <f>S17*Calculation!I17/Calculation!K16</f>
        <v>0</v>
      </c>
    </row>
    <row r="18" spans="4:21">
      <c r="D18" s="16">
        <v>14</v>
      </c>
      <c r="E18" s="66">
        <v>24</v>
      </c>
      <c r="F18" s="52">
        <v>0</v>
      </c>
      <c r="G18" s="52">
        <v>0</v>
      </c>
      <c r="H18" s="13">
        <f>F18*Calculation!I18/Calculation!K17</f>
        <v>0</v>
      </c>
      <c r="I18" s="13">
        <f>G18*Calculation!I18/Calculation!K17</f>
        <v>0</v>
      </c>
      <c r="J18" s="13">
        <v>9.1622261693309657</v>
      </c>
      <c r="K18" s="13">
        <v>0.113934312598732</v>
      </c>
      <c r="L18" s="13">
        <f>J18*Calculation!I18/Calculation!K17</f>
        <v>9.7653889660561255</v>
      </c>
      <c r="M18" s="13">
        <f>K18*Calculation!I18/Calculation!K17</f>
        <v>0.12143477562594275</v>
      </c>
      <c r="N18" s="13">
        <v>27.610324729392179</v>
      </c>
      <c r="O18" s="13">
        <v>0.21839928473945069</v>
      </c>
      <c r="P18" s="13">
        <f>N18*Calculation!I18/Calculation!K17</f>
        <v>29.427952931806011</v>
      </c>
      <c r="Q18" s="13">
        <f>O18*Calculation!I18/Calculation!K17</f>
        <v>0.23277683021275139</v>
      </c>
      <c r="R18" s="13">
        <v>0</v>
      </c>
      <c r="S18" s="13">
        <v>0</v>
      </c>
      <c r="T18" s="13">
        <f>R18*Calculation!I18/Calculation!K17</f>
        <v>0</v>
      </c>
      <c r="U18" s="13">
        <f>S18*Calculation!I18/Calculation!K17</f>
        <v>0</v>
      </c>
    </row>
    <row r="19" spans="4:21">
      <c r="D19" s="16">
        <v>15</v>
      </c>
      <c r="E19" s="66">
        <v>30</v>
      </c>
      <c r="F19" s="52">
        <v>0</v>
      </c>
      <c r="G19" s="52">
        <v>0</v>
      </c>
      <c r="H19" s="13">
        <f>F19*Calculation!I19/Calculation!K18</f>
        <v>0</v>
      </c>
      <c r="I19" s="13">
        <f>G19*Calculation!I19/Calculation!K18</f>
        <v>0</v>
      </c>
      <c r="J19" s="13">
        <v>9.1474245115452941</v>
      </c>
      <c r="K19" s="13">
        <v>2.2202486678508014E-2</v>
      </c>
      <c r="L19" s="13">
        <f>J19*Calculation!I19/Calculation!K18</f>
        <v>9.7496128934130635</v>
      </c>
      <c r="M19" s="13">
        <f>K19*Calculation!I19/Calculation!K18</f>
        <v>2.3664108964594831E-2</v>
      </c>
      <c r="N19" s="13">
        <v>28.032195392728283</v>
      </c>
      <c r="O19" s="13">
        <v>0.12609288583514358</v>
      </c>
      <c r="P19" s="13">
        <f>N19*Calculation!I19/Calculation!K18</f>
        <v>29.877595960116672</v>
      </c>
      <c r="Q19" s="13">
        <f>O19*Calculation!I19/Calculation!K18</f>
        <v>0.13439376558443983</v>
      </c>
      <c r="R19" s="13">
        <v>0</v>
      </c>
      <c r="S19" s="13">
        <v>0</v>
      </c>
      <c r="T19" s="13">
        <f>R19*Calculation!I19/Calculation!K18</f>
        <v>0</v>
      </c>
      <c r="U19" s="13">
        <f>S19*Calculation!I19/Calculation!K18</f>
        <v>0</v>
      </c>
    </row>
    <row r="20" spans="4:21">
      <c r="D20" s="16">
        <v>16</v>
      </c>
      <c r="E20" s="66">
        <v>48</v>
      </c>
      <c r="F20" s="52">
        <v>0</v>
      </c>
      <c r="G20" s="52">
        <v>0</v>
      </c>
      <c r="H20" s="13">
        <f>F20*Calculation!I20/Calculation!K19</f>
        <v>0</v>
      </c>
      <c r="I20" s="13">
        <f>G20*Calculation!I20/Calculation!K19</f>
        <v>0</v>
      </c>
      <c r="J20" s="13">
        <v>9.3398460627590296</v>
      </c>
      <c r="K20" s="13">
        <v>3.3914858606837212E-2</v>
      </c>
      <c r="L20" s="13">
        <f>J20*Calculation!I20/Calculation!K19</f>
        <v>9.9647065632379821</v>
      </c>
      <c r="M20" s="13">
        <f>K20*Calculation!I20/Calculation!K19</f>
        <v>3.6183852697354475E-2</v>
      </c>
      <c r="N20" s="13">
        <v>28.531779072994727</v>
      </c>
      <c r="O20" s="13">
        <v>0.19515288183454854</v>
      </c>
      <c r="P20" s="13">
        <f>N20*Calculation!I20/Calculation!K19</f>
        <v>30.44063084970589</v>
      </c>
      <c r="Q20" s="13">
        <f>O20*Calculation!I20/Calculation!K19</f>
        <v>0.20820912779338432</v>
      </c>
      <c r="R20" s="13">
        <v>0</v>
      </c>
      <c r="S20" s="13">
        <v>0</v>
      </c>
      <c r="T20" s="13">
        <f>R20*Calculation!I20/Calculation!K19</f>
        <v>0</v>
      </c>
      <c r="U20" s="13">
        <f>S20*Calculation!I20/Calculation!K19</f>
        <v>0</v>
      </c>
    </row>
    <row r="22" spans="4:21">
      <c r="D22" s="157" t="s">
        <v>4</v>
      </c>
      <c r="E22" s="157" t="s">
        <v>60</v>
      </c>
      <c r="F22" s="131" t="s">
        <v>44</v>
      </c>
      <c r="G22" s="131"/>
      <c r="H22" s="131"/>
      <c r="I22" s="131"/>
      <c r="J22" s="131" t="s">
        <v>66</v>
      </c>
      <c r="K22" s="131"/>
      <c r="L22" s="131"/>
      <c r="M22" s="131"/>
      <c r="N22" s="158" t="s">
        <v>67</v>
      </c>
      <c r="O22" s="129"/>
      <c r="P22" s="129"/>
      <c r="Q22" s="159"/>
    </row>
    <row r="23" spans="4:21">
      <c r="D23" s="157"/>
      <c r="E23" s="157"/>
      <c r="F23" s="20" t="s">
        <v>48</v>
      </c>
      <c r="G23" s="20" t="s">
        <v>23</v>
      </c>
      <c r="H23" s="20" t="s">
        <v>48</v>
      </c>
      <c r="I23" s="20" t="s">
        <v>23</v>
      </c>
      <c r="J23" s="20" t="s">
        <v>48</v>
      </c>
      <c r="K23" s="20" t="s">
        <v>23</v>
      </c>
      <c r="L23" s="20" t="s">
        <v>48</v>
      </c>
      <c r="M23" s="20" t="s">
        <v>23</v>
      </c>
      <c r="N23" s="20" t="s">
        <v>48</v>
      </c>
      <c r="O23" s="20" t="s">
        <v>23</v>
      </c>
      <c r="P23" s="20" t="s">
        <v>48</v>
      </c>
      <c r="Q23" s="20" t="s">
        <v>23</v>
      </c>
    </row>
    <row r="24" spans="4:21">
      <c r="D24" s="16">
        <v>0</v>
      </c>
      <c r="E24" s="64">
        <v>-0.16666666666666666</v>
      </c>
      <c r="F24" s="13">
        <v>0</v>
      </c>
      <c r="G24" s="13">
        <v>0</v>
      </c>
      <c r="H24" s="13">
        <f>F24*Calculation!I3/Calculation!F22</f>
        <v>0</v>
      </c>
      <c r="I24" s="13">
        <f>G24*Calculation!I3/Calculation!F22</f>
        <v>0</v>
      </c>
      <c r="J24" s="13">
        <v>0</v>
      </c>
      <c r="K24" s="13">
        <v>0</v>
      </c>
      <c r="L24" s="13">
        <f>J24*Calculation!I3/Calculation!F22</f>
        <v>0</v>
      </c>
      <c r="M24" s="13">
        <f>K24*Calculation!I3/Calculation!F22</f>
        <v>0</v>
      </c>
      <c r="N24" s="13">
        <v>0</v>
      </c>
      <c r="O24" s="13">
        <v>0</v>
      </c>
      <c r="P24" s="13">
        <f>N24*Calculation!I3/Calculation!F22</f>
        <v>0</v>
      </c>
      <c r="Q24" s="13">
        <f>O24*Calculation!I3/Calculation!F22</f>
        <v>0</v>
      </c>
    </row>
    <row r="25" spans="4:21">
      <c r="D25" s="16">
        <v>0</v>
      </c>
      <c r="E25" s="66">
        <v>0.16666666666666666</v>
      </c>
      <c r="F25" s="13">
        <v>0</v>
      </c>
      <c r="G25" s="13">
        <v>0</v>
      </c>
      <c r="H25" s="13">
        <f>F25*Calculation!I4/Calculation!K3</f>
        <v>0</v>
      </c>
      <c r="I25" s="13">
        <f>G25*Calculation!I4/Calculation!K3</f>
        <v>0</v>
      </c>
      <c r="J25" s="13">
        <v>1.6494533348465932</v>
      </c>
      <c r="K25" s="13">
        <v>1.3105215507652396E-2</v>
      </c>
      <c r="L25" s="13">
        <f>J25*Calculation!I4/Calculation!K3</f>
        <v>1.6523952849087453</v>
      </c>
      <c r="M25" s="13">
        <f>K25*Calculation!I4/Calculation!K3</f>
        <v>1.3128589851601834E-2</v>
      </c>
      <c r="N25" s="13">
        <v>0</v>
      </c>
      <c r="O25" s="13">
        <v>0</v>
      </c>
      <c r="P25" s="13">
        <f>N25*Calculation!I4/Calculation!K3</f>
        <v>0</v>
      </c>
      <c r="Q25" s="13">
        <f>O25*Calculation!I4/Calculation!K3</f>
        <v>0</v>
      </c>
    </row>
    <row r="26" spans="4:21">
      <c r="D26" s="16">
        <v>1</v>
      </c>
      <c r="E26" s="66">
        <v>2</v>
      </c>
      <c r="F26" s="13">
        <v>0</v>
      </c>
      <c r="G26" s="13">
        <v>0</v>
      </c>
      <c r="H26" s="13">
        <f>F26*Calculation!I5/Calculation!K4</f>
        <v>0</v>
      </c>
      <c r="I26" s="13">
        <f>G26*Calculation!I5/Calculation!K4</f>
        <v>0</v>
      </c>
      <c r="J26" s="13">
        <v>2.2320584118336928</v>
      </c>
      <c r="K26" s="13">
        <v>1.3105215507652396E-2</v>
      </c>
      <c r="L26" s="13">
        <f>J26*Calculation!I5/Calculation!K4</f>
        <v>2.2387713658062216</v>
      </c>
      <c r="M26" s="13">
        <f>K26*Calculation!I5/Calculation!K4</f>
        <v>1.3144629668158466E-2</v>
      </c>
      <c r="N26" s="13">
        <v>0</v>
      </c>
      <c r="O26" s="13">
        <v>0</v>
      </c>
      <c r="P26" s="13">
        <f>N26*Calculation!I5/Calculation!K4</f>
        <v>0</v>
      </c>
      <c r="Q26" s="13">
        <f>O26*Calculation!I5/Calculation!K4</f>
        <v>0</v>
      </c>
    </row>
    <row r="27" spans="4:21">
      <c r="D27" s="16">
        <v>2</v>
      </c>
      <c r="E27" s="66">
        <v>3.3333333333333335</v>
      </c>
      <c r="F27" s="13">
        <v>0</v>
      </c>
      <c r="G27" s="13">
        <v>0</v>
      </c>
      <c r="H27" s="13">
        <f>F27*Calculation!I6/Calculation!K5</f>
        <v>0</v>
      </c>
      <c r="I27" s="13">
        <f>G27*Calculation!I6/Calculation!K5</f>
        <v>0</v>
      </c>
      <c r="J27" s="13">
        <v>3.1248817765671704</v>
      </c>
      <c r="K27" s="13">
        <v>5.2420862030609583E-2</v>
      </c>
      <c r="L27" s="13">
        <f>J27*Calculation!I6/Calculation!K5</f>
        <v>3.1382100436799685</v>
      </c>
      <c r="M27" s="13">
        <f>K27*Calculation!I6/Calculation!K5</f>
        <v>5.2644447849652838E-2</v>
      </c>
      <c r="N27" s="13">
        <v>0</v>
      </c>
      <c r="O27" s="13">
        <v>0</v>
      </c>
      <c r="P27" s="13">
        <f>N27*Calculation!I6/Calculation!K5</f>
        <v>0</v>
      </c>
      <c r="Q27" s="13">
        <f>O27*Calculation!I6/Calculation!K5</f>
        <v>0</v>
      </c>
    </row>
    <row r="28" spans="4:21">
      <c r="D28" s="16">
        <v>3</v>
      </c>
      <c r="E28" s="66">
        <v>4.666666666666667</v>
      </c>
      <c r="F28" s="13">
        <v>0</v>
      </c>
      <c r="G28" s="13">
        <v>0</v>
      </c>
      <c r="H28" s="13">
        <f>F28*Calculation!I7/Calculation!K6</f>
        <v>0</v>
      </c>
      <c r="I28" s="13">
        <f>G28*Calculation!I7/Calculation!K6</f>
        <v>0</v>
      </c>
      <c r="J28" s="13">
        <v>4.978625203344305</v>
      </c>
      <c r="K28" s="13">
        <v>0.12907140399676159</v>
      </c>
      <c r="L28" s="13">
        <f>J28*Calculation!I7/Calculation!K6</f>
        <v>5.0159886504614652</v>
      </c>
      <c r="M28" s="13">
        <f>K28*Calculation!I7/Calculation!K6</f>
        <v>0.13004005545787803</v>
      </c>
      <c r="N28" s="13">
        <v>0</v>
      </c>
      <c r="O28" s="13">
        <v>0</v>
      </c>
      <c r="P28" s="13">
        <f>N28*Calculation!I7/Calculation!K6</f>
        <v>0</v>
      </c>
      <c r="Q28" s="13">
        <f>O28*Calculation!I7/Calculation!K6</f>
        <v>0</v>
      </c>
    </row>
    <row r="29" spans="4:21">
      <c r="D29" s="16">
        <v>4</v>
      </c>
      <c r="E29" s="66">
        <v>6</v>
      </c>
      <c r="F29" s="13">
        <v>0</v>
      </c>
      <c r="G29" s="13">
        <v>0</v>
      </c>
      <c r="H29" s="13">
        <f>F29*Calculation!I8/Calculation!K7</f>
        <v>0</v>
      </c>
      <c r="I29" s="13">
        <f>G29*Calculation!I8/Calculation!K7</f>
        <v>0</v>
      </c>
      <c r="J29" s="13">
        <v>8.3834600688533278</v>
      </c>
      <c r="K29" s="13">
        <v>1.3105215507652396E-2</v>
      </c>
      <c r="L29" s="13">
        <f>J29*Calculation!I8/Calculation!K7</f>
        <v>8.4911546921984282</v>
      </c>
      <c r="M29" s="13">
        <f>K29*Calculation!I8/Calculation!K7</f>
        <v>1.3273566192973431E-2</v>
      </c>
      <c r="N29" s="13">
        <v>0</v>
      </c>
      <c r="O29" s="13">
        <v>0</v>
      </c>
      <c r="P29" s="13">
        <f>N29*Calculation!I8/Calculation!K7</f>
        <v>0</v>
      </c>
      <c r="Q29" s="13">
        <f>O29*Calculation!I8/Calculation!K7</f>
        <v>0</v>
      </c>
    </row>
    <row r="30" spans="4:21">
      <c r="D30" s="16">
        <v>5</v>
      </c>
      <c r="E30" s="66">
        <v>7.333333333333333</v>
      </c>
      <c r="F30" s="13">
        <v>0</v>
      </c>
      <c r="G30" s="13">
        <v>0</v>
      </c>
      <c r="H30" s="13">
        <f>F30*Calculation!I9/Calculation!K8</f>
        <v>0</v>
      </c>
      <c r="I30" s="13">
        <f>G30*Calculation!I9/Calculation!K8</f>
        <v>0</v>
      </c>
      <c r="J30" s="13">
        <v>13.301554874588582</v>
      </c>
      <c r="K30" s="13">
        <v>0.11349449551696753</v>
      </c>
      <c r="L30" s="13">
        <f>J30*Calculation!I9/Calculation!K8</f>
        <v>13.582331988968559</v>
      </c>
      <c r="M30" s="13">
        <f>K30*Calculation!I9/Calculation!K8</f>
        <v>0.11589020468403219</v>
      </c>
      <c r="N30" s="13">
        <v>0</v>
      </c>
      <c r="O30" s="13">
        <v>0</v>
      </c>
      <c r="P30" s="13">
        <f>N30*Calculation!I9/Calculation!K8</f>
        <v>0</v>
      </c>
      <c r="Q30" s="13">
        <f>O30*Calculation!I9/Calculation!K8</f>
        <v>0</v>
      </c>
    </row>
    <row r="31" spans="4:21">
      <c r="D31" s="16">
        <v>6</v>
      </c>
      <c r="E31" s="66">
        <v>8.6666666666666661</v>
      </c>
      <c r="F31" s="13">
        <v>0</v>
      </c>
      <c r="G31" s="13">
        <v>0</v>
      </c>
      <c r="H31" s="13">
        <f>F31*Calculation!I10/Calculation!K9</f>
        <v>0</v>
      </c>
      <c r="I31" s="13">
        <f>G31*Calculation!I10/Calculation!K9</f>
        <v>0</v>
      </c>
      <c r="J31" s="13">
        <v>18.991412249839211</v>
      </c>
      <c r="K31" s="13">
        <v>1.3105215507652396E-2</v>
      </c>
      <c r="L31" s="13">
        <f>J31*Calculation!I10/Calculation!K9</f>
        <v>19.621072184019894</v>
      </c>
      <c r="M31" s="13">
        <f>K31*Calculation!I10/Calculation!K9</f>
        <v>1.3539718693903958E-2</v>
      </c>
      <c r="N31" s="13">
        <v>0</v>
      </c>
      <c r="O31" s="13">
        <v>0</v>
      </c>
      <c r="P31" s="13">
        <f>N31*Calculation!I10/Calculation!K9</f>
        <v>0</v>
      </c>
      <c r="Q31" s="13">
        <f>O31*Calculation!I10/Calculation!K9</f>
        <v>0</v>
      </c>
    </row>
    <row r="32" spans="4:21">
      <c r="D32" s="16">
        <v>7</v>
      </c>
      <c r="E32" s="66">
        <v>10</v>
      </c>
      <c r="F32" s="13">
        <v>0</v>
      </c>
      <c r="G32" s="13">
        <v>0</v>
      </c>
      <c r="H32" s="13">
        <f>F32*Calculation!I11/Calculation!K10</f>
        <v>0</v>
      </c>
      <c r="I32" s="13">
        <f>G32*Calculation!I11/Calculation!K10</f>
        <v>0</v>
      </c>
      <c r="J32" s="13">
        <v>25.558960390421063</v>
      </c>
      <c r="K32" s="13">
        <v>0.47178775827548325</v>
      </c>
      <c r="L32" s="13">
        <f>J32*Calculation!I11/Calculation!K10</f>
        <v>26.780130426153377</v>
      </c>
      <c r="M32" s="13">
        <f>K32*Calculation!I11/Calculation!K10</f>
        <v>0.49432909269717829</v>
      </c>
      <c r="N32" s="13">
        <v>0</v>
      </c>
      <c r="O32" s="13">
        <v>0</v>
      </c>
      <c r="P32" s="13">
        <f>N32*Calculation!I11/Calculation!K10</f>
        <v>0</v>
      </c>
      <c r="Q32" s="13">
        <f>O32*Calculation!I11/Calculation!K10</f>
        <v>0</v>
      </c>
    </row>
    <row r="33" spans="4:17">
      <c r="D33" s="16">
        <v>8</v>
      </c>
      <c r="E33" s="66">
        <v>11.333333333333334</v>
      </c>
      <c r="F33" s="13">
        <v>0</v>
      </c>
      <c r="G33" s="13">
        <v>0</v>
      </c>
      <c r="H33" s="13">
        <f>F33*Calculation!I12/Calculation!K11</f>
        <v>0</v>
      </c>
      <c r="I33" s="13">
        <f>G33*Calculation!I12/Calculation!K11</f>
        <v>0</v>
      </c>
      <c r="J33" s="13">
        <v>30.030643513789588</v>
      </c>
      <c r="K33" s="13">
        <v>0.31205827000039688</v>
      </c>
      <c r="L33" s="13">
        <f>J33*Calculation!I12/Calculation!K11</f>
        <v>31.806245279171851</v>
      </c>
      <c r="M33" s="13">
        <f>K33*Calculation!I12/Calculation!K11</f>
        <v>0.33050913053092168</v>
      </c>
      <c r="N33" s="13">
        <v>0</v>
      </c>
      <c r="O33" s="13">
        <v>0</v>
      </c>
      <c r="P33" s="13">
        <f>N33*Calculation!I12/Calculation!K11</f>
        <v>0</v>
      </c>
      <c r="Q33" s="13">
        <f>O33*Calculation!I12/Calculation!K11</f>
        <v>0</v>
      </c>
    </row>
    <row r="34" spans="4:17">
      <c r="D34" s="16">
        <v>9</v>
      </c>
      <c r="E34" s="66">
        <v>12.666666666666666</v>
      </c>
      <c r="F34" s="13">
        <v>0</v>
      </c>
      <c r="G34" s="13">
        <v>0</v>
      </c>
      <c r="H34" s="13">
        <f>F34*Calculation!I13/Calculation!K12</f>
        <v>0</v>
      </c>
      <c r="I34" s="13">
        <f>G34*Calculation!I13/Calculation!K12</f>
        <v>0</v>
      </c>
      <c r="J34" s="13">
        <v>31.097491771649075</v>
      </c>
      <c r="K34" s="13">
        <v>0.14175457946654005</v>
      </c>
      <c r="L34" s="13">
        <f>J34*Calculation!I13/Calculation!K12</f>
        <v>32.984894508601904</v>
      </c>
      <c r="M34" s="13">
        <f>K34*Calculation!I13/Calculation!K12</f>
        <v>0.15035810232379707</v>
      </c>
      <c r="N34" s="13">
        <v>0</v>
      </c>
      <c r="O34" s="13">
        <v>0</v>
      </c>
      <c r="P34" s="13">
        <f>N34*Calculation!I13/Calculation!K12</f>
        <v>0</v>
      </c>
      <c r="Q34" s="13">
        <f>O34*Calculation!I13/Calculation!K12</f>
        <v>0</v>
      </c>
    </row>
    <row r="35" spans="4:17">
      <c r="D35" s="16">
        <v>10</v>
      </c>
      <c r="E35" s="66">
        <v>14</v>
      </c>
      <c r="F35" s="13">
        <v>0</v>
      </c>
      <c r="G35" s="13">
        <v>0</v>
      </c>
      <c r="H35" s="13">
        <f>F35*Calculation!I14/Calculation!K13</f>
        <v>0</v>
      </c>
      <c r="I35" s="13">
        <f>G35*Calculation!I14/Calculation!K13</f>
        <v>0</v>
      </c>
      <c r="J35" s="13">
        <v>31.664964249233908</v>
      </c>
      <c r="K35" s="13">
        <v>0.13619339462036104</v>
      </c>
      <c r="L35" s="13">
        <f>J35*Calculation!I14/Calculation!K13</f>
        <v>33.638086212416304</v>
      </c>
      <c r="M35" s="13">
        <f>K35*Calculation!I14/Calculation!K13</f>
        <v>0.14467994069856491</v>
      </c>
      <c r="N35" s="13">
        <v>0</v>
      </c>
      <c r="O35" s="13">
        <v>0</v>
      </c>
      <c r="P35" s="13">
        <f>N35*Calculation!I14/Calculation!K13</f>
        <v>0</v>
      </c>
      <c r="Q35" s="13">
        <f>O35*Calculation!I14/Calculation!K13</f>
        <v>0</v>
      </c>
    </row>
    <row r="36" spans="4:17">
      <c r="D36" s="16">
        <v>11</v>
      </c>
      <c r="E36" s="66">
        <v>15.333333333333334</v>
      </c>
      <c r="F36" s="13">
        <v>0</v>
      </c>
      <c r="G36" s="13">
        <v>0</v>
      </c>
      <c r="H36" s="13">
        <f>F36*Calculation!I15/Calculation!K14</f>
        <v>0</v>
      </c>
      <c r="I36" s="13">
        <f>G36*Calculation!I15/Calculation!K14</f>
        <v>0</v>
      </c>
      <c r="J36" s="13">
        <v>31.755759845647486</v>
      </c>
      <c r="K36" s="13">
        <v>0.50705499724636516</v>
      </c>
      <c r="L36" s="13">
        <f>J36*Calculation!I15/Calculation!K14</f>
        <v>33.788043930491668</v>
      </c>
      <c r="M36" s="13">
        <f>K36*Calculation!I15/Calculation!K14</f>
        <v>0.53950516710699081</v>
      </c>
      <c r="N36" s="13">
        <v>0</v>
      </c>
      <c r="O36" s="13">
        <v>0</v>
      </c>
      <c r="P36" s="13">
        <f>N36*Calculation!I15/Calculation!K14</f>
        <v>0</v>
      </c>
      <c r="Q36" s="13">
        <f>O36*Calculation!I15/Calculation!K14</f>
        <v>0</v>
      </c>
    </row>
    <row r="37" spans="4:17">
      <c r="D37" s="16">
        <v>12</v>
      </c>
      <c r="E37" s="66">
        <v>16.666666666666668</v>
      </c>
      <c r="F37" s="13">
        <v>0</v>
      </c>
      <c r="G37" s="13">
        <v>0</v>
      </c>
      <c r="H37" s="13">
        <f>F37*Calculation!I16/Calculation!K15</f>
        <v>0</v>
      </c>
      <c r="I37" s="13">
        <f>G37*Calculation!I16/Calculation!K15</f>
        <v>0</v>
      </c>
      <c r="J37" s="13">
        <v>29.690160027238679</v>
      </c>
      <c r="K37" s="13">
        <v>8.184204461386746E-2</v>
      </c>
      <c r="L37" s="13">
        <f>J37*Calculation!I16/Calculation!K15</f>
        <v>31.616402093293612</v>
      </c>
      <c r="M37" s="13">
        <f>K37*Calculation!I16/Calculation!K15</f>
        <v>8.7151803435057559E-2</v>
      </c>
      <c r="N37" s="13">
        <v>0</v>
      </c>
      <c r="O37" s="13">
        <v>0</v>
      </c>
      <c r="P37" s="13">
        <f>N37*Calculation!I16/Calculation!K15</f>
        <v>0</v>
      </c>
      <c r="Q37" s="13">
        <f>O37*Calculation!I16/Calculation!K15</f>
        <v>0</v>
      </c>
    </row>
    <row r="38" spans="4:17">
      <c r="D38" s="16">
        <v>13</v>
      </c>
      <c r="E38" s="66">
        <v>18</v>
      </c>
      <c r="F38" s="13">
        <v>0</v>
      </c>
      <c r="G38" s="13">
        <v>0</v>
      </c>
      <c r="H38" s="13">
        <f>F38*Calculation!I17/Calculation!K16</f>
        <v>0</v>
      </c>
      <c r="I38" s="13">
        <f>G38*Calculation!I17/Calculation!K16</f>
        <v>0</v>
      </c>
      <c r="J38" s="13">
        <v>32.247569326221011</v>
      </c>
      <c r="K38" s="13">
        <v>0.26111956912552231</v>
      </c>
      <c r="L38" s="13">
        <f>J38*Calculation!I17/Calculation!K16</f>
        <v>34.33973132559057</v>
      </c>
      <c r="M38" s="13">
        <f>K38*Calculation!I17/Calculation!K16</f>
        <v>0.27806051851273583</v>
      </c>
      <c r="N38" s="13">
        <v>0</v>
      </c>
      <c r="O38" s="13">
        <v>0</v>
      </c>
      <c r="P38" s="13">
        <f>N38*Calculation!I17/Calculation!K16</f>
        <v>0</v>
      </c>
      <c r="Q38" s="13">
        <f>O38*Calculation!I17/Calculation!K16</f>
        <v>0</v>
      </c>
    </row>
    <row r="39" spans="4:17">
      <c r="D39" s="16">
        <v>14</v>
      </c>
      <c r="E39" s="66">
        <v>24</v>
      </c>
      <c r="F39" s="13">
        <v>0</v>
      </c>
      <c r="G39" s="13">
        <v>0</v>
      </c>
      <c r="H39" s="13">
        <f>F39*Calculation!I18/Calculation!K17</f>
        <v>0</v>
      </c>
      <c r="I39" s="13">
        <f>G39*Calculation!I18/Calculation!K17</f>
        <v>0</v>
      </c>
      <c r="J39" s="13">
        <v>32.868005901713772</v>
      </c>
      <c r="K39" s="13">
        <v>0.33591303114172555</v>
      </c>
      <c r="L39" s="13">
        <f>J39*Calculation!I18/Calculation!K17</f>
        <v>35.031754972743784</v>
      </c>
      <c r="M39" s="13">
        <f>K39*Calculation!I18/Calculation!K17</f>
        <v>0.3580266790232931</v>
      </c>
      <c r="N39" s="13">
        <v>0</v>
      </c>
      <c r="O39" s="13">
        <v>0</v>
      </c>
      <c r="P39" s="13">
        <f>N39*Calculation!I18/Calculation!K17</f>
        <v>0</v>
      </c>
      <c r="Q39" s="13">
        <f>O39*Calculation!I18/Calculation!K17</f>
        <v>0</v>
      </c>
    </row>
    <row r="40" spans="4:17">
      <c r="D40" s="16">
        <v>15</v>
      </c>
      <c r="E40" s="66">
        <v>30</v>
      </c>
      <c r="F40" s="13">
        <v>0</v>
      </c>
      <c r="G40" s="13">
        <v>0</v>
      </c>
      <c r="H40" s="13">
        <f>F40*Calculation!I19/Calculation!K18</f>
        <v>0</v>
      </c>
      <c r="I40" s="13">
        <f>G40*Calculation!I19/Calculation!K18</f>
        <v>0</v>
      </c>
      <c r="J40" s="13">
        <v>33.806227064654031</v>
      </c>
      <c r="K40" s="13">
        <v>9.4503052977693083E-2</v>
      </c>
      <c r="L40" s="13">
        <f>J40*Calculation!I19/Calculation!K18</f>
        <v>36.03174061192891</v>
      </c>
      <c r="M40" s="13">
        <f>K40*Calculation!I19/Calculation!K18</f>
        <v>0.10072432766352127</v>
      </c>
      <c r="N40" s="13">
        <v>0</v>
      </c>
      <c r="O40" s="13">
        <v>0</v>
      </c>
      <c r="P40" s="13">
        <f>N40*Calculation!I19/Calculation!K18</f>
        <v>0</v>
      </c>
      <c r="Q40" s="13">
        <f>O40*Calculation!I19/Calculation!K18</f>
        <v>0</v>
      </c>
    </row>
    <row r="41" spans="4:17">
      <c r="D41" s="16">
        <v>16</v>
      </c>
      <c r="E41" s="66">
        <v>48</v>
      </c>
      <c r="F41" s="13">
        <v>0</v>
      </c>
      <c r="G41" s="13">
        <v>0</v>
      </c>
      <c r="H41" s="13">
        <f>F41*Calculation!I20/Calculation!K19</f>
        <v>0</v>
      </c>
      <c r="I41" s="13">
        <f>G41*Calculation!I20/Calculation!K19</f>
        <v>0</v>
      </c>
      <c r="J41" s="13">
        <v>35.168161010857638</v>
      </c>
      <c r="K41" s="13">
        <v>0.12907140399676265</v>
      </c>
      <c r="L41" s="13">
        <f>J41*Calculation!I20/Calculation!K19</f>
        <v>37.521004359934985</v>
      </c>
      <c r="M41" s="13">
        <f>K41*Calculation!I20/Calculation!K19</f>
        <v>0.13770662363068378</v>
      </c>
      <c r="N41" s="13">
        <v>0</v>
      </c>
      <c r="O41" s="13">
        <v>0</v>
      </c>
      <c r="P41" s="13">
        <f>N41*Calculation!I20/Calculation!K19</f>
        <v>0</v>
      </c>
      <c r="Q41" s="13">
        <f>O41*Calculation!I20/Calculation!K19</f>
        <v>0</v>
      </c>
    </row>
  </sheetData>
  <mergeCells count="14">
    <mergeCell ref="F22:I22"/>
    <mergeCell ref="J22:M22"/>
    <mergeCell ref="N22:Q22"/>
    <mergeCell ref="N1:Q1"/>
    <mergeCell ref="A1:B1"/>
    <mergeCell ref="A2:B2"/>
    <mergeCell ref="A3:A4"/>
    <mergeCell ref="D22:D23"/>
    <mergeCell ref="E22:E23"/>
    <mergeCell ref="R1:U1"/>
    <mergeCell ref="D1:D2"/>
    <mergeCell ref="E1:E2"/>
    <mergeCell ref="F1:I1"/>
    <mergeCell ref="J1:M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H24"/>
  <sheetViews>
    <sheetView topLeftCell="A4" workbookViewId="0">
      <selection activeCell="G7" sqref="G7:H24"/>
    </sheetView>
  </sheetViews>
  <sheetFormatPr baseColWidth="10" defaultColWidth="8.83203125" defaultRowHeight="14" x14ac:dyDescent="0"/>
  <cols>
    <col min="1" max="1" width="11.5" bestFit="1" customWidth="1"/>
    <col min="7" max="7" width="19.1640625" bestFit="1" customWidth="1"/>
    <col min="8" max="8" width="11.83203125" bestFit="1" customWidth="1"/>
  </cols>
  <sheetData>
    <row r="1" spans="1:8">
      <c r="A1" s="27" t="s">
        <v>35</v>
      </c>
      <c r="B1" s="27" t="s">
        <v>61</v>
      </c>
    </row>
    <row r="2" spans="1:8">
      <c r="A2" s="27" t="s">
        <v>142</v>
      </c>
      <c r="B2" s="17">
        <v>180.16</v>
      </c>
    </row>
    <row r="4" spans="1:8">
      <c r="A4" s="160" t="s">
        <v>143</v>
      </c>
      <c r="B4" s="161"/>
      <c r="C4" s="161"/>
      <c r="D4" s="161"/>
      <c r="E4" s="161"/>
      <c r="F4" s="161"/>
      <c r="G4" s="161"/>
      <c r="H4" s="162"/>
    </row>
    <row r="5" spans="1:8">
      <c r="A5" s="163" t="s">
        <v>62</v>
      </c>
      <c r="B5" s="161"/>
      <c r="C5" s="162"/>
      <c r="D5" s="164" t="s">
        <v>45</v>
      </c>
      <c r="E5" s="164" t="s">
        <v>46</v>
      </c>
      <c r="F5" s="164" t="s">
        <v>47</v>
      </c>
      <c r="G5" s="166" t="s">
        <v>63</v>
      </c>
      <c r="H5" s="166" t="s">
        <v>64</v>
      </c>
    </row>
    <row r="6" spans="1:8">
      <c r="A6" s="28" t="s">
        <v>4</v>
      </c>
      <c r="B6" s="28" t="s">
        <v>5</v>
      </c>
      <c r="C6" s="28" t="s">
        <v>19</v>
      </c>
      <c r="D6" s="165"/>
      <c r="E6" s="165"/>
      <c r="F6" s="165"/>
      <c r="G6" s="167"/>
      <c r="H6" s="167"/>
    </row>
    <row r="7" spans="1:8">
      <c r="A7" s="16">
        <v>0</v>
      </c>
      <c r="B7" s="64">
        <v>-0.16666666666666666</v>
      </c>
      <c r="C7" s="16">
        <v>2</v>
      </c>
      <c r="D7" s="19">
        <v>4.516</v>
      </c>
      <c r="E7" s="19">
        <v>4.5179999999999998</v>
      </c>
      <c r="F7" s="19">
        <v>4.5750000000000002</v>
      </c>
      <c r="G7" s="19">
        <f>(C7*1000*AVERAGE(D7:F7)/$B$2)</f>
        <v>50.358940201302531</v>
      </c>
      <c r="H7" s="19">
        <f>(C7*1000*STDEV(D7:F7))/$B$2</f>
        <v>0.37190545912528994</v>
      </c>
    </row>
    <row r="8" spans="1:8">
      <c r="A8" s="16">
        <v>0</v>
      </c>
      <c r="B8" s="66">
        <v>0.16666666666666666</v>
      </c>
      <c r="C8" s="16">
        <v>2</v>
      </c>
      <c r="D8" s="19">
        <v>4.3879999999999999</v>
      </c>
      <c r="E8" s="19">
        <v>4.4480000000000004</v>
      </c>
      <c r="F8" s="19">
        <v>4.4329999999999998</v>
      </c>
      <c r="G8" s="19">
        <f t="shared" ref="G8:G17" si="0">(C8*1000*AVERAGE(D8:F8))/$B$2</f>
        <v>49.100799289520424</v>
      </c>
      <c r="H8" s="19">
        <f t="shared" ref="H8:H17" si="1">(C8*1000*STDEV(D8:F8))/$B$2</f>
        <v>0.3466362121668759</v>
      </c>
    </row>
    <row r="9" spans="1:8">
      <c r="A9" s="16">
        <v>1</v>
      </c>
      <c r="B9" s="66">
        <v>2</v>
      </c>
      <c r="C9" s="16">
        <v>2</v>
      </c>
      <c r="D9" s="19">
        <v>4.3410000000000002</v>
      </c>
      <c r="E9" s="19">
        <v>4.3159999999999998</v>
      </c>
      <c r="F9" s="19">
        <v>4.32</v>
      </c>
      <c r="G9" s="19">
        <f t="shared" si="0"/>
        <v>48.020278271166376</v>
      </c>
      <c r="H9" s="19">
        <f t="shared" si="1"/>
        <v>0.14907665096568865</v>
      </c>
    </row>
    <row r="10" spans="1:8">
      <c r="A10" s="16">
        <v>2</v>
      </c>
      <c r="B10" s="66">
        <v>3.3333333333333335</v>
      </c>
      <c r="C10" s="16">
        <v>2</v>
      </c>
      <c r="D10" s="19">
        <v>4.2729999999999997</v>
      </c>
      <c r="E10" s="19">
        <v>4.2359999999999998</v>
      </c>
      <c r="F10" s="19">
        <v>4.2350000000000003</v>
      </c>
      <c r="G10" s="19">
        <f t="shared" si="0"/>
        <v>47.158081705150977</v>
      </c>
      <c r="H10" s="19">
        <f t="shared" si="1"/>
        <v>0.24041305314950603</v>
      </c>
    </row>
    <row r="11" spans="1:8">
      <c r="A11" s="16">
        <v>3</v>
      </c>
      <c r="B11" s="66">
        <v>4.666666666666667</v>
      </c>
      <c r="C11" s="16">
        <v>2</v>
      </c>
      <c r="D11" s="19">
        <v>4.0220000000000002</v>
      </c>
      <c r="E11" s="19">
        <v>4.0979999999999999</v>
      </c>
      <c r="F11" s="19">
        <v>3.9670000000000001</v>
      </c>
      <c r="G11" s="19">
        <f t="shared" si="0"/>
        <v>44.726909413854365</v>
      </c>
      <c r="H11" s="19">
        <f t="shared" si="1"/>
        <v>0.73023907805033972</v>
      </c>
    </row>
    <row r="12" spans="1:8">
      <c r="A12" s="16">
        <v>4</v>
      </c>
      <c r="B12" s="66">
        <v>6</v>
      </c>
      <c r="C12" s="16">
        <v>2</v>
      </c>
      <c r="D12" s="19">
        <v>3.67</v>
      </c>
      <c r="E12" s="19">
        <v>3.6840000000000002</v>
      </c>
      <c r="F12" s="19">
        <v>3.6909999999999998</v>
      </c>
      <c r="G12" s="19">
        <f t="shared" si="0"/>
        <v>40.871077560686793</v>
      </c>
      <c r="H12" s="19">
        <f t="shared" si="1"/>
        <v>0.11870200512392998</v>
      </c>
    </row>
    <row r="13" spans="1:8">
      <c r="A13" s="16">
        <v>5</v>
      </c>
      <c r="B13" s="66">
        <v>7.333333333333333</v>
      </c>
      <c r="C13" s="16">
        <v>2</v>
      </c>
      <c r="D13" s="19">
        <v>3.0070000000000001</v>
      </c>
      <c r="E13" s="19">
        <v>2.9740000000000002</v>
      </c>
      <c r="F13" s="19">
        <v>2.984</v>
      </c>
      <c r="G13" s="19">
        <f t="shared" si="0"/>
        <v>33.174215512137359</v>
      </c>
      <c r="H13" s="19">
        <f t="shared" si="1"/>
        <v>0.1878484331926738</v>
      </c>
    </row>
    <row r="14" spans="1:8">
      <c r="A14" s="16">
        <v>6</v>
      </c>
      <c r="B14" s="66">
        <v>8.6666666666666661</v>
      </c>
      <c r="C14" s="16">
        <v>2</v>
      </c>
      <c r="D14" s="19">
        <v>2.0670000000000002</v>
      </c>
      <c r="E14" s="19">
        <v>2.0670000000000002</v>
      </c>
      <c r="F14" s="19">
        <v>2.0710000000000002</v>
      </c>
      <c r="G14" s="19">
        <f t="shared" si="0"/>
        <v>22.961071640023686</v>
      </c>
      <c r="H14" s="19">
        <f t="shared" si="1"/>
        <v>2.5637223321031362E-2</v>
      </c>
    </row>
    <row r="15" spans="1:8">
      <c r="A15" s="16">
        <v>7</v>
      </c>
      <c r="B15" s="66">
        <v>10</v>
      </c>
      <c r="C15" s="16">
        <v>2</v>
      </c>
      <c r="D15" s="19">
        <v>0.875</v>
      </c>
      <c r="E15" s="19">
        <v>0.88</v>
      </c>
      <c r="F15" s="19">
        <v>0.9</v>
      </c>
      <c r="G15" s="19">
        <f t="shared" si="0"/>
        <v>9.8246003552397863</v>
      </c>
      <c r="H15" s="19">
        <f t="shared" si="1"/>
        <v>0.14685564559639169</v>
      </c>
    </row>
    <row r="16" spans="1:8">
      <c r="A16" s="16">
        <v>8</v>
      </c>
      <c r="B16" s="66">
        <v>11.333333333333334</v>
      </c>
      <c r="C16" s="16">
        <v>2</v>
      </c>
      <c r="D16" s="76">
        <v>0</v>
      </c>
      <c r="E16" s="76">
        <v>0</v>
      </c>
      <c r="F16" s="76">
        <v>0</v>
      </c>
      <c r="G16" s="19">
        <f t="shared" si="0"/>
        <v>0</v>
      </c>
      <c r="H16" s="19">
        <f t="shared" si="1"/>
        <v>0</v>
      </c>
    </row>
    <row r="17" spans="1:8">
      <c r="A17" s="16">
        <v>9</v>
      </c>
      <c r="B17" s="66">
        <v>12.666666666666666</v>
      </c>
      <c r="C17" s="16">
        <v>2</v>
      </c>
      <c r="D17" s="76">
        <v>0</v>
      </c>
      <c r="E17" s="76">
        <v>0</v>
      </c>
      <c r="F17" s="76">
        <v>0</v>
      </c>
      <c r="G17" s="19">
        <f t="shared" si="0"/>
        <v>0</v>
      </c>
      <c r="H17" s="19">
        <f t="shared" si="1"/>
        <v>0</v>
      </c>
    </row>
    <row r="18" spans="1:8">
      <c r="A18" s="16">
        <v>10</v>
      </c>
      <c r="B18" s="66">
        <v>14</v>
      </c>
      <c r="C18" s="16">
        <v>2</v>
      </c>
      <c r="D18" s="76">
        <v>0</v>
      </c>
      <c r="E18" s="76">
        <v>0</v>
      </c>
      <c r="F18" s="76">
        <v>0</v>
      </c>
      <c r="G18" s="19">
        <f t="shared" ref="G18:G23" si="2">(C18*1000*AVERAGE(D18:F18))/$B$2</f>
        <v>0</v>
      </c>
      <c r="H18" s="19">
        <f t="shared" ref="H18:H23" si="3">(C18*1000*STDEV(D18:F18))/$B$2</f>
        <v>0</v>
      </c>
    </row>
    <row r="19" spans="1:8">
      <c r="A19" s="16">
        <v>11</v>
      </c>
      <c r="B19" s="66">
        <v>15.333333333333334</v>
      </c>
      <c r="C19" s="16">
        <v>2</v>
      </c>
      <c r="D19" s="76">
        <v>0</v>
      </c>
      <c r="E19" s="76">
        <v>0</v>
      </c>
      <c r="F19" s="76">
        <v>0</v>
      </c>
      <c r="G19" s="19">
        <f t="shared" si="2"/>
        <v>0</v>
      </c>
      <c r="H19" s="19">
        <f t="shared" si="3"/>
        <v>0</v>
      </c>
    </row>
    <row r="20" spans="1:8">
      <c r="A20" s="16">
        <v>12</v>
      </c>
      <c r="B20" s="66">
        <v>16.666666666666668</v>
      </c>
      <c r="C20" s="16">
        <v>2</v>
      </c>
      <c r="D20" s="76">
        <v>0</v>
      </c>
      <c r="E20" s="76">
        <v>0</v>
      </c>
      <c r="F20" s="76">
        <v>0</v>
      </c>
      <c r="G20" s="19">
        <f t="shared" si="2"/>
        <v>0</v>
      </c>
      <c r="H20" s="19">
        <f t="shared" si="3"/>
        <v>0</v>
      </c>
    </row>
    <row r="21" spans="1:8">
      <c r="A21" s="16">
        <v>13</v>
      </c>
      <c r="B21" s="66">
        <v>18</v>
      </c>
      <c r="C21" s="16">
        <v>2</v>
      </c>
      <c r="D21" s="76">
        <v>0</v>
      </c>
      <c r="E21" s="76">
        <v>0</v>
      </c>
      <c r="F21" s="76">
        <v>0</v>
      </c>
      <c r="G21" s="19">
        <f t="shared" si="2"/>
        <v>0</v>
      </c>
      <c r="H21" s="19">
        <f t="shared" si="3"/>
        <v>0</v>
      </c>
    </row>
    <row r="22" spans="1:8">
      <c r="A22" s="16">
        <v>14</v>
      </c>
      <c r="B22" s="66">
        <v>24</v>
      </c>
      <c r="C22" s="16">
        <v>2</v>
      </c>
      <c r="D22" s="76">
        <v>0</v>
      </c>
      <c r="E22" s="76">
        <v>0</v>
      </c>
      <c r="F22" s="76">
        <v>0</v>
      </c>
      <c r="G22" s="19">
        <f t="shared" si="2"/>
        <v>0</v>
      </c>
      <c r="H22" s="19">
        <f t="shared" si="3"/>
        <v>0</v>
      </c>
    </row>
    <row r="23" spans="1:8">
      <c r="A23" s="16">
        <v>15</v>
      </c>
      <c r="B23" s="66">
        <v>30</v>
      </c>
      <c r="C23" s="16">
        <v>2</v>
      </c>
      <c r="D23" s="76">
        <v>0</v>
      </c>
      <c r="E23" s="76">
        <v>0</v>
      </c>
      <c r="F23" s="76">
        <v>0</v>
      </c>
      <c r="G23" s="19">
        <f t="shared" si="2"/>
        <v>0</v>
      </c>
      <c r="H23" s="19">
        <f t="shared" si="3"/>
        <v>0</v>
      </c>
    </row>
    <row r="24" spans="1:8">
      <c r="A24" s="16">
        <v>16</v>
      </c>
      <c r="B24" s="66">
        <v>48</v>
      </c>
      <c r="C24" s="16">
        <v>2</v>
      </c>
      <c r="D24" s="76">
        <v>0</v>
      </c>
      <c r="E24" s="76">
        <v>0</v>
      </c>
      <c r="F24" s="76">
        <v>0</v>
      </c>
      <c r="G24" s="19">
        <f t="shared" ref="G24" si="4">(C24*1000*AVERAGE(D24:F24))/$B$2</f>
        <v>0</v>
      </c>
      <c r="H24" s="19">
        <f t="shared" ref="H24" si="5">(C24*1000*STDEV(D24:F24))/$B$2</f>
        <v>0</v>
      </c>
    </row>
  </sheetData>
  <mergeCells count="7">
    <mergeCell ref="A4:H4"/>
    <mergeCell ref="A5:C5"/>
    <mergeCell ref="D5:D6"/>
    <mergeCell ref="E5:E6"/>
    <mergeCell ref="F5:F6"/>
    <mergeCell ref="G5:G6"/>
    <mergeCell ref="H5:H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H24"/>
  <sheetViews>
    <sheetView workbookViewId="0">
      <selection activeCell="G7" sqref="G7:H24"/>
    </sheetView>
  </sheetViews>
  <sheetFormatPr baseColWidth="10" defaultColWidth="8.83203125" defaultRowHeight="14" x14ac:dyDescent="0"/>
  <cols>
    <col min="1" max="1" width="11.5" bestFit="1" customWidth="1"/>
    <col min="7" max="7" width="19.1640625" bestFit="1" customWidth="1"/>
    <col min="8" max="8" width="11.83203125" bestFit="1" customWidth="1"/>
  </cols>
  <sheetData>
    <row r="1" spans="1:8">
      <c r="A1" s="27" t="s">
        <v>35</v>
      </c>
      <c r="B1" s="27" t="s">
        <v>61</v>
      </c>
    </row>
    <row r="2" spans="1:8">
      <c r="A2" s="27" t="s">
        <v>65</v>
      </c>
      <c r="B2" s="17">
        <v>46.03</v>
      </c>
    </row>
    <row r="4" spans="1:8">
      <c r="A4" s="160" t="s">
        <v>65</v>
      </c>
      <c r="B4" s="161"/>
      <c r="C4" s="161"/>
      <c r="D4" s="161"/>
      <c r="E4" s="161"/>
      <c r="F4" s="161"/>
      <c r="G4" s="161"/>
      <c r="H4" s="162"/>
    </row>
    <row r="5" spans="1:8">
      <c r="A5" s="163" t="s">
        <v>62</v>
      </c>
      <c r="B5" s="161"/>
      <c r="C5" s="162"/>
      <c r="D5" s="164" t="s">
        <v>45</v>
      </c>
      <c r="E5" s="164" t="s">
        <v>46</v>
      </c>
      <c r="F5" s="164" t="s">
        <v>47</v>
      </c>
      <c r="G5" s="166" t="s">
        <v>63</v>
      </c>
      <c r="H5" s="166" t="s">
        <v>64</v>
      </c>
    </row>
    <row r="6" spans="1:8">
      <c r="A6" s="28" t="s">
        <v>4</v>
      </c>
      <c r="B6" s="28" t="s">
        <v>60</v>
      </c>
      <c r="C6" s="28" t="s">
        <v>19</v>
      </c>
      <c r="D6" s="165"/>
      <c r="E6" s="165"/>
      <c r="F6" s="165"/>
      <c r="G6" s="167"/>
      <c r="H6" s="167"/>
    </row>
    <row r="7" spans="1:8">
      <c r="A7" s="67">
        <v>0</v>
      </c>
      <c r="B7" s="64">
        <v>-0.16666666666666666</v>
      </c>
      <c r="C7" s="16">
        <v>2</v>
      </c>
      <c r="D7" s="55">
        <v>0</v>
      </c>
      <c r="E7" s="55">
        <v>0</v>
      </c>
      <c r="F7" s="55">
        <v>0</v>
      </c>
      <c r="G7" s="16">
        <f>(C7*1000*AVERAGE(D7:F7))/$B$2</f>
        <v>0</v>
      </c>
      <c r="H7" s="19">
        <f t="shared" ref="H7:H9" si="0">(C7*1000*STDEV(D7:F7))/$B$2</f>
        <v>0</v>
      </c>
    </row>
    <row r="8" spans="1:8">
      <c r="A8" s="68">
        <v>0</v>
      </c>
      <c r="B8" s="66">
        <v>0.16666666666666666</v>
      </c>
      <c r="C8" s="16">
        <v>2</v>
      </c>
      <c r="D8" s="55">
        <v>2.7E-2</v>
      </c>
      <c r="E8" s="55">
        <v>2.7E-2</v>
      </c>
      <c r="F8" s="55">
        <v>2.7E-2</v>
      </c>
      <c r="G8" s="16">
        <f t="shared" ref="G8:G10" si="1">(C8*1000*AVERAGE(D8:F8))/$B$2</f>
        <v>1.1731479469910928</v>
      </c>
      <c r="H8" s="19">
        <f t="shared" si="0"/>
        <v>0</v>
      </c>
    </row>
    <row r="9" spans="1:8">
      <c r="A9" s="68">
        <v>1</v>
      </c>
      <c r="B9" s="66">
        <v>2</v>
      </c>
      <c r="C9" s="16">
        <v>2</v>
      </c>
      <c r="D9" s="55">
        <v>2.5000000000000001E-2</v>
      </c>
      <c r="E9" s="55">
        <v>2.5000000000000001E-2</v>
      </c>
      <c r="F9" s="55">
        <v>2.5000000000000001E-2</v>
      </c>
      <c r="G9" s="16">
        <f t="shared" si="1"/>
        <v>1.0862480990658268</v>
      </c>
      <c r="H9" s="19">
        <f t="shared" si="0"/>
        <v>1.8462686773714401E-16</v>
      </c>
    </row>
    <row r="10" spans="1:8">
      <c r="A10" s="68">
        <v>2</v>
      </c>
      <c r="B10" s="66">
        <v>3.3333333333333335</v>
      </c>
      <c r="C10" s="16">
        <v>2</v>
      </c>
      <c r="D10" s="55">
        <v>2.3E-2</v>
      </c>
      <c r="E10" s="55">
        <v>2.5000000000000001E-2</v>
      </c>
      <c r="F10" s="55">
        <v>2.5000000000000001E-2</v>
      </c>
      <c r="G10" s="16">
        <f t="shared" si="1"/>
        <v>1.057281483090738</v>
      </c>
      <c r="H10" s="19">
        <f t="shared" ref="H10:H23" si="2">(C10*1000*STDEV(D10:F10))/$B$2</f>
        <v>5.0171650592189976E-2</v>
      </c>
    </row>
    <row r="11" spans="1:8">
      <c r="A11" s="68">
        <v>3</v>
      </c>
      <c r="B11" s="66">
        <v>4.666666666666667</v>
      </c>
      <c r="C11" s="16">
        <v>2</v>
      </c>
      <c r="D11" s="55">
        <v>2.9000000000000001E-2</v>
      </c>
      <c r="E11" s="55">
        <v>2.7E-2</v>
      </c>
      <c r="F11" s="55">
        <v>2.7E-2</v>
      </c>
      <c r="G11" s="16">
        <f t="shared" ref="G11:G23" si="3">(C11*1000*AVERAGE(D11:F11))/$B$2</f>
        <v>1.2021145629661816</v>
      </c>
      <c r="H11" s="19">
        <f t="shared" si="2"/>
        <v>5.0171650592189976E-2</v>
      </c>
    </row>
    <row r="12" spans="1:8">
      <c r="A12" s="68">
        <v>4</v>
      </c>
      <c r="B12" s="66">
        <v>6</v>
      </c>
      <c r="C12" s="16">
        <v>2</v>
      </c>
      <c r="D12" s="55">
        <v>3.1E-2</v>
      </c>
      <c r="E12" s="55">
        <v>3.3000000000000002E-2</v>
      </c>
      <c r="F12" s="55">
        <v>3.2000000000000001E-2</v>
      </c>
      <c r="G12" s="16">
        <f t="shared" si="3"/>
        <v>1.3903975668042581</v>
      </c>
      <c r="H12" s="19">
        <f t="shared" si="2"/>
        <v>4.34499239626331E-2</v>
      </c>
    </row>
    <row r="13" spans="1:8">
      <c r="A13" s="68">
        <v>5</v>
      </c>
      <c r="B13" s="66">
        <v>7.333333333333333</v>
      </c>
      <c r="C13" s="16">
        <v>2</v>
      </c>
      <c r="D13" s="55">
        <v>2.4E-2</v>
      </c>
      <c r="E13" s="55">
        <v>2.3E-2</v>
      </c>
      <c r="F13" s="55">
        <v>2.4E-2</v>
      </c>
      <c r="G13" s="16">
        <f t="shared" si="3"/>
        <v>1.0283148671156492</v>
      </c>
      <c r="H13" s="19">
        <f t="shared" si="2"/>
        <v>2.5085825296094995E-2</v>
      </c>
    </row>
    <row r="14" spans="1:8">
      <c r="A14" s="68">
        <v>6</v>
      </c>
      <c r="B14" s="66">
        <v>8.6666666666666661</v>
      </c>
      <c r="C14" s="16">
        <v>2</v>
      </c>
      <c r="D14" s="55">
        <v>5.0999999999999997E-2</v>
      </c>
      <c r="E14" s="55">
        <v>4.9000000000000002E-2</v>
      </c>
      <c r="F14" s="55">
        <v>0.05</v>
      </c>
      <c r="G14" s="16">
        <f t="shared" si="3"/>
        <v>2.1724961981316535</v>
      </c>
      <c r="H14" s="19">
        <f t="shared" si="2"/>
        <v>4.3449923962632954E-2</v>
      </c>
    </row>
    <row r="15" spans="1:8">
      <c r="A15" s="68">
        <v>7</v>
      </c>
      <c r="B15" s="66">
        <v>10</v>
      </c>
      <c r="C15" s="16">
        <v>2</v>
      </c>
      <c r="D15" s="55">
        <v>0.104</v>
      </c>
      <c r="E15" s="55">
        <v>0.10299999999999999</v>
      </c>
      <c r="F15" s="55">
        <v>0.106</v>
      </c>
      <c r="G15" s="16">
        <f t="shared" si="3"/>
        <v>4.5332754001013829</v>
      </c>
      <c r="H15" s="19">
        <f t="shared" si="2"/>
        <v>6.6370855166280593E-2</v>
      </c>
    </row>
    <row r="16" spans="1:8">
      <c r="A16" s="68">
        <v>8</v>
      </c>
      <c r="B16" s="66">
        <v>11.333333333333334</v>
      </c>
      <c r="C16" s="16">
        <v>2</v>
      </c>
      <c r="D16" s="55">
        <v>0.10199999999999999</v>
      </c>
      <c r="E16" s="55">
        <v>0.10299999999999999</v>
      </c>
      <c r="F16" s="55">
        <v>9.9000000000000005E-2</v>
      </c>
      <c r="G16" s="16">
        <f t="shared" si="3"/>
        <v>4.4029256282134837</v>
      </c>
      <c r="H16" s="19">
        <f t="shared" si="2"/>
        <v>9.0448229392401769E-2</v>
      </c>
    </row>
    <row r="17" spans="1:8">
      <c r="A17" s="68">
        <v>9</v>
      </c>
      <c r="B17" s="66">
        <v>12.666666666666666</v>
      </c>
      <c r="C17" s="16">
        <v>2</v>
      </c>
      <c r="D17" s="55">
        <v>4.8000000000000001E-2</v>
      </c>
      <c r="E17" s="55">
        <v>4.7E-2</v>
      </c>
      <c r="F17" s="55">
        <v>4.7E-2</v>
      </c>
      <c r="G17" s="16">
        <f t="shared" si="3"/>
        <v>2.0566297342312985</v>
      </c>
      <c r="H17" s="19">
        <f t="shared" si="2"/>
        <v>2.5085825296094995E-2</v>
      </c>
    </row>
    <row r="18" spans="1:8">
      <c r="A18" s="68">
        <v>10</v>
      </c>
      <c r="B18" s="66">
        <v>14</v>
      </c>
      <c r="C18" s="16">
        <v>2</v>
      </c>
      <c r="D18" s="55">
        <v>1.6E-2</v>
      </c>
      <c r="E18" s="55">
        <v>1.4999999999999999E-2</v>
      </c>
      <c r="F18" s="55">
        <v>1.4999999999999999E-2</v>
      </c>
      <c r="G18" s="16">
        <f t="shared" si="3"/>
        <v>0.66623216742704028</v>
      </c>
      <c r="H18" s="19">
        <f t="shared" si="2"/>
        <v>2.5085825296094988E-2</v>
      </c>
    </row>
    <row r="19" spans="1:8">
      <c r="A19" s="68">
        <v>11</v>
      </c>
      <c r="B19" s="66">
        <v>15.333333333333334</v>
      </c>
      <c r="C19" s="16">
        <v>2</v>
      </c>
      <c r="D19" s="55">
        <v>1E-3</v>
      </c>
      <c r="E19" s="55">
        <v>1E-3</v>
      </c>
      <c r="F19" s="55">
        <v>1E-3</v>
      </c>
      <c r="G19" s="16">
        <f t="shared" si="3"/>
        <v>4.3449923962633065E-2</v>
      </c>
      <c r="H19" s="19">
        <f t="shared" si="2"/>
        <v>0</v>
      </c>
    </row>
    <row r="20" spans="1:8">
      <c r="A20" s="68">
        <v>12</v>
      </c>
      <c r="B20" s="66">
        <v>16.666666666666668</v>
      </c>
      <c r="C20" s="16">
        <v>2</v>
      </c>
      <c r="D20" s="55">
        <v>0</v>
      </c>
      <c r="E20" s="55">
        <v>0</v>
      </c>
      <c r="F20" s="55">
        <v>0</v>
      </c>
      <c r="G20" s="16">
        <f t="shared" si="3"/>
        <v>0</v>
      </c>
      <c r="H20" s="19">
        <f t="shared" si="2"/>
        <v>0</v>
      </c>
    </row>
    <row r="21" spans="1:8">
      <c r="A21" s="68">
        <v>13</v>
      </c>
      <c r="B21" s="66">
        <v>18</v>
      </c>
      <c r="C21" s="16">
        <v>2</v>
      </c>
      <c r="D21" s="55">
        <v>0</v>
      </c>
      <c r="E21" s="55">
        <v>0</v>
      </c>
      <c r="F21" s="55">
        <v>0</v>
      </c>
      <c r="G21" s="16">
        <f t="shared" si="3"/>
        <v>0</v>
      </c>
      <c r="H21" s="19">
        <f t="shared" si="2"/>
        <v>0</v>
      </c>
    </row>
    <row r="22" spans="1:8">
      <c r="A22" s="68">
        <v>14</v>
      </c>
      <c r="B22" s="66">
        <v>24</v>
      </c>
      <c r="C22" s="16">
        <v>2</v>
      </c>
      <c r="D22" s="55">
        <v>0</v>
      </c>
      <c r="E22" s="55">
        <v>0</v>
      </c>
      <c r="F22" s="55">
        <v>0</v>
      </c>
      <c r="G22" s="16">
        <f t="shared" si="3"/>
        <v>0</v>
      </c>
      <c r="H22" s="19">
        <f t="shared" si="2"/>
        <v>0</v>
      </c>
    </row>
    <row r="23" spans="1:8">
      <c r="A23" s="68">
        <v>15</v>
      </c>
      <c r="B23" s="66">
        <v>30</v>
      </c>
      <c r="C23" s="16">
        <v>2</v>
      </c>
      <c r="D23" s="55">
        <v>0</v>
      </c>
      <c r="E23" s="55">
        <v>0</v>
      </c>
      <c r="F23" s="55">
        <v>0</v>
      </c>
      <c r="G23" s="16">
        <f t="shared" si="3"/>
        <v>0</v>
      </c>
      <c r="H23" s="19">
        <f t="shared" si="2"/>
        <v>0</v>
      </c>
    </row>
    <row r="24" spans="1:8">
      <c r="A24" s="68">
        <v>16</v>
      </c>
      <c r="B24" s="66">
        <v>48</v>
      </c>
      <c r="C24" s="16">
        <v>2</v>
      </c>
      <c r="D24" s="55">
        <v>0</v>
      </c>
      <c r="E24" s="55">
        <v>0</v>
      </c>
      <c r="F24" s="55">
        <v>0</v>
      </c>
      <c r="G24" s="16">
        <f t="shared" ref="G24" si="4">(C24*1000*AVERAGE(D24:F24))/$B$2</f>
        <v>0</v>
      </c>
      <c r="H24" s="19">
        <f t="shared" ref="H24" si="5">(C24*1000*STDEV(D24:F24))/$B$2</f>
        <v>0</v>
      </c>
    </row>
  </sheetData>
  <mergeCells count="7">
    <mergeCell ref="A4:H4"/>
    <mergeCell ref="A5:C5"/>
    <mergeCell ref="D5:D6"/>
    <mergeCell ref="E5:E6"/>
    <mergeCell ref="F5:F6"/>
    <mergeCell ref="G5:G6"/>
    <mergeCell ref="H5:H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workbookViewId="0">
      <selection activeCell="G7" sqref="G7:H24"/>
    </sheetView>
  </sheetViews>
  <sheetFormatPr baseColWidth="10" defaultColWidth="8.83203125" defaultRowHeight="14" x14ac:dyDescent="0"/>
  <cols>
    <col min="1" max="1" width="11.5" bestFit="1" customWidth="1"/>
    <col min="7" max="7" width="19.1640625" bestFit="1" customWidth="1"/>
    <col min="8" max="8" width="11.83203125" bestFit="1" customWidth="1"/>
  </cols>
  <sheetData>
    <row r="1" spans="1:8">
      <c r="A1" s="21" t="s">
        <v>35</v>
      </c>
      <c r="B1" s="21" t="s">
        <v>61</v>
      </c>
    </row>
    <row r="2" spans="1:8">
      <c r="A2" s="21" t="s">
        <v>43</v>
      </c>
      <c r="B2" s="17">
        <v>60.05</v>
      </c>
    </row>
    <row r="4" spans="1:8">
      <c r="A4" s="160" t="s">
        <v>43</v>
      </c>
      <c r="B4" s="161"/>
      <c r="C4" s="161"/>
      <c r="D4" s="161"/>
      <c r="E4" s="161"/>
      <c r="F4" s="161"/>
      <c r="G4" s="161"/>
      <c r="H4" s="162"/>
    </row>
    <row r="5" spans="1:8">
      <c r="A5" s="163" t="s">
        <v>62</v>
      </c>
      <c r="B5" s="161"/>
      <c r="C5" s="162"/>
      <c r="D5" s="164" t="s">
        <v>45</v>
      </c>
      <c r="E5" s="164" t="s">
        <v>46</v>
      </c>
      <c r="F5" s="164" t="s">
        <v>47</v>
      </c>
      <c r="G5" s="166" t="s">
        <v>63</v>
      </c>
      <c r="H5" s="166" t="s">
        <v>64</v>
      </c>
    </row>
    <row r="6" spans="1:8">
      <c r="A6" s="22" t="s">
        <v>4</v>
      </c>
      <c r="B6" s="22" t="s">
        <v>60</v>
      </c>
      <c r="C6" s="22" t="s">
        <v>19</v>
      </c>
      <c r="D6" s="165"/>
      <c r="E6" s="165"/>
      <c r="F6" s="165"/>
      <c r="G6" s="167"/>
      <c r="H6" s="167"/>
    </row>
    <row r="7" spans="1:8">
      <c r="A7" s="67">
        <v>0</v>
      </c>
      <c r="B7" s="64">
        <v>-0.16666666666666666</v>
      </c>
      <c r="C7" s="16">
        <v>2</v>
      </c>
      <c r="D7" s="76">
        <v>3.1E-2</v>
      </c>
      <c r="E7" s="76">
        <v>2.8000000000000001E-2</v>
      </c>
      <c r="F7" s="76">
        <v>0.03</v>
      </c>
      <c r="G7" s="16">
        <f>(C7*1000*AVERAGE(D7:F7))/$B$2</f>
        <v>0.98806550097141266</v>
      </c>
      <c r="H7" s="19">
        <f>(C7*1000*STDEV(D7:F7))/$B$2</f>
        <v>5.087511179523551E-2</v>
      </c>
    </row>
    <row r="8" spans="1:8">
      <c r="A8" s="68">
        <v>0</v>
      </c>
      <c r="B8" s="66">
        <v>0.16666666666666666</v>
      </c>
      <c r="C8" s="16">
        <v>2</v>
      </c>
      <c r="D8" s="76">
        <v>0.13</v>
      </c>
      <c r="E8" s="76">
        <v>0.126</v>
      </c>
      <c r="F8" s="76">
        <v>0.13500000000000001</v>
      </c>
      <c r="G8" s="16">
        <f t="shared" ref="G8:G17" si="0">(C8*1000*AVERAGE(D8:F8))/$B$2</f>
        <v>4.3408270885373303</v>
      </c>
      <c r="H8" s="19">
        <f t="shared" ref="H8:H17" si="1">(C8*1000*STDEV(D8:F8))/$B$2</f>
        <v>0.15018317245038798</v>
      </c>
    </row>
    <row r="9" spans="1:8">
      <c r="A9" s="68">
        <v>1</v>
      </c>
      <c r="B9" s="66">
        <v>2</v>
      </c>
      <c r="C9" s="16">
        <v>2</v>
      </c>
      <c r="D9" s="76">
        <v>0.13400000000000001</v>
      </c>
      <c r="E9" s="76">
        <v>0.13300000000000001</v>
      </c>
      <c r="F9" s="76">
        <v>0.13500000000000001</v>
      </c>
      <c r="G9" s="16">
        <f t="shared" si="0"/>
        <v>4.4629475437135726</v>
      </c>
      <c r="H9" s="19">
        <f t="shared" si="1"/>
        <v>3.3305578684429675E-2</v>
      </c>
    </row>
    <row r="10" spans="1:8">
      <c r="A10" s="68">
        <v>2</v>
      </c>
      <c r="B10" s="66">
        <v>3.3333333333333335</v>
      </c>
      <c r="C10" s="16">
        <v>2</v>
      </c>
      <c r="D10" s="76">
        <v>0.15</v>
      </c>
      <c r="E10" s="76">
        <v>0.14799999999999999</v>
      </c>
      <c r="F10" s="76">
        <v>0.14899999999999999</v>
      </c>
      <c r="G10" s="16">
        <f t="shared" si="0"/>
        <v>4.962531223980017</v>
      </c>
      <c r="H10" s="19">
        <f t="shared" si="1"/>
        <v>3.3305578684429675E-2</v>
      </c>
    </row>
    <row r="11" spans="1:8">
      <c r="A11" s="68">
        <v>3</v>
      </c>
      <c r="B11" s="66">
        <v>4.666666666666667</v>
      </c>
      <c r="C11" s="16">
        <v>2</v>
      </c>
      <c r="D11" s="76">
        <v>0.182</v>
      </c>
      <c r="E11" s="76">
        <v>0.182</v>
      </c>
      <c r="F11" s="76">
        <v>0.17100000000000001</v>
      </c>
      <c r="G11" s="16">
        <f t="shared" si="0"/>
        <v>5.9394948653899533</v>
      </c>
      <c r="H11" s="19">
        <f t="shared" si="1"/>
        <v>0.21151883300868857</v>
      </c>
    </row>
    <row r="12" spans="1:8">
      <c r="A12" s="68">
        <v>4</v>
      </c>
      <c r="B12" s="66">
        <v>6</v>
      </c>
      <c r="C12" s="16">
        <v>2</v>
      </c>
      <c r="D12" s="76">
        <v>0.215</v>
      </c>
      <c r="E12" s="76">
        <v>0.217</v>
      </c>
      <c r="F12" s="76">
        <v>0.223</v>
      </c>
      <c r="G12" s="16">
        <f t="shared" si="0"/>
        <v>7.2717180127671392</v>
      </c>
      <c r="H12" s="19">
        <f t="shared" si="1"/>
        <v>0.13866218147984244</v>
      </c>
    </row>
    <row r="13" spans="1:8">
      <c r="A13" s="68">
        <v>5</v>
      </c>
      <c r="B13" s="66">
        <v>7.333333333333333</v>
      </c>
      <c r="C13" s="16">
        <v>2</v>
      </c>
      <c r="D13" s="76">
        <v>0.32800000000000001</v>
      </c>
      <c r="E13" s="76">
        <v>0.32400000000000001</v>
      </c>
      <c r="F13" s="76">
        <v>0.32300000000000001</v>
      </c>
      <c r="G13" s="16">
        <f t="shared" si="0"/>
        <v>10.824313072439635</v>
      </c>
      <c r="H13" s="19">
        <f t="shared" si="1"/>
        <v>8.8118278470094694E-2</v>
      </c>
    </row>
    <row r="14" spans="1:8">
      <c r="A14" s="68">
        <v>6</v>
      </c>
      <c r="B14" s="66">
        <v>8.6666666666666661</v>
      </c>
      <c r="C14" s="16">
        <v>2</v>
      </c>
      <c r="D14" s="76">
        <v>0.495</v>
      </c>
      <c r="E14" s="76">
        <v>0.501</v>
      </c>
      <c r="F14" s="76">
        <v>0.49299999999999999</v>
      </c>
      <c r="G14" s="16">
        <f t="shared" si="0"/>
        <v>16.53066888703858</v>
      </c>
      <c r="H14" s="19">
        <f t="shared" si="1"/>
        <v>0.13866218147984247</v>
      </c>
    </row>
    <row r="15" spans="1:8">
      <c r="A15" s="68">
        <v>7</v>
      </c>
      <c r="B15" s="66">
        <v>10</v>
      </c>
      <c r="C15" s="16">
        <v>2</v>
      </c>
      <c r="D15" s="19">
        <v>0.621</v>
      </c>
      <c r="E15" s="19">
        <v>0.61099999999999999</v>
      </c>
      <c r="F15" s="19">
        <v>0.63600000000000001</v>
      </c>
      <c r="G15" s="16">
        <f t="shared" si="0"/>
        <v>20.738273660838189</v>
      </c>
      <c r="H15" s="19">
        <f t="shared" si="1"/>
        <v>0.41908600806387769</v>
      </c>
    </row>
    <row r="16" spans="1:8">
      <c r="A16" s="68">
        <v>8</v>
      </c>
      <c r="B16" s="66">
        <v>11.333333333333334</v>
      </c>
      <c r="C16" s="16">
        <v>2</v>
      </c>
      <c r="D16" s="19">
        <v>0.75700000000000001</v>
      </c>
      <c r="E16" s="19">
        <v>0.76100000000000001</v>
      </c>
      <c r="F16" s="19">
        <v>0.745</v>
      </c>
      <c r="G16" s="16">
        <f t="shared" si="0"/>
        <v>25.123508187621425</v>
      </c>
      <c r="H16" s="19">
        <f t="shared" si="1"/>
        <v>0.27732436295968488</v>
      </c>
    </row>
    <row r="17" spans="1:8">
      <c r="A17" s="68">
        <v>9</v>
      </c>
      <c r="B17" s="66">
        <v>12.666666666666666</v>
      </c>
      <c r="C17" s="16">
        <v>2</v>
      </c>
      <c r="D17" s="19">
        <v>0.79900000000000004</v>
      </c>
      <c r="E17" s="19">
        <v>0.79400000000000004</v>
      </c>
      <c r="F17" s="19">
        <v>0.80600000000000005</v>
      </c>
      <c r="G17" s="16">
        <f t="shared" si="0"/>
        <v>26.633361087982237</v>
      </c>
      <c r="H17" s="19">
        <f t="shared" si="1"/>
        <v>0.20075649536525275</v>
      </c>
    </row>
    <row r="18" spans="1:8">
      <c r="A18" s="68">
        <v>10</v>
      </c>
      <c r="B18" s="66">
        <v>14</v>
      </c>
      <c r="C18" s="16">
        <v>2</v>
      </c>
      <c r="D18" s="19">
        <v>0.80100000000000005</v>
      </c>
      <c r="E18" s="19">
        <v>0.81699999999999995</v>
      </c>
      <c r="F18" s="19">
        <v>0.81799999999999995</v>
      </c>
      <c r="G18" s="16">
        <f t="shared" ref="G18:G23" si="2">(C18*1000*AVERAGE(D18:F18))/$B$2</f>
        <v>27.044129891756871</v>
      </c>
      <c r="H18" s="19">
        <f t="shared" ref="H18:H23" si="3">(C18*1000*STDEV(D18:F18))/$B$2</f>
        <v>0.31771497132953874</v>
      </c>
    </row>
    <row r="19" spans="1:8">
      <c r="A19" s="68">
        <v>11</v>
      </c>
      <c r="B19" s="66">
        <v>15.333333333333334</v>
      </c>
      <c r="C19" s="16">
        <v>2</v>
      </c>
      <c r="D19" s="19">
        <v>0.79</v>
      </c>
      <c r="E19" s="19">
        <v>0.81200000000000006</v>
      </c>
      <c r="F19" s="19">
        <v>0.81599999999999995</v>
      </c>
      <c r="G19" s="16">
        <f t="shared" si="2"/>
        <v>26.844296419650291</v>
      </c>
      <c r="H19" s="19">
        <f t="shared" si="3"/>
        <v>0.4662781015820141</v>
      </c>
    </row>
    <row r="20" spans="1:8">
      <c r="A20" s="68">
        <v>12</v>
      </c>
      <c r="B20" s="66">
        <v>16.666666666666668</v>
      </c>
      <c r="C20" s="16">
        <v>2</v>
      </c>
      <c r="D20" s="19">
        <v>0.75700000000000001</v>
      </c>
      <c r="E20" s="19">
        <v>0.751</v>
      </c>
      <c r="F20" s="19">
        <v>0.753</v>
      </c>
      <c r="G20" s="16">
        <f t="shared" si="2"/>
        <v>25.101304468498476</v>
      </c>
      <c r="H20" s="19">
        <f t="shared" si="3"/>
        <v>0.10175022359047114</v>
      </c>
    </row>
    <row r="21" spans="1:8">
      <c r="A21" s="68">
        <v>13</v>
      </c>
      <c r="B21" s="66">
        <v>18</v>
      </c>
      <c r="C21" s="16">
        <v>2</v>
      </c>
      <c r="D21" s="19">
        <v>0.81599999999999995</v>
      </c>
      <c r="E21" s="19">
        <v>0.83</v>
      </c>
      <c r="F21" s="19">
        <v>0.80900000000000005</v>
      </c>
      <c r="G21" s="16">
        <f t="shared" si="2"/>
        <v>27.255065223424925</v>
      </c>
      <c r="H21" s="19">
        <f t="shared" si="3"/>
        <v>0.3561257825666474</v>
      </c>
    </row>
    <row r="22" spans="1:8">
      <c r="A22" s="68">
        <v>14</v>
      </c>
      <c r="B22" s="66">
        <v>24</v>
      </c>
      <c r="C22" s="16">
        <v>2</v>
      </c>
      <c r="D22" s="19">
        <v>0.82199999999999995</v>
      </c>
      <c r="E22" s="19">
        <v>0.83499999999999996</v>
      </c>
      <c r="F22" s="19">
        <v>0.83</v>
      </c>
      <c r="G22" s="16">
        <f t="shared" si="2"/>
        <v>27.610324729392179</v>
      </c>
      <c r="H22" s="19">
        <f t="shared" si="3"/>
        <v>0.21839928473945069</v>
      </c>
    </row>
    <row r="23" spans="1:8">
      <c r="A23" s="68">
        <v>15</v>
      </c>
      <c r="B23" s="66">
        <v>30</v>
      </c>
      <c r="C23" s="16">
        <v>2</v>
      </c>
      <c r="D23" s="19">
        <v>0.83899999999999997</v>
      </c>
      <c r="E23" s="19">
        <v>0.84599999999999997</v>
      </c>
      <c r="F23" s="19">
        <v>0.84</v>
      </c>
      <c r="G23" s="16">
        <f t="shared" si="2"/>
        <v>28.032195392728283</v>
      </c>
      <c r="H23" s="19">
        <f t="shared" si="3"/>
        <v>0.12609288583514358</v>
      </c>
    </row>
    <row r="24" spans="1:8">
      <c r="A24" s="68">
        <v>16</v>
      </c>
      <c r="B24" s="66">
        <v>48</v>
      </c>
      <c r="C24" s="16">
        <v>2</v>
      </c>
      <c r="D24" s="19">
        <v>0.86099999999999999</v>
      </c>
      <c r="E24" s="19">
        <v>0.85899999999999999</v>
      </c>
      <c r="F24" s="19">
        <v>0.85</v>
      </c>
      <c r="G24" s="16">
        <f t="shared" ref="G24" si="4">(C24*1000*AVERAGE(D24:F24))/$B$2</f>
        <v>28.531779072994727</v>
      </c>
      <c r="H24" s="19">
        <f t="shared" ref="H24" si="5">(C24*1000*STDEV(D24:F24))/$B$2</f>
        <v>0.19515288183454854</v>
      </c>
    </row>
  </sheetData>
  <mergeCells count="7">
    <mergeCell ref="A4:H4"/>
    <mergeCell ref="A5:C5"/>
    <mergeCell ref="D5:D6"/>
    <mergeCell ref="E5:E6"/>
    <mergeCell ref="F5:F6"/>
    <mergeCell ref="G5:G6"/>
    <mergeCell ref="H5:H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workbookViewId="0">
      <selection activeCell="A4" sqref="A4:D20"/>
    </sheetView>
  </sheetViews>
  <sheetFormatPr baseColWidth="10" defaultColWidth="8.83203125" defaultRowHeight="14" x14ac:dyDescent="0"/>
  <cols>
    <col min="1" max="3" width="8.83203125" style="2"/>
    <col min="4" max="4" width="9.1640625" style="2" bestFit="1" customWidth="1"/>
    <col min="5" max="5" width="12.5" style="2" bestFit="1" customWidth="1"/>
    <col min="6" max="6" width="11.33203125" style="2" bestFit="1" customWidth="1"/>
    <col min="7" max="8" width="8.83203125" style="2"/>
    <col min="9" max="9" width="15" style="2" bestFit="1" customWidth="1"/>
    <col min="10" max="10" width="10.6640625" style="2" bestFit="1" customWidth="1"/>
    <col min="11" max="11" width="38.1640625" style="2" customWidth="1"/>
    <col min="12" max="16384" width="8.83203125" style="2"/>
  </cols>
  <sheetData>
    <row r="1" spans="1:11">
      <c r="A1" s="132" t="s">
        <v>4</v>
      </c>
      <c r="B1" s="132" t="s">
        <v>117</v>
      </c>
      <c r="C1" s="132" t="s">
        <v>117</v>
      </c>
      <c r="D1" s="132" t="s">
        <v>5</v>
      </c>
      <c r="E1" s="4" t="s">
        <v>7</v>
      </c>
      <c r="F1" s="4" t="s">
        <v>9</v>
      </c>
      <c r="G1" s="131" t="s">
        <v>11</v>
      </c>
      <c r="H1" s="131" t="s">
        <v>12</v>
      </c>
      <c r="I1" s="4" t="s">
        <v>13</v>
      </c>
      <c r="J1" s="4" t="s">
        <v>16</v>
      </c>
      <c r="K1" s="4" t="s">
        <v>16</v>
      </c>
    </row>
    <row r="2" spans="1:11">
      <c r="A2" s="133"/>
      <c r="B2" s="133"/>
      <c r="C2" s="133"/>
      <c r="D2" s="133"/>
      <c r="E2" s="5" t="s">
        <v>8</v>
      </c>
      <c r="F2" s="5" t="s">
        <v>10</v>
      </c>
      <c r="G2" s="131"/>
      <c r="H2" s="131"/>
      <c r="I2" s="5" t="s">
        <v>14</v>
      </c>
      <c r="J2" s="5" t="s">
        <v>17</v>
      </c>
      <c r="K2" s="5" t="s">
        <v>141</v>
      </c>
    </row>
    <row r="3" spans="1:11">
      <c r="A3" s="33" t="s">
        <v>6</v>
      </c>
      <c r="B3" s="32">
        <v>-10</v>
      </c>
      <c r="C3" s="32">
        <f>B3</f>
        <v>-10</v>
      </c>
      <c r="D3" s="13">
        <f>C3/60</f>
        <v>-0.16666666666666666</v>
      </c>
      <c r="E3" s="3">
        <v>43</v>
      </c>
      <c r="F3" s="1">
        <f>E3</f>
        <v>43</v>
      </c>
      <c r="G3" s="1">
        <v>0</v>
      </c>
      <c r="H3" s="1">
        <v>0</v>
      </c>
      <c r="I3" s="1">
        <f>$F$22+G3+H3</f>
        <v>1500</v>
      </c>
      <c r="J3" s="13">
        <f>F3*1500/I3</f>
        <v>43</v>
      </c>
      <c r="K3" s="13">
        <f>$F$23-J3</f>
        <v>1682</v>
      </c>
    </row>
    <row r="4" spans="1:11">
      <c r="A4" s="1">
        <v>0</v>
      </c>
      <c r="B4" s="32">
        <v>10</v>
      </c>
      <c r="C4" s="32">
        <f>B4</f>
        <v>10</v>
      </c>
      <c r="D4" s="13">
        <f t="shared" ref="D4:D20" si="0">C4/60</f>
        <v>0.16666666666666666</v>
      </c>
      <c r="E4" s="1">
        <v>48</v>
      </c>
      <c r="F4" s="1">
        <f>E4+F3</f>
        <v>91</v>
      </c>
      <c r="G4" s="40">
        <v>3</v>
      </c>
      <c r="H4" s="40">
        <v>0</v>
      </c>
      <c r="I4" s="1">
        <f t="shared" ref="I4:I20" si="1">$F$23-F3+G4+H4</f>
        <v>1685</v>
      </c>
      <c r="J4" s="13">
        <f>E4*K3/I4</f>
        <v>47.914540059347182</v>
      </c>
      <c r="K4" s="13">
        <f>K3-J4</f>
        <v>1634.0854599406528</v>
      </c>
    </row>
    <row r="5" spans="1:11">
      <c r="A5" s="1">
        <v>1</v>
      </c>
      <c r="B5" s="32">
        <v>110</v>
      </c>
      <c r="C5" s="32">
        <f>C4+B5</f>
        <v>120</v>
      </c>
      <c r="D5" s="13">
        <f t="shared" si="0"/>
        <v>2</v>
      </c>
      <c r="E5" s="1">
        <v>44</v>
      </c>
      <c r="F5" s="1">
        <f t="shared" ref="F5:F18" si="2">E5+F4</f>
        <v>135</v>
      </c>
      <c r="G5" s="40">
        <v>5</v>
      </c>
      <c r="H5" s="40">
        <v>0</v>
      </c>
      <c r="I5" s="40">
        <f>$F$23-F4+G5+H5</f>
        <v>1639</v>
      </c>
      <c r="J5" s="13">
        <f>E5*K4/I5</f>
        <v>43.868066038675238</v>
      </c>
      <c r="K5" s="13">
        <f>K4-J5</f>
        <v>1590.2173939019776</v>
      </c>
    </row>
    <row r="6" spans="1:11">
      <c r="A6" s="1">
        <v>2</v>
      </c>
      <c r="B6" s="32">
        <v>80</v>
      </c>
      <c r="C6" s="32">
        <f>C5+B6</f>
        <v>200</v>
      </c>
      <c r="D6" s="13">
        <f t="shared" si="0"/>
        <v>3.3333333333333335</v>
      </c>
      <c r="E6" s="1">
        <v>47</v>
      </c>
      <c r="F6" s="1">
        <f t="shared" si="2"/>
        <v>182</v>
      </c>
      <c r="G6" s="40">
        <v>7</v>
      </c>
      <c r="H6" s="40">
        <v>0</v>
      </c>
      <c r="I6" s="40">
        <f t="shared" si="1"/>
        <v>1597</v>
      </c>
      <c r="J6" s="13">
        <f>E6*K5/I6</f>
        <v>46.800386670878488</v>
      </c>
      <c r="K6" s="13">
        <f t="shared" ref="K6:K13" si="3">K5-J6</f>
        <v>1543.4170072310992</v>
      </c>
    </row>
    <row r="7" spans="1:11">
      <c r="A7" s="1">
        <v>3</v>
      </c>
      <c r="B7" s="32">
        <v>80</v>
      </c>
      <c r="C7" s="32">
        <f>C6+B7</f>
        <v>280</v>
      </c>
      <c r="D7" s="13">
        <f t="shared" si="0"/>
        <v>4.666666666666667</v>
      </c>
      <c r="E7" s="1">
        <v>46</v>
      </c>
      <c r="F7" s="1">
        <f t="shared" si="2"/>
        <v>228</v>
      </c>
      <c r="G7" s="40">
        <v>12</v>
      </c>
      <c r="H7" s="40">
        <v>0</v>
      </c>
      <c r="I7" s="40">
        <f t="shared" si="1"/>
        <v>1555</v>
      </c>
      <c r="J7" s="13">
        <f>E7*K6/I7</f>
        <v>45.657351982399071</v>
      </c>
      <c r="K7" s="13">
        <f>K6-J7</f>
        <v>1497.7596552487</v>
      </c>
    </row>
    <row r="8" spans="1:11">
      <c r="A8" s="1">
        <v>4</v>
      </c>
      <c r="B8" s="32">
        <v>80</v>
      </c>
      <c r="C8" s="32">
        <f t="shared" ref="C8:C18" si="4">C7+B8</f>
        <v>360</v>
      </c>
      <c r="D8" s="13">
        <f t="shared" si="0"/>
        <v>6</v>
      </c>
      <c r="E8" s="1">
        <v>46</v>
      </c>
      <c r="F8" s="1">
        <f t="shared" si="2"/>
        <v>274</v>
      </c>
      <c r="G8" s="40">
        <v>20</v>
      </c>
      <c r="H8" s="40">
        <v>0</v>
      </c>
      <c r="I8" s="40">
        <f t="shared" si="1"/>
        <v>1517</v>
      </c>
      <c r="J8" s="13">
        <f t="shared" ref="J8:J13" si="5">E8*K7/I8</f>
        <v>45.416574911957937</v>
      </c>
      <c r="K8" s="13">
        <f t="shared" si="3"/>
        <v>1452.3430803367421</v>
      </c>
    </row>
    <row r="9" spans="1:11">
      <c r="A9" s="1">
        <v>5</v>
      </c>
      <c r="B9" s="32">
        <v>80</v>
      </c>
      <c r="C9" s="32">
        <f t="shared" si="4"/>
        <v>440</v>
      </c>
      <c r="D9" s="13">
        <f t="shared" si="0"/>
        <v>7.333333333333333</v>
      </c>
      <c r="E9" s="1">
        <v>42</v>
      </c>
      <c r="F9" s="1">
        <f t="shared" si="2"/>
        <v>316</v>
      </c>
      <c r="G9" s="40">
        <v>32</v>
      </c>
      <c r="H9" s="40">
        <v>0</v>
      </c>
      <c r="I9" s="40">
        <f t="shared" si="1"/>
        <v>1483</v>
      </c>
      <c r="J9" s="13">
        <f t="shared" si="5"/>
        <v>41.131766267122842</v>
      </c>
      <c r="K9" s="13">
        <f t="shared" si="3"/>
        <v>1411.2113140696192</v>
      </c>
    </row>
    <row r="10" spans="1:11">
      <c r="A10" s="1">
        <v>6</v>
      </c>
      <c r="B10" s="32">
        <v>80</v>
      </c>
      <c r="C10" s="32">
        <f t="shared" si="4"/>
        <v>520</v>
      </c>
      <c r="D10" s="13">
        <f t="shared" si="0"/>
        <v>8.6666666666666661</v>
      </c>
      <c r="E10" s="1">
        <v>45</v>
      </c>
      <c r="F10" s="1">
        <f t="shared" si="2"/>
        <v>361</v>
      </c>
      <c r="G10" s="40">
        <v>49</v>
      </c>
      <c r="H10" s="40">
        <v>0</v>
      </c>
      <c r="I10" s="40">
        <f t="shared" si="1"/>
        <v>1458</v>
      </c>
      <c r="J10" s="13">
        <f t="shared" si="5"/>
        <v>43.555904755235161</v>
      </c>
      <c r="K10" s="13">
        <f t="shared" si="3"/>
        <v>1367.6554093143841</v>
      </c>
    </row>
    <row r="11" spans="1:11">
      <c r="A11" s="1">
        <v>7</v>
      </c>
      <c r="B11" s="32">
        <v>80</v>
      </c>
      <c r="C11" s="32">
        <f t="shared" si="4"/>
        <v>600</v>
      </c>
      <c r="D11" s="13">
        <f t="shared" si="0"/>
        <v>10</v>
      </c>
      <c r="E11" s="1">
        <v>48</v>
      </c>
      <c r="F11" s="1">
        <f t="shared" si="2"/>
        <v>409</v>
      </c>
      <c r="G11" s="40">
        <v>69</v>
      </c>
      <c r="H11" s="40">
        <v>0</v>
      </c>
      <c r="I11" s="40">
        <f t="shared" si="1"/>
        <v>1433</v>
      </c>
      <c r="J11" s="13">
        <f t="shared" si="5"/>
        <v>45.811207011228497</v>
      </c>
      <c r="K11" s="13">
        <f t="shared" si="3"/>
        <v>1321.8442023031555</v>
      </c>
    </row>
    <row r="12" spans="1:11">
      <c r="A12" s="1">
        <v>8</v>
      </c>
      <c r="B12" s="32">
        <v>80</v>
      </c>
      <c r="C12" s="32">
        <f t="shared" si="4"/>
        <v>680</v>
      </c>
      <c r="D12" s="13">
        <f t="shared" si="0"/>
        <v>11.333333333333334</v>
      </c>
      <c r="E12" s="1">
        <v>48</v>
      </c>
      <c r="F12" s="1">
        <f t="shared" si="2"/>
        <v>457</v>
      </c>
      <c r="G12" s="40">
        <v>84</v>
      </c>
      <c r="H12" s="40">
        <v>0</v>
      </c>
      <c r="I12" s="40">
        <f t="shared" si="1"/>
        <v>1400</v>
      </c>
      <c r="J12" s="13">
        <f t="shared" si="5"/>
        <v>45.3203726503939</v>
      </c>
      <c r="K12" s="13">
        <f t="shared" si="3"/>
        <v>1276.5238296527616</v>
      </c>
    </row>
    <row r="13" spans="1:11">
      <c r="A13" s="1">
        <v>9</v>
      </c>
      <c r="B13" s="32">
        <v>80</v>
      </c>
      <c r="C13" s="32">
        <f t="shared" si="4"/>
        <v>760</v>
      </c>
      <c r="D13" s="13">
        <f t="shared" si="0"/>
        <v>12.666666666666666</v>
      </c>
      <c r="E13" s="1">
        <v>44</v>
      </c>
      <c r="F13" s="1">
        <f t="shared" si="2"/>
        <v>501</v>
      </c>
      <c r="G13" s="40">
        <v>84</v>
      </c>
      <c r="H13" s="40">
        <v>2</v>
      </c>
      <c r="I13" s="40">
        <f t="shared" si="1"/>
        <v>1354</v>
      </c>
      <c r="J13" s="13">
        <f t="shared" si="5"/>
        <v>41.482310564786935</v>
      </c>
      <c r="K13" s="13">
        <f t="shared" si="3"/>
        <v>1235.0415190879746</v>
      </c>
    </row>
    <row r="14" spans="1:11">
      <c r="A14" s="37">
        <v>10</v>
      </c>
      <c r="B14" s="32">
        <v>80</v>
      </c>
      <c r="C14" s="32">
        <f t="shared" si="4"/>
        <v>840</v>
      </c>
      <c r="D14" s="13">
        <f t="shared" si="0"/>
        <v>14</v>
      </c>
      <c r="E14" s="3">
        <v>51</v>
      </c>
      <c r="F14" s="37">
        <f t="shared" si="2"/>
        <v>552</v>
      </c>
      <c r="G14" s="40">
        <v>84</v>
      </c>
      <c r="H14" s="40">
        <v>4</v>
      </c>
      <c r="I14" s="40">
        <f t="shared" si="1"/>
        <v>1312</v>
      </c>
      <c r="J14" s="13">
        <f t="shared" ref="J14:J19" si="6">E14*K13/I14</f>
        <v>48.008473684059993</v>
      </c>
      <c r="K14" s="13">
        <f t="shared" ref="K14:K19" si="7">K13-J14</f>
        <v>1187.0330454039147</v>
      </c>
    </row>
    <row r="15" spans="1:11">
      <c r="A15" s="37">
        <v>11</v>
      </c>
      <c r="B15" s="32">
        <v>80</v>
      </c>
      <c r="C15" s="32">
        <f t="shared" si="4"/>
        <v>920</v>
      </c>
      <c r="D15" s="13">
        <f t="shared" si="0"/>
        <v>15.333333333333334</v>
      </c>
      <c r="E15" s="83">
        <v>55</v>
      </c>
      <c r="F15" s="37">
        <f t="shared" si="2"/>
        <v>607</v>
      </c>
      <c r="G15" s="40">
        <v>84</v>
      </c>
      <c r="H15" s="40">
        <v>6</v>
      </c>
      <c r="I15" s="40">
        <f t="shared" si="1"/>
        <v>1263</v>
      </c>
      <c r="J15" s="13">
        <f t="shared" si="6"/>
        <v>51.691858667628907</v>
      </c>
      <c r="K15" s="13">
        <f t="shared" si="7"/>
        <v>1135.3411867362859</v>
      </c>
    </row>
    <row r="16" spans="1:11">
      <c r="A16" s="37">
        <v>12</v>
      </c>
      <c r="B16" s="32">
        <v>80</v>
      </c>
      <c r="C16" s="32">
        <f t="shared" si="4"/>
        <v>1000</v>
      </c>
      <c r="D16" s="13">
        <f t="shared" si="0"/>
        <v>16.666666666666668</v>
      </c>
      <c r="E16" s="37">
        <v>45</v>
      </c>
      <c r="F16" s="37">
        <f t="shared" si="2"/>
        <v>652</v>
      </c>
      <c r="G16" s="40">
        <v>84</v>
      </c>
      <c r="H16" s="40">
        <v>7</v>
      </c>
      <c r="I16" s="40">
        <f t="shared" si="1"/>
        <v>1209</v>
      </c>
      <c r="J16" s="13">
        <f t="shared" si="6"/>
        <v>42.25835682641263</v>
      </c>
      <c r="K16" s="13">
        <f t="shared" si="7"/>
        <v>1093.0828299098732</v>
      </c>
    </row>
    <row r="17" spans="1:11">
      <c r="A17" s="37">
        <v>13</v>
      </c>
      <c r="B17" s="32">
        <v>80</v>
      </c>
      <c r="C17" s="32">
        <f t="shared" si="4"/>
        <v>1080</v>
      </c>
      <c r="D17" s="13">
        <f t="shared" si="0"/>
        <v>18</v>
      </c>
      <c r="E17" s="37">
        <v>47</v>
      </c>
      <c r="F17" s="37">
        <f t="shared" si="2"/>
        <v>699</v>
      </c>
      <c r="G17" s="40">
        <v>84</v>
      </c>
      <c r="H17" s="40">
        <v>7</v>
      </c>
      <c r="I17" s="40">
        <f t="shared" si="1"/>
        <v>1164</v>
      </c>
      <c r="J17" s="13">
        <f t="shared" si="6"/>
        <v>44.136506018697631</v>
      </c>
      <c r="K17" s="13">
        <f t="shared" si="7"/>
        <v>1048.9463238911756</v>
      </c>
    </row>
    <row r="18" spans="1:11">
      <c r="A18" s="37">
        <v>14</v>
      </c>
      <c r="B18" s="32">
        <v>360</v>
      </c>
      <c r="C18" s="32">
        <f t="shared" si="4"/>
        <v>1440</v>
      </c>
      <c r="D18" s="13">
        <f t="shared" si="0"/>
        <v>24</v>
      </c>
      <c r="E18" s="37">
        <v>53</v>
      </c>
      <c r="F18" s="37">
        <f t="shared" si="2"/>
        <v>752</v>
      </c>
      <c r="G18" s="40">
        <v>84</v>
      </c>
      <c r="H18" s="40">
        <v>8</v>
      </c>
      <c r="I18" s="40">
        <f t="shared" si="1"/>
        <v>1118</v>
      </c>
      <c r="J18" s="13">
        <f t="shared" si="6"/>
        <v>49.726435747971649</v>
      </c>
      <c r="K18" s="13">
        <f t="shared" si="7"/>
        <v>999.21988814320389</v>
      </c>
    </row>
    <row r="19" spans="1:11">
      <c r="A19" s="37">
        <v>15</v>
      </c>
      <c r="B19" s="32">
        <v>360</v>
      </c>
      <c r="C19" s="32">
        <f>C18+B19</f>
        <v>1800</v>
      </c>
      <c r="D19" s="13">
        <f t="shared" si="0"/>
        <v>30</v>
      </c>
      <c r="E19" s="37">
        <v>70</v>
      </c>
      <c r="F19" s="37">
        <f>E19+F18</f>
        <v>822</v>
      </c>
      <c r="G19" s="40">
        <v>84</v>
      </c>
      <c r="H19" s="40">
        <v>8</v>
      </c>
      <c r="I19" s="40">
        <f t="shared" si="1"/>
        <v>1065</v>
      </c>
      <c r="J19" s="13">
        <f t="shared" si="6"/>
        <v>65.676424572792754</v>
      </c>
      <c r="K19" s="13">
        <f t="shared" si="7"/>
        <v>933.54346357041118</v>
      </c>
    </row>
    <row r="20" spans="1:11">
      <c r="A20" s="40">
        <v>16</v>
      </c>
      <c r="B20" s="32">
        <v>1080</v>
      </c>
      <c r="C20" s="32">
        <f>C19+B20</f>
        <v>2880</v>
      </c>
      <c r="D20" s="13">
        <f t="shared" si="0"/>
        <v>48</v>
      </c>
      <c r="E20" s="40">
        <v>55</v>
      </c>
      <c r="F20" s="40">
        <f t="shared" ref="F20" si="8">E20+F19</f>
        <v>877</v>
      </c>
      <c r="G20" s="40">
        <v>84</v>
      </c>
      <c r="H20" s="40">
        <v>9</v>
      </c>
      <c r="I20" s="40">
        <f t="shared" si="1"/>
        <v>996</v>
      </c>
      <c r="J20" s="13">
        <f t="shared" ref="J20" si="9">E20*K19/I20</f>
        <v>51.551094875876117</v>
      </c>
      <c r="K20" s="13">
        <f t="shared" ref="K20" si="10">K19-J20</f>
        <v>881.99236869453512</v>
      </c>
    </row>
    <row r="22" spans="1:11">
      <c r="A22" s="128" t="s">
        <v>15</v>
      </c>
      <c r="B22" s="129"/>
      <c r="C22" s="129"/>
      <c r="D22" s="129"/>
      <c r="E22" s="130"/>
      <c r="F22" s="1">
        <v>1500</v>
      </c>
    </row>
    <row r="23" spans="1:11">
      <c r="A23" s="128" t="s">
        <v>15</v>
      </c>
      <c r="B23" s="129"/>
      <c r="C23" s="129"/>
      <c r="D23" s="129"/>
      <c r="E23" s="130"/>
      <c r="F23" s="40">
        <v>1725</v>
      </c>
    </row>
  </sheetData>
  <mergeCells count="8">
    <mergeCell ref="A23:E23"/>
    <mergeCell ref="A1:A2"/>
    <mergeCell ref="D1:D2"/>
    <mergeCell ref="G1:G2"/>
    <mergeCell ref="H1:H2"/>
    <mergeCell ref="A22:E22"/>
    <mergeCell ref="B1:B2"/>
    <mergeCell ref="C1:C2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H24"/>
  <sheetViews>
    <sheetView workbookViewId="0">
      <selection activeCell="B23" sqref="B23"/>
    </sheetView>
  </sheetViews>
  <sheetFormatPr baseColWidth="10" defaultColWidth="8.83203125" defaultRowHeight="14" x14ac:dyDescent="0"/>
  <cols>
    <col min="1" max="1" width="11.5" bestFit="1" customWidth="1"/>
    <col min="7" max="7" width="19.1640625" bestFit="1" customWidth="1"/>
    <col min="8" max="8" width="11.83203125" bestFit="1" customWidth="1"/>
  </cols>
  <sheetData>
    <row r="1" spans="1:8">
      <c r="A1" s="27" t="s">
        <v>35</v>
      </c>
      <c r="B1" s="27" t="s">
        <v>61</v>
      </c>
    </row>
    <row r="2" spans="1:8">
      <c r="A2" s="27" t="s">
        <v>67</v>
      </c>
      <c r="B2" s="17">
        <v>74.08</v>
      </c>
    </row>
    <row r="4" spans="1:8">
      <c r="A4" s="160" t="s">
        <v>67</v>
      </c>
      <c r="B4" s="161"/>
      <c r="C4" s="161"/>
      <c r="D4" s="161"/>
      <c r="E4" s="161"/>
      <c r="F4" s="161"/>
      <c r="G4" s="161"/>
      <c r="H4" s="162"/>
    </row>
    <row r="5" spans="1:8">
      <c r="A5" s="163" t="s">
        <v>62</v>
      </c>
      <c r="B5" s="161"/>
      <c r="C5" s="162"/>
      <c r="D5" s="164" t="s">
        <v>45</v>
      </c>
      <c r="E5" s="164" t="s">
        <v>46</v>
      </c>
      <c r="F5" s="164" t="s">
        <v>47</v>
      </c>
      <c r="G5" s="166" t="s">
        <v>63</v>
      </c>
      <c r="H5" s="166" t="s">
        <v>64</v>
      </c>
    </row>
    <row r="6" spans="1:8">
      <c r="A6" s="28" t="s">
        <v>4</v>
      </c>
      <c r="B6" s="28" t="s">
        <v>60</v>
      </c>
      <c r="C6" s="28" t="s">
        <v>19</v>
      </c>
      <c r="D6" s="165"/>
      <c r="E6" s="165"/>
      <c r="F6" s="165"/>
      <c r="G6" s="167"/>
      <c r="H6" s="167"/>
    </row>
    <row r="7" spans="1:8">
      <c r="A7" s="67">
        <v>0</v>
      </c>
      <c r="B7" s="64">
        <v>-0.16666666666666666</v>
      </c>
      <c r="C7" s="16">
        <v>2</v>
      </c>
      <c r="D7" s="18">
        <v>0</v>
      </c>
      <c r="E7" s="18">
        <v>0</v>
      </c>
      <c r="F7" s="18">
        <v>0</v>
      </c>
      <c r="G7" s="16">
        <f>(C7*1000*AVERAGE(F7:F7))/$B$2</f>
        <v>0</v>
      </c>
      <c r="H7" s="19" t="e">
        <f>(C7*1000*STDEV(F7:F7))/$B$2</f>
        <v>#DIV/0!</v>
      </c>
    </row>
    <row r="8" spans="1:8">
      <c r="A8" s="68">
        <v>0</v>
      </c>
      <c r="B8" s="66">
        <v>0.16666666666666666</v>
      </c>
      <c r="C8" s="16">
        <v>2</v>
      </c>
      <c r="D8" s="18">
        <v>0</v>
      </c>
      <c r="E8" s="18">
        <v>0</v>
      </c>
      <c r="F8" s="18">
        <v>0</v>
      </c>
      <c r="G8" s="16">
        <f t="shared" ref="G8:G17" si="0">(C8*1000*AVERAGE(D8:F8))/$B$2</f>
        <v>0</v>
      </c>
      <c r="H8" s="19">
        <f t="shared" ref="H8:H17" si="1">(C8*1000*STDEV(D8:F8))/$B$2</f>
        <v>0</v>
      </c>
    </row>
    <row r="9" spans="1:8">
      <c r="A9" s="68">
        <v>1</v>
      </c>
      <c r="B9" s="66">
        <v>2</v>
      </c>
      <c r="C9" s="16">
        <v>2</v>
      </c>
      <c r="D9" s="18">
        <v>0</v>
      </c>
      <c r="E9" s="18">
        <v>0</v>
      </c>
      <c r="F9" s="18">
        <v>0</v>
      </c>
      <c r="G9" s="16">
        <f t="shared" si="0"/>
        <v>0</v>
      </c>
      <c r="H9" s="19">
        <f t="shared" si="1"/>
        <v>0</v>
      </c>
    </row>
    <row r="10" spans="1:8">
      <c r="A10" s="68">
        <v>2</v>
      </c>
      <c r="B10" s="66">
        <v>3.3333333333333335</v>
      </c>
      <c r="C10" s="16">
        <v>2</v>
      </c>
      <c r="D10" s="18">
        <v>0</v>
      </c>
      <c r="E10" s="18">
        <v>0</v>
      </c>
      <c r="F10" s="18">
        <v>0</v>
      </c>
      <c r="G10" s="16">
        <f t="shared" si="0"/>
        <v>0</v>
      </c>
      <c r="H10" s="19">
        <f t="shared" si="1"/>
        <v>0</v>
      </c>
    </row>
    <row r="11" spans="1:8">
      <c r="A11" s="68">
        <v>3</v>
      </c>
      <c r="B11" s="66">
        <v>4.666666666666667</v>
      </c>
      <c r="C11" s="16">
        <v>2</v>
      </c>
      <c r="D11" s="18">
        <v>0</v>
      </c>
      <c r="E11" s="18">
        <v>0</v>
      </c>
      <c r="F11" s="18">
        <v>0</v>
      </c>
      <c r="G11" s="16">
        <f t="shared" si="0"/>
        <v>0</v>
      </c>
      <c r="H11" s="19">
        <f t="shared" si="1"/>
        <v>0</v>
      </c>
    </row>
    <row r="12" spans="1:8">
      <c r="A12" s="68">
        <v>4</v>
      </c>
      <c r="B12" s="66">
        <v>6</v>
      </c>
      <c r="C12" s="16">
        <v>2</v>
      </c>
      <c r="D12" s="18">
        <v>0</v>
      </c>
      <c r="E12" s="18">
        <v>0</v>
      </c>
      <c r="F12" s="18">
        <v>0</v>
      </c>
      <c r="G12" s="16">
        <f t="shared" si="0"/>
        <v>0</v>
      </c>
      <c r="H12" s="19">
        <f t="shared" si="1"/>
        <v>0</v>
      </c>
    </row>
    <row r="13" spans="1:8">
      <c r="A13" s="68">
        <v>5</v>
      </c>
      <c r="B13" s="66">
        <v>7.333333333333333</v>
      </c>
      <c r="C13" s="16">
        <v>2</v>
      </c>
      <c r="D13" s="18">
        <v>0</v>
      </c>
      <c r="E13" s="18">
        <v>0</v>
      </c>
      <c r="F13" s="18">
        <v>0</v>
      </c>
      <c r="G13" s="16">
        <f t="shared" si="0"/>
        <v>0</v>
      </c>
      <c r="H13" s="19">
        <f t="shared" si="1"/>
        <v>0</v>
      </c>
    </row>
    <row r="14" spans="1:8">
      <c r="A14" s="68">
        <v>6</v>
      </c>
      <c r="B14" s="66">
        <v>8.6666666666666661</v>
      </c>
      <c r="C14" s="16">
        <v>2</v>
      </c>
      <c r="D14" s="18">
        <v>0</v>
      </c>
      <c r="E14" s="18">
        <v>0</v>
      </c>
      <c r="F14" s="18">
        <v>0</v>
      </c>
      <c r="G14" s="16">
        <f t="shared" si="0"/>
        <v>0</v>
      </c>
      <c r="H14" s="19">
        <f t="shared" si="1"/>
        <v>0</v>
      </c>
    </row>
    <row r="15" spans="1:8">
      <c r="A15" s="68">
        <v>7</v>
      </c>
      <c r="B15" s="66">
        <v>10</v>
      </c>
      <c r="C15" s="16">
        <v>2</v>
      </c>
      <c r="D15" s="18">
        <v>0</v>
      </c>
      <c r="E15" s="18">
        <v>0</v>
      </c>
      <c r="F15" s="18">
        <v>0</v>
      </c>
      <c r="G15" s="16">
        <f t="shared" si="0"/>
        <v>0</v>
      </c>
      <c r="H15" s="19">
        <f t="shared" si="1"/>
        <v>0</v>
      </c>
    </row>
    <row r="16" spans="1:8">
      <c r="A16" s="68">
        <v>8</v>
      </c>
      <c r="B16" s="66">
        <v>11.333333333333334</v>
      </c>
      <c r="C16" s="16">
        <v>2</v>
      </c>
      <c r="D16" s="18">
        <v>0</v>
      </c>
      <c r="E16" s="18">
        <v>0</v>
      </c>
      <c r="F16" s="18">
        <v>0</v>
      </c>
      <c r="G16" s="16">
        <f t="shared" si="0"/>
        <v>0</v>
      </c>
      <c r="H16" s="19">
        <f t="shared" si="1"/>
        <v>0</v>
      </c>
    </row>
    <row r="17" spans="1:8">
      <c r="A17" s="68">
        <v>9</v>
      </c>
      <c r="B17" s="66">
        <v>12.666666666666666</v>
      </c>
      <c r="C17" s="16">
        <v>2</v>
      </c>
      <c r="D17" s="18">
        <v>0</v>
      </c>
      <c r="E17" s="18">
        <v>0</v>
      </c>
      <c r="F17" s="18">
        <v>0</v>
      </c>
      <c r="G17" s="16">
        <f t="shared" si="0"/>
        <v>0</v>
      </c>
      <c r="H17" s="19">
        <f t="shared" si="1"/>
        <v>0</v>
      </c>
    </row>
    <row r="18" spans="1:8">
      <c r="A18" s="68">
        <v>10</v>
      </c>
      <c r="B18" s="66">
        <v>14</v>
      </c>
      <c r="C18" s="16">
        <v>2</v>
      </c>
      <c r="D18" s="18">
        <v>0</v>
      </c>
      <c r="E18" s="18">
        <v>0</v>
      </c>
      <c r="F18" s="18">
        <v>0</v>
      </c>
      <c r="G18" s="16">
        <f t="shared" ref="G18:G23" si="2">(C18*1000*AVERAGE(D18:F18))/$B$2</f>
        <v>0</v>
      </c>
      <c r="H18" s="19">
        <f t="shared" ref="H18:H23" si="3">(C18*1000*STDEV(D18:F18))/$B$2</f>
        <v>0</v>
      </c>
    </row>
    <row r="19" spans="1:8">
      <c r="A19" s="68">
        <v>11</v>
      </c>
      <c r="B19" s="66">
        <v>15.333333333333334</v>
      </c>
      <c r="C19" s="16">
        <v>2</v>
      </c>
      <c r="D19" s="18">
        <v>0</v>
      </c>
      <c r="E19" s="18">
        <v>0</v>
      </c>
      <c r="F19" s="18">
        <v>0</v>
      </c>
      <c r="G19" s="16">
        <f t="shared" si="2"/>
        <v>0</v>
      </c>
      <c r="H19" s="19">
        <f t="shared" si="3"/>
        <v>0</v>
      </c>
    </row>
    <row r="20" spans="1:8">
      <c r="A20" s="68">
        <v>12</v>
      </c>
      <c r="B20" s="66">
        <v>16.666666666666668</v>
      </c>
      <c r="C20" s="16">
        <v>2</v>
      </c>
      <c r="D20" s="18">
        <v>0</v>
      </c>
      <c r="E20" s="18">
        <v>0</v>
      </c>
      <c r="F20" s="18">
        <v>0</v>
      </c>
      <c r="G20" s="16">
        <f t="shared" si="2"/>
        <v>0</v>
      </c>
      <c r="H20" s="19">
        <f t="shared" si="3"/>
        <v>0</v>
      </c>
    </row>
    <row r="21" spans="1:8">
      <c r="A21" s="68">
        <v>13</v>
      </c>
      <c r="B21" s="66">
        <v>18</v>
      </c>
      <c r="C21" s="16">
        <v>2</v>
      </c>
      <c r="D21" s="18">
        <v>0</v>
      </c>
      <c r="E21" s="18">
        <v>0</v>
      </c>
      <c r="F21" s="18">
        <v>0</v>
      </c>
      <c r="G21" s="16">
        <f t="shared" si="2"/>
        <v>0</v>
      </c>
      <c r="H21" s="19">
        <f t="shared" si="3"/>
        <v>0</v>
      </c>
    </row>
    <row r="22" spans="1:8">
      <c r="A22" s="68">
        <v>14</v>
      </c>
      <c r="B22" s="66">
        <v>24</v>
      </c>
      <c r="C22" s="16">
        <v>2</v>
      </c>
      <c r="D22" s="18">
        <v>0</v>
      </c>
      <c r="E22" s="18">
        <v>0</v>
      </c>
      <c r="F22" s="18">
        <v>0</v>
      </c>
      <c r="G22" s="16">
        <f t="shared" si="2"/>
        <v>0</v>
      </c>
      <c r="H22" s="19">
        <f t="shared" si="3"/>
        <v>0</v>
      </c>
    </row>
    <row r="23" spans="1:8">
      <c r="A23" s="68">
        <v>15</v>
      </c>
      <c r="B23" s="66">
        <v>30</v>
      </c>
      <c r="C23" s="16">
        <v>2</v>
      </c>
      <c r="D23" s="18">
        <v>0</v>
      </c>
      <c r="E23" s="18">
        <v>0</v>
      </c>
      <c r="F23" s="18">
        <v>0</v>
      </c>
      <c r="G23" s="16">
        <f t="shared" si="2"/>
        <v>0</v>
      </c>
      <c r="H23" s="19">
        <f t="shared" si="3"/>
        <v>0</v>
      </c>
    </row>
    <row r="24" spans="1:8">
      <c r="A24" s="68">
        <v>16</v>
      </c>
      <c r="B24" s="66">
        <v>48</v>
      </c>
      <c r="C24" s="16">
        <v>3</v>
      </c>
      <c r="D24" s="18">
        <v>0</v>
      </c>
      <c r="E24" s="18">
        <v>0</v>
      </c>
      <c r="F24" s="18">
        <v>0</v>
      </c>
      <c r="G24" s="16">
        <f t="shared" ref="G24" si="4">(C24*1000*AVERAGE(D24:F24))/$B$2</f>
        <v>0</v>
      </c>
      <c r="H24" s="19">
        <f t="shared" ref="H24" si="5">(C24*1000*STDEV(D24:F24))/$B$2</f>
        <v>0</v>
      </c>
    </row>
  </sheetData>
  <mergeCells count="7">
    <mergeCell ref="A4:H4"/>
    <mergeCell ref="A5:C5"/>
    <mergeCell ref="D5:D6"/>
    <mergeCell ref="E5:E6"/>
    <mergeCell ref="F5:F6"/>
    <mergeCell ref="G5:G6"/>
    <mergeCell ref="H5:H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H24"/>
  <sheetViews>
    <sheetView topLeftCell="A3" workbookViewId="0">
      <selection activeCell="G7" sqref="G7:H24"/>
    </sheetView>
  </sheetViews>
  <sheetFormatPr baseColWidth="10" defaultColWidth="8.83203125" defaultRowHeight="14" x14ac:dyDescent="0"/>
  <cols>
    <col min="1" max="1" width="11.5" bestFit="1" customWidth="1"/>
    <col min="7" max="7" width="19.1640625" bestFit="1" customWidth="1"/>
    <col min="8" max="8" width="11.83203125" bestFit="1" customWidth="1"/>
  </cols>
  <sheetData>
    <row r="1" spans="1:8">
      <c r="A1" s="27" t="s">
        <v>35</v>
      </c>
      <c r="B1" s="27" t="s">
        <v>61</v>
      </c>
    </row>
    <row r="2" spans="1:8">
      <c r="A2" s="27" t="s">
        <v>66</v>
      </c>
      <c r="B2" s="17">
        <v>88.11</v>
      </c>
    </row>
    <row r="4" spans="1:8">
      <c r="A4" s="160" t="s">
        <v>66</v>
      </c>
      <c r="B4" s="161"/>
      <c r="C4" s="161"/>
      <c r="D4" s="161"/>
      <c r="E4" s="161"/>
      <c r="F4" s="161"/>
      <c r="G4" s="161"/>
      <c r="H4" s="162"/>
    </row>
    <row r="5" spans="1:8">
      <c r="A5" s="163" t="s">
        <v>62</v>
      </c>
      <c r="B5" s="161"/>
      <c r="C5" s="162"/>
      <c r="D5" s="164" t="s">
        <v>45</v>
      </c>
      <c r="E5" s="164" t="s">
        <v>46</v>
      </c>
      <c r="F5" s="164" t="s">
        <v>47</v>
      </c>
      <c r="G5" s="166" t="s">
        <v>63</v>
      </c>
      <c r="H5" s="166" t="s">
        <v>64</v>
      </c>
    </row>
    <row r="6" spans="1:8">
      <c r="A6" s="28" t="s">
        <v>4</v>
      </c>
      <c r="B6" s="28" t="s">
        <v>60</v>
      </c>
      <c r="C6" s="28" t="s">
        <v>19</v>
      </c>
      <c r="D6" s="165"/>
      <c r="E6" s="165"/>
      <c r="F6" s="165"/>
      <c r="G6" s="167"/>
      <c r="H6" s="167"/>
    </row>
    <row r="7" spans="1:8">
      <c r="A7" s="67">
        <v>0</v>
      </c>
      <c r="B7" s="64">
        <v>-0.16666666666666666</v>
      </c>
      <c r="C7" s="16">
        <v>2</v>
      </c>
      <c r="D7" s="81">
        <v>0</v>
      </c>
      <c r="E7" s="82">
        <v>0</v>
      </c>
      <c r="F7" s="82">
        <v>0</v>
      </c>
      <c r="G7" s="16">
        <f>(C7*1000*AVERAGE(D7:F7))/$B$2</f>
        <v>0</v>
      </c>
      <c r="H7" s="19">
        <f>(C7*1000*STDEV(D7:F7))/$B$2</f>
        <v>0</v>
      </c>
    </row>
    <row r="8" spans="1:8">
      <c r="A8" s="68">
        <v>0</v>
      </c>
      <c r="B8" s="66">
        <v>0.16666666666666666</v>
      </c>
      <c r="C8" s="16">
        <v>2</v>
      </c>
      <c r="D8" s="56">
        <v>7.1999999999999995E-2</v>
      </c>
      <c r="E8" s="57">
        <v>7.2999999999999995E-2</v>
      </c>
      <c r="F8" s="57">
        <v>7.2999999999999995E-2</v>
      </c>
      <c r="G8" s="16">
        <f>(C8*1000*AVERAGE(D8:F8))/$B$2</f>
        <v>1.6494533348465932</v>
      </c>
      <c r="H8" s="19">
        <f t="shared" ref="H8:H17" si="0">(C8*1000*STDEV(D8:F8))/$B$2</f>
        <v>1.3105215507652396E-2</v>
      </c>
    </row>
    <row r="9" spans="1:8">
      <c r="A9" s="68">
        <v>1</v>
      </c>
      <c r="B9" s="66">
        <v>2</v>
      </c>
      <c r="C9" s="16">
        <v>2</v>
      </c>
      <c r="D9" s="56">
        <v>9.9000000000000005E-2</v>
      </c>
      <c r="E9" s="57">
        <v>9.8000000000000004E-2</v>
      </c>
      <c r="F9" s="57">
        <v>9.8000000000000004E-2</v>
      </c>
      <c r="G9" s="16">
        <f t="shared" ref="G9:G17" si="1">(C9*1000*AVERAGE(D9:F9))/$B$2</f>
        <v>2.2320584118336928</v>
      </c>
      <c r="H9" s="19">
        <f t="shared" si="0"/>
        <v>1.3105215507652396E-2</v>
      </c>
    </row>
    <row r="10" spans="1:8">
      <c r="A10" s="68">
        <v>2</v>
      </c>
      <c r="B10" s="66">
        <v>3.3333333333333335</v>
      </c>
      <c r="C10" s="16">
        <v>2</v>
      </c>
      <c r="D10" s="55">
        <v>0.13500000000000001</v>
      </c>
      <c r="E10" s="55">
        <v>0.13900000000000001</v>
      </c>
      <c r="F10" s="55">
        <v>0.13900000000000001</v>
      </c>
      <c r="G10" s="16">
        <f t="shared" si="1"/>
        <v>3.1248817765671704</v>
      </c>
      <c r="H10" s="19">
        <f t="shared" si="0"/>
        <v>5.2420862030609583E-2</v>
      </c>
    </row>
    <row r="11" spans="1:8">
      <c r="A11" s="68">
        <v>3</v>
      </c>
      <c r="B11" s="66">
        <v>4.666666666666667</v>
      </c>
      <c r="C11" s="16">
        <v>2</v>
      </c>
      <c r="D11" s="55">
        <v>0.221</v>
      </c>
      <c r="E11" s="55">
        <v>0.224</v>
      </c>
      <c r="F11" s="55">
        <v>0.21299999999999999</v>
      </c>
      <c r="G11" s="16">
        <f t="shared" si="1"/>
        <v>4.978625203344305</v>
      </c>
      <c r="H11" s="19">
        <f t="shared" si="0"/>
        <v>0.12907140399676159</v>
      </c>
    </row>
    <row r="12" spans="1:8">
      <c r="A12" s="68">
        <v>4</v>
      </c>
      <c r="B12" s="66">
        <v>6</v>
      </c>
      <c r="C12" s="16">
        <v>2</v>
      </c>
      <c r="D12" s="55">
        <v>0.36899999999999999</v>
      </c>
      <c r="E12" s="55">
        <v>0.37</v>
      </c>
      <c r="F12" s="55">
        <v>0.36899999999999999</v>
      </c>
      <c r="G12" s="16">
        <f t="shared" si="1"/>
        <v>8.3834600688533278</v>
      </c>
      <c r="H12" s="19">
        <f t="shared" si="0"/>
        <v>1.3105215507652396E-2</v>
      </c>
    </row>
    <row r="13" spans="1:8">
      <c r="A13" s="68">
        <v>5</v>
      </c>
      <c r="B13" s="66">
        <v>7.333333333333333</v>
      </c>
      <c r="C13" s="16">
        <v>2</v>
      </c>
      <c r="D13" s="58">
        <v>0.59099999999999997</v>
      </c>
      <c r="E13" s="58">
        <v>0.58099999999999996</v>
      </c>
      <c r="F13" s="58">
        <v>0.58599999999999997</v>
      </c>
      <c r="G13" s="16">
        <f t="shared" si="1"/>
        <v>13.301554874588582</v>
      </c>
      <c r="H13" s="19">
        <f t="shared" si="0"/>
        <v>0.11349449551696753</v>
      </c>
    </row>
    <row r="14" spans="1:8">
      <c r="A14" s="68">
        <v>6</v>
      </c>
      <c r="B14" s="66">
        <v>8.6666666666666661</v>
      </c>
      <c r="C14" s="16">
        <v>2</v>
      </c>
      <c r="D14" s="58">
        <v>0.83699999999999997</v>
      </c>
      <c r="E14" s="58">
        <v>0.83599999999999997</v>
      </c>
      <c r="F14" s="58">
        <v>0.83699999999999997</v>
      </c>
      <c r="G14" s="16">
        <f t="shared" si="1"/>
        <v>18.991412249839211</v>
      </c>
      <c r="H14" s="19">
        <f t="shared" si="0"/>
        <v>1.3105215507652396E-2</v>
      </c>
    </row>
    <row r="15" spans="1:8">
      <c r="A15" s="68">
        <v>7</v>
      </c>
      <c r="B15" s="66">
        <v>10</v>
      </c>
      <c r="C15" s="16">
        <v>2</v>
      </c>
      <c r="D15" s="58">
        <v>1.1140000000000001</v>
      </c>
      <c r="E15" s="58">
        <v>1.1140000000000001</v>
      </c>
      <c r="F15" s="58">
        <v>1.1499999999999999</v>
      </c>
      <c r="G15" s="16">
        <f t="shared" si="1"/>
        <v>25.558960390421063</v>
      </c>
      <c r="H15" s="19">
        <f t="shared" si="0"/>
        <v>0.47178775827548325</v>
      </c>
    </row>
    <row r="16" spans="1:8">
      <c r="A16" s="68">
        <v>8</v>
      </c>
      <c r="B16" s="66">
        <v>11.333333333333334</v>
      </c>
      <c r="C16" s="16">
        <v>2</v>
      </c>
      <c r="D16" s="58">
        <v>1.3260000000000001</v>
      </c>
      <c r="E16" s="58">
        <v>1.335</v>
      </c>
      <c r="F16" s="58">
        <v>1.3080000000000001</v>
      </c>
      <c r="G16" s="16">
        <f t="shared" si="1"/>
        <v>30.030643513789588</v>
      </c>
      <c r="H16" s="19">
        <f t="shared" si="0"/>
        <v>0.31205827000039688</v>
      </c>
    </row>
    <row r="17" spans="1:8">
      <c r="A17" s="68">
        <v>9</v>
      </c>
      <c r="B17" s="66">
        <v>12.666666666666666</v>
      </c>
      <c r="C17" s="16">
        <v>2</v>
      </c>
      <c r="D17" s="58">
        <v>1.375</v>
      </c>
      <c r="E17" s="58">
        <v>1.363</v>
      </c>
      <c r="F17" s="58">
        <v>1.3720000000000001</v>
      </c>
      <c r="G17" s="16">
        <f t="shared" si="1"/>
        <v>31.097491771649075</v>
      </c>
      <c r="H17" s="19">
        <f t="shared" si="0"/>
        <v>0.14175457946654005</v>
      </c>
    </row>
    <row r="18" spans="1:8">
      <c r="A18" s="68">
        <v>10</v>
      </c>
      <c r="B18" s="66">
        <v>14</v>
      </c>
      <c r="C18" s="16">
        <v>2</v>
      </c>
      <c r="D18" s="58">
        <v>1.389</v>
      </c>
      <c r="E18" s="58">
        <v>1.395</v>
      </c>
      <c r="F18" s="58">
        <v>1.401</v>
      </c>
      <c r="G18" s="16">
        <f t="shared" ref="G18:G23" si="2">(C18*1000*AVERAGE(D18:F18))/$B$2</f>
        <v>31.664964249233908</v>
      </c>
      <c r="H18" s="19">
        <f t="shared" ref="H18:H23" si="3">(C18*1000*STDEV(D18:F18))/$B$2</f>
        <v>0.13619339462036104</v>
      </c>
    </row>
    <row r="19" spans="1:8">
      <c r="A19" s="68">
        <v>11</v>
      </c>
      <c r="B19" s="66">
        <v>15.333333333333334</v>
      </c>
      <c r="C19" s="16">
        <v>2</v>
      </c>
      <c r="D19" s="58">
        <v>1.3740000000000001</v>
      </c>
      <c r="E19" s="58">
        <v>1.4059999999999999</v>
      </c>
      <c r="F19" s="58">
        <v>1.417</v>
      </c>
      <c r="G19" s="16">
        <f t="shared" si="2"/>
        <v>31.755759845647486</v>
      </c>
      <c r="H19" s="19">
        <f t="shared" si="3"/>
        <v>0.50705499724636516</v>
      </c>
    </row>
    <row r="20" spans="1:8">
      <c r="A20" s="68">
        <v>12</v>
      </c>
      <c r="B20" s="66">
        <v>16.666666666666668</v>
      </c>
      <c r="C20" s="16">
        <v>2</v>
      </c>
      <c r="D20" s="58">
        <v>1.3089999999999999</v>
      </c>
      <c r="E20" s="58">
        <v>1.304</v>
      </c>
      <c r="F20" s="58">
        <v>1.3109999999999999</v>
      </c>
      <c r="G20" s="16">
        <f t="shared" si="2"/>
        <v>29.690160027238679</v>
      </c>
      <c r="H20" s="19">
        <f t="shared" si="3"/>
        <v>8.184204461386746E-2</v>
      </c>
    </row>
    <row r="21" spans="1:8">
      <c r="A21" s="68">
        <v>13</v>
      </c>
      <c r="B21" s="66">
        <v>18</v>
      </c>
      <c r="C21" s="16">
        <v>2</v>
      </c>
      <c r="D21" s="58">
        <v>1.421</v>
      </c>
      <c r="E21" s="58">
        <v>1.4319999999999999</v>
      </c>
      <c r="F21" s="58">
        <v>1.409</v>
      </c>
      <c r="G21" s="16">
        <f t="shared" si="2"/>
        <v>32.247569326221011</v>
      </c>
      <c r="H21" s="19">
        <f t="shared" si="3"/>
        <v>0.26111956912552231</v>
      </c>
    </row>
    <row r="22" spans="1:8">
      <c r="A22" s="68">
        <v>14</v>
      </c>
      <c r="B22" s="66">
        <v>24</v>
      </c>
      <c r="C22" s="16">
        <v>2</v>
      </c>
      <c r="D22" s="58">
        <v>1.431</v>
      </c>
      <c r="E22" s="58">
        <v>1.458</v>
      </c>
      <c r="F22" s="58">
        <v>1.4550000000000001</v>
      </c>
      <c r="G22" s="16">
        <f t="shared" si="2"/>
        <v>32.868005901713772</v>
      </c>
      <c r="H22" s="19">
        <f t="shared" si="3"/>
        <v>0.33591303114172555</v>
      </c>
    </row>
    <row r="23" spans="1:8">
      <c r="A23" s="68">
        <v>15</v>
      </c>
      <c r="B23" s="66">
        <v>30</v>
      </c>
      <c r="C23" s="16">
        <v>2</v>
      </c>
      <c r="D23" s="58">
        <v>1.488</v>
      </c>
      <c r="E23" s="58">
        <v>1.494</v>
      </c>
      <c r="F23" s="58">
        <v>1.486</v>
      </c>
      <c r="G23" s="16">
        <f t="shared" si="2"/>
        <v>33.806227064654031</v>
      </c>
      <c r="H23" s="19">
        <f t="shared" si="3"/>
        <v>9.4503052977693083E-2</v>
      </c>
    </row>
    <row r="24" spans="1:8">
      <c r="A24" s="68">
        <v>16</v>
      </c>
      <c r="B24" s="66">
        <v>48</v>
      </c>
      <c r="C24" s="16">
        <v>2</v>
      </c>
      <c r="D24" s="58">
        <v>1.5429999999999999</v>
      </c>
      <c r="E24" s="58">
        <v>1.554</v>
      </c>
      <c r="F24" s="58">
        <v>1.5509999999999999</v>
      </c>
      <c r="G24" s="16">
        <f t="shared" ref="G24" si="4">(C24*1000*AVERAGE(D24:F24))/$B$2</f>
        <v>35.168161010857638</v>
      </c>
      <c r="H24" s="19">
        <f t="shared" ref="H24" si="5">(C24*1000*STDEV(D24:F24))/$B$2</f>
        <v>0.12907140399676265</v>
      </c>
    </row>
  </sheetData>
  <mergeCells count="7">
    <mergeCell ref="A4:H4"/>
    <mergeCell ref="A5:C5"/>
    <mergeCell ref="D5:D6"/>
    <mergeCell ref="E5:E6"/>
    <mergeCell ref="F5:F6"/>
    <mergeCell ref="G5:G6"/>
    <mergeCell ref="H5:H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workbookViewId="0">
      <selection activeCell="G7" sqref="G7:H24"/>
    </sheetView>
  </sheetViews>
  <sheetFormatPr baseColWidth="10" defaultColWidth="8.83203125" defaultRowHeight="14" x14ac:dyDescent="0"/>
  <cols>
    <col min="1" max="1" width="11.5" bestFit="1" customWidth="1"/>
    <col min="7" max="7" width="19.1640625" bestFit="1" customWidth="1"/>
    <col min="8" max="8" width="11.83203125" bestFit="1" customWidth="1"/>
  </cols>
  <sheetData>
    <row r="1" spans="1:8">
      <c r="A1" s="21" t="s">
        <v>35</v>
      </c>
      <c r="B1" s="21" t="s">
        <v>61</v>
      </c>
    </row>
    <row r="2" spans="1:8">
      <c r="A2" s="21" t="s">
        <v>42</v>
      </c>
      <c r="B2" s="17">
        <v>90.08</v>
      </c>
    </row>
    <row r="4" spans="1:8">
      <c r="A4" s="160" t="s">
        <v>42</v>
      </c>
      <c r="B4" s="161"/>
      <c r="C4" s="161"/>
      <c r="D4" s="161"/>
      <c r="E4" s="161"/>
      <c r="F4" s="161"/>
      <c r="G4" s="161"/>
      <c r="H4" s="162"/>
    </row>
    <row r="5" spans="1:8">
      <c r="A5" s="163" t="s">
        <v>62</v>
      </c>
      <c r="B5" s="161"/>
      <c r="C5" s="162"/>
      <c r="D5" s="164" t="s">
        <v>45</v>
      </c>
      <c r="E5" s="164" t="s">
        <v>46</v>
      </c>
      <c r="F5" s="164" t="s">
        <v>47</v>
      </c>
      <c r="G5" s="166" t="s">
        <v>63</v>
      </c>
      <c r="H5" s="166" t="s">
        <v>64</v>
      </c>
    </row>
    <row r="6" spans="1:8">
      <c r="A6" s="22" t="s">
        <v>4</v>
      </c>
      <c r="B6" s="22" t="s">
        <v>60</v>
      </c>
      <c r="C6" s="22" t="s">
        <v>19</v>
      </c>
      <c r="D6" s="165"/>
      <c r="E6" s="165"/>
      <c r="F6" s="165"/>
      <c r="G6" s="167"/>
      <c r="H6" s="167"/>
    </row>
    <row r="7" spans="1:8">
      <c r="A7" s="67">
        <v>0</v>
      </c>
      <c r="B7" s="64">
        <v>-0.16666666666666666</v>
      </c>
      <c r="C7" s="16">
        <v>2</v>
      </c>
      <c r="D7" s="42">
        <v>0.02</v>
      </c>
      <c r="E7" s="42">
        <v>1.9E-2</v>
      </c>
      <c r="F7" s="42">
        <v>0.02</v>
      </c>
      <c r="G7" s="16">
        <f>(C7*1000*AVERAGE(D7:F7))/$B$2</f>
        <v>0.43664890467732381</v>
      </c>
      <c r="H7" s="19">
        <f>(C7*1000*STDEV(D7:F7))/$B$2</f>
        <v>1.2818611660515679E-2</v>
      </c>
    </row>
    <row r="8" spans="1:8">
      <c r="A8" s="68">
        <v>0</v>
      </c>
      <c r="B8" s="66">
        <v>0.16666666666666666</v>
      </c>
      <c r="C8" s="16">
        <v>2</v>
      </c>
      <c r="D8" s="42">
        <v>0.03</v>
      </c>
      <c r="E8" s="42">
        <v>0.03</v>
      </c>
      <c r="F8" s="42">
        <v>2.9000000000000001E-2</v>
      </c>
      <c r="G8" s="16">
        <f t="shared" ref="G8:G23" si="0">(C8*1000*AVERAGE(D8:F8))/$B$2</f>
        <v>0.6586737714624038</v>
      </c>
      <c r="H8" s="19">
        <f t="shared" ref="H8:H23" si="1">(C8*1000*STDEV(D8:F8))/$B$2</f>
        <v>1.2818611660515638E-2</v>
      </c>
    </row>
    <row r="9" spans="1:8">
      <c r="A9" s="68">
        <v>1</v>
      </c>
      <c r="B9" s="66">
        <v>2</v>
      </c>
      <c r="C9" s="16">
        <v>2</v>
      </c>
      <c r="D9" s="42">
        <v>2.1999999999999999E-2</v>
      </c>
      <c r="E9" s="42">
        <v>2.4E-2</v>
      </c>
      <c r="F9" s="42">
        <v>2.4E-2</v>
      </c>
      <c r="G9" s="16">
        <f t="shared" si="0"/>
        <v>0.51805802249851984</v>
      </c>
      <c r="H9" s="19">
        <f t="shared" si="1"/>
        <v>2.5637223321031358E-2</v>
      </c>
    </row>
    <row r="10" spans="1:8">
      <c r="A10" s="68">
        <v>2</v>
      </c>
      <c r="B10" s="66">
        <v>3.3333333333333335</v>
      </c>
      <c r="C10" s="16">
        <v>2</v>
      </c>
      <c r="D10" s="55">
        <v>2.5999999999999999E-2</v>
      </c>
      <c r="E10" s="55">
        <v>2.5999999999999999E-2</v>
      </c>
      <c r="F10" s="55">
        <v>2.5000000000000001E-2</v>
      </c>
      <c r="G10" s="16">
        <f t="shared" si="0"/>
        <v>0.56986382474837183</v>
      </c>
      <c r="H10" s="19">
        <f t="shared" si="1"/>
        <v>1.2818611660515638E-2</v>
      </c>
    </row>
    <row r="11" spans="1:8">
      <c r="A11" s="68">
        <v>3</v>
      </c>
      <c r="B11" s="66">
        <v>4.666666666666667</v>
      </c>
      <c r="C11" s="16">
        <v>2</v>
      </c>
      <c r="D11" s="55">
        <v>2.9000000000000001E-2</v>
      </c>
      <c r="E11" s="55">
        <v>2.8000000000000001E-2</v>
      </c>
      <c r="F11" s="55">
        <v>2.7E-2</v>
      </c>
      <c r="G11" s="16">
        <f t="shared" si="0"/>
        <v>0.62166962699822381</v>
      </c>
      <c r="H11" s="19">
        <f t="shared" si="1"/>
        <v>2.2202486678508014E-2</v>
      </c>
    </row>
    <row r="12" spans="1:8">
      <c r="A12" s="68">
        <v>4</v>
      </c>
      <c r="B12" s="66">
        <v>6</v>
      </c>
      <c r="C12" s="16">
        <v>2</v>
      </c>
      <c r="D12" s="55">
        <v>2.5999999999999999E-2</v>
      </c>
      <c r="E12" s="55">
        <v>2.5999999999999999E-2</v>
      </c>
      <c r="F12" s="55">
        <v>2.7E-2</v>
      </c>
      <c r="G12" s="16">
        <f t="shared" si="0"/>
        <v>0.58466548253404382</v>
      </c>
      <c r="H12" s="19">
        <f t="shared" si="1"/>
        <v>1.2818611660515681E-2</v>
      </c>
    </row>
    <row r="13" spans="1:8">
      <c r="A13" s="68">
        <v>5</v>
      </c>
      <c r="B13" s="66">
        <v>7.333333333333333</v>
      </c>
      <c r="C13" s="16">
        <v>2</v>
      </c>
      <c r="D13" s="55">
        <v>2.9000000000000001E-2</v>
      </c>
      <c r="E13" s="55">
        <v>2.8000000000000001E-2</v>
      </c>
      <c r="F13" s="55">
        <v>2.5999999999999999E-2</v>
      </c>
      <c r="G13" s="16">
        <f t="shared" si="0"/>
        <v>0.61426879810538781</v>
      </c>
      <c r="H13" s="19">
        <f t="shared" si="1"/>
        <v>3.3914858606837212E-2</v>
      </c>
    </row>
    <row r="14" spans="1:8">
      <c r="A14" s="68">
        <v>6</v>
      </c>
      <c r="B14" s="66">
        <v>8.6666666666666661</v>
      </c>
      <c r="C14" s="16">
        <v>2</v>
      </c>
      <c r="D14" s="55">
        <v>0.10199999999999999</v>
      </c>
      <c r="E14" s="55">
        <v>0.10199999999999999</v>
      </c>
      <c r="F14" s="55">
        <v>0.10199999999999999</v>
      </c>
      <c r="G14" s="16">
        <f t="shared" si="0"/>
        <v>2.2646536412078153</v>
      </c>
      <c r="H14" s="19">
        <f t="shared" si="1"/>
        <v>0</v>
      </c>
    </row>
    <row r="15" spans="1:8">
      <c r="A15" s="68">
        <v>7</v>
      </c>
      <c r="B15" s="66">
        <v>10</v>
      </c>
      <c r="C15" s="16">
        <v>2</v>
      </c>
      <c r="D15" s="55">
        <v>0.26700000000000002</v>
      </c>
      <c r="E15" s="55">
        <v>0.26800000000000002</v>
      </c>
      <c r="F15" s="55">
        <v>0.27800000000000002</v>
      </c>
      <c r="G15" s="16">
        <f t="shared" si="0"/>
        <v>6.016873889875666</v>
      </c>
      <c r="H15" s="19">
        <f t="shared" si="1"/>
        <v>0.1350524540474739</v>
      </c>
    </row>
    <row r="16" spans="1:8">
      <c r="A16" s="68">
        <v>8</v>
      </c>
      <c r="B16" s="66">
        <v>11.333333333333334</v>
      </c>
      <c r="C16" s="16">
        <v>2</v>
      </c>
      <c r="D16" s="55">
        <v>0.38</v>
      </c>
      <c r="E16" s="55">
        <v>0.38300000000000001</v>
      </c>
      <c r="F16" s="55">
        <v>0.376</v>
      </c>
      <c r="G16" s="16">
        <f t="shared" si="0"/>
        <v>8.4295441089402008</v>
      </c>
      <c r="H16" s="19">
        <f t="shared" si="1"/>
        <v>7.7972570699028632E-2</v>
      </c>
    </row>
    <row r="17" spans="1:8">
      <c r="A17" s="68">
        <v>9</v>
      </c>
      <c r="B17" s="66">
        <v>12.666666666666666</v>
      </c>
      <c r="C17" s="16">
        <v>2</v>
      </c>
      <c r="D17" s="55">
        <v>0.39300000000000002</v>
      </c>
      <c r="E17" s="55">
        <v>0.39200000000000002</v>
      </c>
      <c r="F17" s="55">
        <v>0.39400000000000002</v>
      </c>
      <c r="G17" s="16">
        <f t="shared" si="0"/>
        <v>8.7255772646536407</v>
      </c>
      <c r="H17" s="19">
        <f t="shared" si="1"/>
        <v>2.2202486678508014E-2</v>
      </c>
    </row>
    <row r="18" spans="1:8">
      <c r="A18" s="68">
        <v>10</v>
      </c>
      <c r="B18" s="66">
        <v>14</v>
      </c>
      <c r="C18" s="16">
        <v>2</v>
      </c>
      <c r="D18" s="42">
        <v>0.39300000000000002</v>
      </c>
      <c r="E18" s="42">
        <v>0.39400000000000002</v>
      </c>
      <c r="F18" s="42">
        <v>0.39500000000000002</v>
      </c>
      <c r="G18" s="16">
        <f t="shared" si="0"/>
        <v>8.747779751332148</v>
      </c>
      <c r="H18" s="19">
        <f t="shared" si="1"/>
        <v>2.2202486678508014E-2</v>
      </c>
    </row>
    <row r="19" spans="1:8">
      <c r="A19" s="68">
        <v>11</v>
      </c>
      <c r="B19" s="66">
        <v>15.333333333333334</v>
      </c>
      <c r="C19" s="16">
        <v>2</v>
      </c>
      <c r="D19" s="55">
        <v>0.38400000000000001</v>
      </c>
      <c r="E19" s="55">
        <v>0.39300000000000002</v>
      </c>
      <c r="F19" s="55">
        <v>0.39600000000000002</v>
      </c>
      <c r="G19" s="16">
        <f t="shared" si="0"/>
        <v>8.681172291296626</v>
      </c>
      <c r="H19" s="19">
        <f t="shared" si="1"/>
        <v>0.13865448486674964</v>
      </c>
    </row>
    <row r="20" spans="1:8">
      <c r="A20" s="68">
        <v>12</v>
      </c>
      <c r="B20" s="66">
        <v>16.666666666666668</v>
      </c>
      <c r="C20" s="16">
        <v>2</v>
      </c>
      <c r="D20" s="55">
        <v>0.36599999999999999</v>
      </c>
      <c r="E20" s="55">
        <v>0.36599999999999999</v>
      </c>
      <c r="F20" s="55">
        <v>0.36699999999999999</v>
      </c>
      <c r="G20" s="16">
        <f t="shared" si="0"/>
        <v>8.1335109532267627</v>
      </c>
      <c r="H20" s="19">
        <f t="shared" si="1"/>
        <v>1.2818611660515681E-2</v>
      </c>
    </row>
    <row r="21" spans="1:8">
      <c r="A21" s="68">
        <v>13</v>
      </c>
      <c r="B21" s="66">
        <v>18</v>
      </c>
      <c r="C21" s="16">
        <v>2</v>
      </c>
      <c r="D21" s="55">
        <v>0.40100000000000002</v>
      </c>
      <c r="E21" s="55">
        <v>0.40600000000000003</v>
      </c>
      <c r="F21" s="55">
        <v>0.39800000000000002</v>
      </c>
      <c r="G21" s="16">
        <f t="shared" si="0"/>
        <v>8.917998815867378</v>
      </c>
      <c r="H21" s="19">
        <f t="shared" si="1"/>
        <v>8.9730281623609756E-2</v>
      </c>
    </row>
    <row r="22" spans="1:8">
      <c r="A22" s="68">
        <v>14</v>
      </c>
      <c r="B22" s="66">
        <v>24</v>
      </c>
      <c r="C22" s="16">
        <v>2</v>
      </c>
      <c r="D22" s="55">
        <v>0.40699999999999997</v>
      </c>
      <c r="E22" s="55">
        <v>0.41699999999999998</v>
      </c>
      <c r="F22" s="55">
        <v>0.41399999999999998</v>
      </c>
      <c r="G22" s="16">
        <f t="shared" si="0"/>
        <v>9.1622261693309657</v>
      </c>
      <c r="H22" s="19">
        <f t="shared" si="1"/>
        <v>0.113934312598732</v>
      </c>
    </row>
    <row r="23" spans="1:8">
      <c r="A23" s="68">
        <v>15</v>
      </c>
      <c r="B23" s="66">
        <v>30</v>
      </c>
      <c r="C23" s="16">
        <v>2</v>
      </c>
      <c r="D23" s="55">
        <v>0.41099999999999998</v>
      </c>
      <c r="E23" s="55">
        <v>0.41299999999999998</v>
      </c>
      <c r="F23" s="55">
        <v>0.41199999999999998</v>
      </c>
      <c r="G23" s="16">
        <f t="shared" si="0"/>
        <v>9.1474245115452941</v>
      </c>
      <c r="H23" s="19">
        <f t="shared" si="1"/>
        <v>2.2202486678508014E-2</v>
      </c>
    </row>
    <row r="24" spans="1:8">
      <c r="A24" s="68">
        <v>16</v>
      </c>
      <c r="B24" s="66">
        <v>48</v>
      </c>
      <c r="C24" s="16">
        <v>2</v>
      </c>
      <c r="D24" s="55">
        <v>0.41899999999999998</v>
      </c>
      <c r="E24" s="55">
        <v>0.42199999999999999</v>
      </c>
      <c r="F24" s="55">
        <v>0.42099999999999999</v>
      </c>
      <c r="G24" s="16">
        <f t="shared" ref="G24" si="2">(C24*1000*AVERAGE(D24:F24))/$B$2</f>
        <v>9.3398460627590296</v>
      </c>
      <c r="H24" s="19">
        <f t="shared" ref="H24" si="3">(C24*1000*STDEV(D24:F24))/$B$2</f>
        <v>3.3914858606837212E-2</v>
      </c>
    </row>
  </sheetData>
  <mergeCells count="7">
    <mergeCell ref="D5:D6"/>
    <mergeCell ref="E5:E6"/>
    <mergeCell ref="F5:F6"/>
    <mergeCell ref="A4:H4"/>
    <mergeCell ref="A5:C5"/>
    <mergeCell ref="G5:G6"/>
    <mergeCell ref="H5:H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workbookViewId="0">
      <selection activeCell="B7" sqref="B7:B24"/>
    </sheetView>
  </sheetViews>
  <sheetFormatPr baseColWidth="10" defaultColWidth="8.83203125" defaultRowHeight="14" x14ac:dyDescent="0"/>
  <cols>
    <col min="1" max="1" width="11.5" bestFit="1" customWidth="1"/>
    <col min="7" max="7" width="19.1640625" bestFit="1" customWidth="1"/>
    <col min="8" max="8" width="11.83203125" bestFit="1" customWidth="1"/>
  </cols>
  <sheetData>
    <row r="1" spans="1:8">
      <c r="A1" s="21" t="s">
        <v>35</v>
      </c>
      <c r="B1" s="21" t="s">
        <v>61</v>
      </c>
    </row>
    <row r="2" spans="1:8">
      <c r="A2" s="21" t="s">
        <v>44</v>
      </c>
      <c r="B2" s="17">
        <v>46.07</v>
      </c>
    </row>
    <row r="4" spans="1:8">
      <c r="A4" s="160" t="s">
        <v>44</v>
      </c>
      <c r="B4" s="161"/>
      <c r="C4" s="161"/>
      <c r="D4" s="161"/>
      <c r="E4" s="161"/>
      <c r="F4" s="161"/>
      <c r="G4" s="161"/>
      <c r="H4" s="162"/>
    </row>
    <row r="5" spans="1:8">
      <c r="A5" s="163" t="s">
        <v>62</v>
      </c>
      <c r="B5" s="161"/>
      <c r="C5" s="162"/>
      <c r="D5" s="164" t="s">
        <v>45</v>
      </c>
      <c r="E5" s="164" t="s">
        <v>46</v>
      </c>
      <c r="F5" s="164" t="s">
        <v>47</v>
      </c>
      <c r="G5" s="166" t="s">
        <v>63</v>
      </c>
      <c r="H5" s="166" t="s">
        <v>64</v>
      </c>
    </row>
    <row r="6" spans="1:8">
      <c r="A6" s="22" t="s">
        <v>4</v>
      </c>
      <c r="B6" s="22" t="s">
        <v>60</v>
      </c>
      <c r="C6" s="22" t="s">
        <v>19</v>
      </c>
      <c r="D6" s="165"/>
      <c r="E6" s="165"/>
      <c r="F6" s="165"/>
      <c r="G6" s="167"/>
      <c r="H6" s="167"/>
    </row>
    <row r="7" spans="1:8">
      <c r="A7" s="67">
        <v>0</v>
      </c>
      <c r="B7" s="64">
        <v>-0.16666666666666666</v>
      </c>
      <c r="C7" s="16">
        <v>2</v>
      </c>
      <c r="D7" s="18">
        <v>0</v>
      </c>
      <c r="E7" s="18">
        <v>0</v>
      </c>
      <c r="F7" s="18">
        <v>0</v>
      </c>
      <c r="G7" s="16">
        <f>(C7*1000*AVERAGE(D7:F7))/$B$2</f>
        <v>0</v>
      </c>
      <c r="H7" s="19">
        <f>(C7*1000*STDEV(D7:F7))/$B$2</f>
        <v>0</v>
      </c>
    </row>
    <row r="8" spans="1:8">
      <c r="A8" s="68">
        <v>0</v>
      </c>
      <c r="B8" s="66">
        <v>0.16666666666666666</v>
      </c>
      <c r="C8" s="16">
        <v>2</v>
      </c>
      <c r="D8" s="18">
        <v>0</v>
      </c>
      <c r="E8" s="18">
        <v>0</v>
      </c>
      <c r="F8" s="18">
        <v>0</v>
      </c>
      <c r="G8" s="16">
        <f t="shared" ref="G8:G17" si="0">(C8*1000*AVERAGE(D8:F8))/$B$2</f>
        <v>0</v>
      </c>
      <c r="H8" s="19">
        <f t="shared" ref="H8:H17" si="1">(C8*1000*STDEV(D8:F8))/$B$2</f>
        <v>0</v>
      </c>
    </row>
    <row r="9" spans="1:8">
      <c r="A9" s="68">
        <v>1</v>
      </c>
      <c r="B9" s="66">
        <v>2</v>
      </c>
      <c r="C9" s="16">
        <v>2</v>
      </c>
      <c r="D9" s="18">
        <v>0</v>
      </c>
      <c r="E9" s="18">
        <v>0</v>
      </c>
      <c r="F9" s="18">
        <v>0</v>
      </c>
      <c r="G9" s="16">
        <f t="shared" si="0"/>
        <v>0</v>
      </c>
      <c r="H9" s="19">
        <f t="shared" si="1"/>
        <v>0</v>
      </c>
    </row>
    <row r="10" spans="1:8">
      <c r="A10" s="68">
        <v>2</v>
      </c>
      <c r="B10" s="66">
        <v>3.3333333333333335</v>
      </c>
      <c r="C10" s="16">
        <v>2</v>
      </c>
      <c r="D10" s="18">
        <v>0</v>
      </c>
      <c r="E10" s="18">
        <v>0</v>
      </c>
      <c r="F10" s="18">
        <v>0</v>
      </c>
      <c r="G10" s="16">
        <f t="shared" si="0"/>
        <v>0</v>
      </c>
      <c r="H10" s="19">
        <f t="shared" si="1"/>
        <v>0</v>
      </c>
    </row>
    <row r="11" spans="1:8">
      <c r="A11" s="68">
        <v>3</v>
      </c>
      <c r="B11" s="66">
        <v>4.666666666666667</v>
      </c>
      <c r="C11" s="16">
        <v>2</v>
      </c>
      <c r="D11" s="18">
        <v>0</v>
      </c>
      <c r="E11" s="18">
        <v>0</v>
      </c>
      <c r="F11" s="18">
        <v>0</v>
      </c>
      <c r="G11" s="16">
        <f t="shared" si="0"/>
        <v>0</v>
      </c>
      <c r="H11" s="19">
        <f t="shared" si="1"/>
        <v>0</v>
      </c>
    </row>
    <row r="12" spans="1:8">
      <c r="A12" s="68">
        <v>4</v>
      </c>
      <c r="B12" s="66">
        <v>6</v>
      </c>
      <c r="C12" s="16">
        <v>2</v>
      </c>
      <c r="D12" s="18">
        <v>0</v>
      </c>
      <c r="E12" s="18">
        <v>0</v>
      </c>
      <c r="F12" s="18">
        <v>0</v>
      </c>
      <c r="G12" s="16">
        <f t="shared" si="0"/>
        <v>0</v>
      </c>
      <c r="H12" s="19">
        <f t="shared" si="1"/>
        <v>0</v>
      </c>
    </row>
    <row r="13" spans="1:8">
      <c r="A13" s="68">
        <v>5</v>
      </c>
      <c r="B13" s="66">
        <v>7.333333333333333</v>
      </c>
      <c r="C13" s="16">
        <v>2</v>
      </c>
      <c r="D13" s="18">
        <v>0</v>
      </c>
      <c r="E13" s="18">
        <v>0</v>
      </c>
      <c r="F13" s="18">
        <v>0</v>
      </c>
      <c r="G13" s="16">
        <f t="shared" si="0"/>
        <v>0</v>
      </c>
      <c r="H13" s="19">
        <f t="shared" si="1"/>
        <v>0</v>
      </c>
    </row>
    <row r="14" spans="1:8">
      <c r="A14" s="68">
        <v>6</v>
      </c>
      <c r="B14" s="66">
        <v>8.6666666666666661</v>
      </c>
      <c r="C14" s="16">
        <v>2</v>
      </c>
      <c r="D14" s="18">
        <v>0</v>
      </c>
      <c r="E14" s="18">
        <v>0</v>
      </c>
      <c r="F14" s="18">
        <v>0</v>
      </c>
      <c r="G14" s="16">
        <f t="shared" si="0"/>
        <v>0</v>
      </c>
      <c r="H14" s="19">
        <f t="shared" si="1"/>
        <v>0</v>
      </c>
    </row>
    <row r="15" spans="1:8">
      <c r="A15" s="68">
        <v>7</v>
      </c>
      <c r="B15" s="66">
        <v>10</v>
      </c>
      <c r="C15" s="16">
        <v>2</v>
      </c>
      <c r="D15" s="18">
        <v>0</v>
      </c>
      <c r="E15" s="18">
        <v>0</v>
      </c>
      <c r="F15" s="18">
        <v>0</v>
      </c>
      <c r="G15" s="16">
        <f t="shared" si="0"/>
        <v>0</v>
      </c>
      <c r="H15" s="19">
        <f t="shared" si="1"/>
        <v>0</v>
      </c>
    </row>
    <row r="16" spans="1:8">
      <c r="A16" s="68">
        <v>8</v>
      </c>
      <c r="B16" s="66">
        <v>11.333333333333334</v>
      </c>
      <c r="C16" s="16">
        <v>2</v>
      </c>
      <c r="D16" s="18">
        <v>0</v>
      </c>
      <c r="E16" s="18">
        <v>0</v>
      </c>
      <c r="F16" s="18">
        <v>0</v>
      </c>
      <c r="G16" s="16">
        <f t="shared" si="0"/>
        <v>0</v>
      </c>
      <c r="H16" s="19">
        <f t="shared" si="1"/>
        <v>0</v>
      </c>
    </row>
    <row r="17" spans="1:8">
      <c r="A17" s="68">
        <v>9</v>
      </c>
      <c r="B17" s="66">
        <v>12.666666666666666</v>
      </c>
      <c r="C17" s="16">
        <v>2</v>
      </c>
      <c r="D17" s="18">
        <v>0</v>
      </c>
      <c r="E17" s="18">
        <v>0</v>
      </c>
      <c r="F17" s="18">
        <v>0</v>
      </c>
      <c r="G17" s="16">
        <f t="shared" si="0"/>
        <v>0</v>
      </c>
      <c r="H17" s="19">
        <f t="shared" si="1"/>
        <v>0</v>
      </c>
    </row>
    <row r="18" spans="1:8">
      <c r="A18" s="68">
        <v>10</v>
      </c>
      <c r="B18" s="66">
        <v>14</v>
      </c>
      <c r="C18" s="16">
        <v>2</v>
      </c>
      <c r="D18" s="18">
        <v>0</v>
      </c>
      <c r="E18" s="18">
        <v>0</v>
      </c>
      <c r="F18" s="18">
        <v>0</v>
      </c>
      <c r="G18" s="16">
        <f t="shared" ref="G18:G23" si="2">(C18*1000*AVERAGE(D18:F18))/$B$2</f>
        <v>0</v>
      </c>
      <c r="H18" s="19">
        <f t="shared" ref="H18:H23" si="3">(C18*1000*STDEV(D18:F18))/$B$2</f>
        <v>0</v>
      </c>
    </row>
    <row r="19" spans="1:8">
      <c r="A19" s="68">
        <v>11</v>
      </c>
      <c r="B19" s="66">
        <v>15.333333333333334</v>
      </c>
      <c r="C19" s="16">
        <v>2</v>
      </c>
      <c r="D19" s="18">
        <v>0</v>
      </c>
      <c r="E19" s="18">
        <v>0</v>
      </c>
      <c r="F19" s="18">
        <v>0</v>
      </c>
      <c r="G19" s="16">
        <f t="shared" si="2"/>
        <v>0</v>
      </c>
      <c r="H19" s="19">
        <f t="shared" si="3"/>
        <v>0</v>
      </c>
    </row>
    <row r="20" spans="1:8">
      <c r="A20" s="68">
        <v>12</v>
      </c>
      <c r="B20" s="66">
        <v>16.666666666666668</v>
      </c>
      <c r="C20" s="16">
        <v>2</v>
      </c>
      <c r="D20" s="18">
        <v>0</v>
      </c>
      <c r="E20" s="18">
        <v>0</v>
      </c>
      <c r="F20" s="18">
        <v>0</v>
      </c>
      <c r="G20" s="16">
        <f t="shared" si="2"/>
        <v>0</v>
      </c>
      <c r="H20" s="19">
        <f t="shared" si="3"/>
        <v>0</v>
      </c>
    </row>
    <row r="21" spans="1:8">
      <c r="A21" s="68">
        <v>13</v>
      </c>
      <c r="B21" s="66">
        <v>18</v>
      </c>
      <c r="C21" s="16">
        <v>2</v>
      </c>
      <c r="D21" s="18">
        <v>0</v>
      </c>
      <c r="E21" s="18">
        <v>0</v>
      </c>
      <c r="F21" s="18">
        <v>0</v>
      </c>
      <c r="G21" s="16">
        <f t="shared" si="2"/>
        <v>0</v>
      </c>
      <c r="H21" s="19">
        <f t="shared" si="3"/>
        <v>0</v>
      </c>
    </row>
    <row r="22" spans="1:8">
      <c r="A22" s="68">
        <v>14</v>
      </c>
      <c r="B22" s="66">
        <v>24</v>
      </c>
      <c r="C22" s="16">
        <v>2</v>
      </c>
      <c r="D22" s="18">
        <v>0</v>
      </c>
      <c r="E22" s="18">
        <v>0</v>
      </c>
      <c r="F22" s="18">
        <v>0</v>
      </c>
      <c r="G22" s="16">
        <f t="shared" si="2"/>
        <v>0</v>
      </c>
      <c r="H22" s="19">
        <f t="shared" si="3"/>
        <v>0</v>
      </c>
    </row>
    <row r="23" spans="1:8">
      <c r="A23" s="68">
        <v>15</v>
      </c>
      <c r="B23" s="66">
        <v>30</v>
      </c>
      <c r="C23" s="16">
        <v>2</v>
      </c>
      <c r="D23" s="18">
        <v>0</v>
      </c>
      <c r="E23" s="18">
        <v>0</v>
      </c>
      <c r="F23" s="18">
        <v>0</v>
      </c>
      <c r="G23" s="16">
        <f t="shared" si="2"/>
        <v>0</v>
      </c>
      <c r="H23" s="19">
        <f t="shared" si="3"/>
        <v>0</v>
      </c>
    </row>
    <row r="24" spans="1:8">
      <c r="A24" s="68">
        <v>16</v>
      </c>
      <c r="B24" s="66">
        <v>48</v>
      </c>
      <c r="C24" s="16">
        <v>3</v>
      </c>
      <c r="D24" s="18">
        <v>0</v>
      </c>
      <c r="E24" s="18">
        <v>0</v>
      </c>
      <c r="F24" s="18">
        <v>0</v>
      </c>
      <c r="G24" s="16">
        <f t="shared" ref="G24" si="4">(C24*1000*AVERAGE(D24:F24))/$B$2</f>
        <v>0</v>
      </c>
      <c r="H24" s="19">
        <f t="shared" ref="H24" si="5">(C24*1000*STDEV(D24:F24))/$B$2</f>
        <v>0</v>
      </c>
    </row>
  </sheetData>
  <mergeCells count="7">
    <mergeCell ref="A4:H4"/>
    <mergeCell ref="A5:C5"/>
    <mergeCell ref="D5:D6"/>
    <mergeCell ref="E5:E6"/>
    <mergeCell ref="F5:F6"/>
    <mergeCell ref="G5:G6"/>
    <mergeCell ref="H5:H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E29"/>
  <sheetViews>
    <sheetView workbookViewId="0">
      <selection activeCell="B12" sqref="B12"/>
    </sheetView>
  </sheetViews>
  <sheetFormatPr baseColWidth="10" defaultColWidth="8.83203125" defaultRowHeight="14" x14ac:dyDescent="0"/>
  <cols>
    <col min="1" max="1" width="30.5" customWidth="1"/>
  </cols>
  <sheetData>
    <row r="1" spans="1:5">
      <c r="B1" s="30" t="s">
        <v>78</v>
      </c>
      <c r="C1" s="30" t="s">
        <v>79</v>
      </c>
    </row>
    <row r="2" spans="1:5">
      <c r="A2" s="30" t="s">
        <v>144</v>
      </c>
      <c r="B2" s="31">
        <f>Metabolites!H4-Metabolites!H20</f>
        <v>49.188375031416122</v>
      </c>
      <c r="C2" s="31">
        <f>Metabolites!I4+Metabolites!I20</f>
        <v>0.34725446938239352</v>
      </c>
    </row>
    <row r="3" spans="1:5">
      <c r="A3" s="30" t="s">
        <v>183</v>
      </c>
      <c r="B3" s="31">
        <f>Metabolites!P20-Metabolites!P4</f>
        <v>26.092061501200895</v>
      </c>
      <c r="C3" s="31">
        <f>Metabolites!Q4+Metabolites!Q20</f>
        <v>0.35866016559297037</v>
      </c>
    </row>
    <row r="4" spans="1:5">
      <c r="A4" s="30" t="s">
        <v>184</v>
      </c>
      <c r="B4" s="31">
        <f>Metabolites!T4-Metabolites!T20</f>
        <v>1.1752403630677712</v>
      </c>
      <c r="C4" s="31">
        <f>Metabolites!U4+Metabolites!U20</f>
        <v>0</v>
      </c>
    </row>
    <row r="5" spans="1:5">
      <c r="A5" s="30" t="s">
        <v>123</v>
      </c>
      <c r="B5" s="31">
        <f>Metabolites!L20-Metabolites!L4</f>
        <v>9.3048579871891413</v>
      </c>
      <c r="C5" s="31">
        <f>Metabolites!M20+Metabolites!M4</f>
        <v>4.9025327517787799E-2</v>
      </c>
    </row>
    <row r="6" spans="1:5">
      <c r="A6" s="30" t="s">
        <v>124</v>
      </c>
      <c r="B6" s="31">
        <f>Metabolites!L41-Metabolites!L25</f>
        <v>35.868609075026242</v>
      </c>
      <c r="C6" s="31">
        <f>Metabolites!M41+Metabolites!M25</f>
        <v>0.15083521348228562</v>
      </c>
    </row>
    <row r="7" spans="1:5">
      <c r="A7" s="30" t="s">
        <v>80</v>
      </c>
      <c r="B7" s="31">
        <f>'H2'!G101</f>
        <v>58.969726070578922</v>
      </c>
    </row>
    <row r="8" spans="1:5">
      <c r="A8" s="30" t="s">
        <v>81</v>
      </c>
      <c r="B8" s="31">
        <f>'CO2'!G101</f>
        <v>58.856029522495398</v>
      </c>
    </row>
    <row r="9" spans="1:5">
      <c r="A9" s="30" t="s">
        <v>125</v>
      </c>
      <c r="B9" s="31">
        <f>Calculation!G20*1.5/1000</f>
        <v>0.126</v>
      </c>
    </row>
    <row r="10" spans="1:5" ht="16">
      <c r="A10" s="30" t="s">
        <v>126</v>
      </c>
      <c r="B10" s="31">
        <f>Calculation!H20*1.5/1000</f>
        <v>1.35E-2</v>
      </c>
    </row>
    <row r="12" spans="1:5">
      <c r="A12" s="30" t="s">
        <v>82</v>
      </c>
      <c r="B12" s="70">
        <f>((4*$B$6)+(3*$B$5)+(2*$B$3)+(B8))/((6*$B$2)+($B$4))</f>
        <v>0.95316884699245863</v>
      </c>
    </row>
    <row r="14" spans="1:5">
      <c r="A14" s="61"/>
      <c r="B14" s="61"/>
      <c r="C14" s="61" t="s">
        <v>127</v>
      </c>
      <c r="D14" s="61" t="s">
        <v>128</v>
      </c>
    </row>
    <row r="15" spans="1:5">
      <c r="A15" s="61" t="s">
        <v>157</v>
      </c>
      <c r="B15" s="61" t="s">
        <v>129</v>
      </c>
      <c r="C15" s="62">
        <f>B2</f>
        <v>49.188375031416122</v>
      </c>
      <c r="D15" s="62">
        <f>B2</f>
        <v>49.188375031416122</v>
      </c>
      <c r="E15" s="61"/>
    </row>
    <row r="16" spans="1:5">
      <c r="A16" s="61" t="s">
        <v>130</v>
      </c>
      <c r="B16" s="61" t="s">
        <v>131</v>
      </c>
      <c r="C16" s="62">
        <f>2*C15</f>
        <v>98.376750062832244</v>
      </c>
      <c r="D16" s="62">
        <f>2*B2</f>
        <v>98.376750062832244</v>
      </c>
      <c r="E16" s="61"/>
    </row>
    <row r="17" spans="1:5">
      <c r="A17" s="61" t="s">
        <v>132</v>
      </c>
      <c r="B17" s="61" t="s">
        <v>133</v>
      </c>
      <c r="C17" s="62">
        <f>B5</f>
        <v>9.3048579871891413</v>
      </c>
      <c r="D17" s="62">
        <f>B5</f>
        <v>9.3048579871891413</v>
      </c>
      <c r="E17" s="61"/>
    </row>
    <row r="18" spans="1:5">
      <c r="A18" s="61" t="s">
        <v>134</v>
      </c>
      <c r="B18" s="61" t="s">
        <v>135</v>
      </c>
      <c r="C18" s="62">
        <f>B4</f>
        <v>1.1752403630677712</v>
      </c>
      <c r="D18" s="62">
        <f>B4</f>
        <v>1.1752403630677712</v>
      </c>
      <c r="E18" s="61"/>
    </row>
    <row r="19" spans="1:5">
      <c r="A19" s="61" t="s">
        <v>158</v>
      </c>
      <c r="B19" s="61" t="s">
        <v>136</v>
      </c>
      <c r="C19" s="79">
        <f>C16-C17-C18</f>
        <v>87.896651712575334</v>
      </c>
      <c r="D19" s="79">
        <f>B8</f>
        <v>58.856029522495398</v>
      </c>
      <c r="E19" s="61"/>
    </row>
    <row r="20" spans="1:5">
      <c r="A20" s="61" t="s">
        <v>156</v>
      </c>
      <c r="B20" s="61" t="s">
        <v>156</v>
      </c>
      <c r="C20" s="69">
        <f>C16-C17</f>
        <v>89.071892075643106</v>
      </c>
      <c r="D20" s="69"/>
      <c r="E20" s="61"/>
    </row>
    <row r="21" spans="1:5">
      <c r="A21" s="61" t="s">
        <v>159</v>
      </c>
      <c r="B21" s="61" t="s">
        <v>137</v>
      </c>
      <c r="C21" s="62">
        <f>B3</f>
        <v>26.092061501200895</v>
      </c>
      <c r="D21" s="62">
        <f>B3</f>
        <v>26.092061501200895</v>
      </c>
      <c r="E21" s="61"/>
    </row>
    <row r="22" spans="1:5">
      <c r="A22" s="61" t="s">
        <v>160</v>
      </c>
      <c r="B22" s="61" t="s">
        <v>139</v>
      </c>
      <c r="C22" s="62">
        <f>C16-C17+C21</f>
        <v>115.16395357684399</v>
      </c>
      <c r="D22" s="62">
        <f>B6</f>
        <v>35.868609075026242</v>
      </c>
      <c r="E22" s="61"/>
    </row>
    <row r="23" spans="1:5">
      <c r="A23" s="61" t="s">
        <v>161</v>
      </c>
      <c r="B23" s="61" t="s">
        <v>140</v>
      </c>
      <c r="C23" s="79">
        <f>C22/2</f>
        <v>57.581976788421997</v>
      </c>
      <c r="D23" s="79">
        <f>B6</f>
        <v>35.868609075026242</v>
      </c>
      <c r="E23" s="61"/>
    </row>
    <row r="24" spans="1:5">
      <c r="A24" t="s">
        <v>152</v>
      </c>
      <c r="B24" t="s">
        <v>153</v>
      </c>
      <c r="C24" s="31">
        <f>C20-C21</f>
        <v>62.979830574442211</v>
      </c>
      <c r="D24" s="31"/>
      <c r="E24" s="61"/>
    </row>
    <row r="25" spans="1:5">
      <c r="A25" t="s">
        <v>154</v>
      </c>
      <c r="B25" t="s">
        <v>155</v>
      </c>
      <c r="C25" s="78">
        <f>C24-C18</f>
        <v>61.804590211374439</v>
      </c>
      <c r="D25" s="78">
        <f>B7</f>
        <v>58.969726070578922</v>
      </c>
      <c r="E25" s="61"/>
    </row>
    <row r="26" spans="1:5">
      <c r="A26" s="61"/>
      <c r="B26" s="61"/>
      <c r="C26" s="61"/>
      <c r="D26" s="61"/>
      <c r="E26" s="61"/>
    </row>
    <row r="27" spans="1:5">
      <c r="A27" s="61"/>
      <c r="B27" s="61"/>
      <c r="C27" s="61"/>
      <c r="D27" s="61"/>
      <c r="E27" s="61"/>
    </row>
    <row r="28" spans="1:5">
      <c r="A28" s="61"/>
      <c r="B28" s="61"/>
      <c r="C28" s="61"/>
      <c r="D28" s="61"/>
      <c r="E28" s="61"/>
    </row>
    <row r="29" spans="1:5">
      <c r="C29" s="61"/>
      <c r="D29" s="61"/>
      <c r="E29" s="61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workbookViewId="0">
      <selection activeCell="C18" sqref="C18"/>
    </sheetView>
  </sheetViews>
  <sheetFormatPr baseColWidth="10" defaultColWidth="8.83203125" defaultRowHeight="14" x14ac:dyDescent="0"/>
  <cols>
    <col min="1" max="11" width="8.83203125" style="2"/>
    <col min="12" max="12" width="12.83203125" style="2" bestFit="1" customWidth="1"/>
    <col min="13" max="16384" width="8.83203125" style="2"/>
  </cols>
  <sheetData>
    <row r="1" spans="1:19">
      <c r="A1" s="132" t="s">
        <v>4</v>
      </c>
      <c r="B1" s="132" t="s">
        <v>117</v>
      </c>
      <c r="C1" s="132" t="s">
        <v>117</v>
      </c>
      <c r="D1" s="132" t="s">
        <v>5</v>
      </c>
      <c r="E1" s="137" t="s">
        <v>18</v>
      </c>
      <c r="F1" s="137"/>
      <c r="G1" s="137"/>
      <c r="H1" s="137"/>
      <c r="I1" s="137" t="s">
        <v>20</v>
      </c>
      <c r="J1" s="137"/>
      <c r="K1" s="137"/>
      <c r="L1" s="137"/>
      <c r="M1" s="137" t="s">
        <v>21</v>
      </c>
      <c r="N1" s="137"/>
      <c r="O1" s="137"/>
      <c r="P1" s="137"/>
      <c r="Q1" s="38" t="s">
        <v>22</v>
      </c>
      <c r="R1" s="38" t="s">
        <v>22</v>
      </c>
      <c r="S1" s="38" t="s">
        <v>22</v>
      </c>
    </row>
    <row r="2" spans="1:19">
      <c r="A2" s="133"/>
      <c r="B2" s="133"/>
      <c r="C2" s="133"/>
      <c r="D2" s="133"/>
      <c r="E2" s="41" t="s">
        <v>19</v>
      </c>
      <c r="F2" s="41" t="s">
        <v>68</v>
      </c>
      <c r="G2" s="41" t="s">
        <v>118</v>
      </c>
      <c r="H2" s="41" t="s">
        <v>70</v>
      </c>
      <c r="I2" s="41" t="s">
        <v>19</v>
      </c>
      <c r="J2" s="41" t="s">
        <v>68</v>
      </c>
      <c r="K2" s="41" t="s">
        <v>69</v>
      </c>
      <c r="L2" s="41" t="s">
        <v>70</v>
      </c>
      <c r="M2" s="41" t="s">
        <v>19</v>
      </c>
      <c r="N2" s="41" t="s">
        <v>68</v>
      </c>
      <c r="O2" s="41" t="s">
        <v>69</v>
      </c>
      <c r="P2" s="41" t="s">
        <v>71</v>
      </c>
      <c r="Q2" s="39" t="s">
        <v>70</v>
      </c>
      <c r="R2" s="39" t="s">
        <v>23</v>
      </c>
      <c r="S2" s="39" t="s">
        <v>72</v>
      </c>
    </row>
    <row r="3" spans="1:19" s="6" customFormat="1">
      <c r="A3" s="63" t="s">
        <v>6</v>
      </c>
      <c r="B3" s="32">
        <v>-10</v>
      </c>
      <c r="C3" s="32">
        <f>B3</f>
        <v>-10</v>
      </c>
      <c r="D3" s="13">
        <f>C3/60</f>
        <v>-0.16666666666666666</v>
      </c>
      <c r="Q3" s="134"/>
      <c r="R3" s="135"/>
      <c r="S3" s="136"/>
    </row>
    <row r="4" spans="1:19">
      <c r="A4" s="65">
        <v>0</v>
      </c>
      <c r="B4" s="32">
        <v>10</v>
      </c>
      <c r="C4" s="32">
        <f>B4</f>
        <v>10</v>
      </c>
      <c r="D4" s="13">
        <f t="shared" ref="D4:D20" si="0">C4/60</f>
        <v>0.16666666666666666</v>
      </c>
      <c r="Q4" s="45" t="e">
        <f>AVERAGE('Flow cytometer'!P4,'Flow cytometer'!L4,'Flow cytometer'!H4)*Calculation!K4/Calculation!M3</f>
        <v>#DIV/0!</v>
      </c>
      <c r="R4" s="45" t="e">
        <f>STDEV('Flow cytometer'!P4,'Flow cytometer'!L4,'Flow cytometer'!H4)*Calculation!K4/Calculation!M3</f>
        <v>#DIV/0!</v>
      </c>
      <c r="S4" s="46" t="e">
        <f t="shared" ref="S4:S19" si="1">LOG(Q4)</f>
        <v>#DIV/0!</v>
      </c>
    </row>
    <row r="5" spans="1:19">
      <c r="A5" s="65">
        <v>1</v>
      </c>
      <c r="B5" s="32">
        <v>110</v>
      </c>
      <c r="C5" s="32">
        <f>C4+B5</f>
        <v>120</v>
      </c>
      <c r="D5" s="13">
        <f t="shared" si="0"/>
        <v>2</v>
      </c>
      <c r="Q5" s="45" t="e">
        <f>AVERAGE('Flow cytometer'!P5,'Flow cytometer'!L5,'Flow cytometer'!H5)*Calculation!K5/Calculation!M4</f>
        <v>#DIV/0!</v>
      </c>
      <c r="R5" s="45" t="e">
        <f>STDEV('Flow cytometer'!P5,'Flow cytometer'!L5,'Flow cytometer'!H5)*Calculation!K5/Calculation!M4</f>
        <v>#DIV/0!</v>
      </c>
      <c r="S5" s="46" t="e">
        <f t="shared" si="1"/>
        <v>#DIV/0!</v>
      </c>
    </row>
    <row r="6" spans="1:19">
      <c r="A6" s="65">
        <v>2</v>
      </c>
      <c r="B6" s="32">
        <v>80</v>
      </c>
      <c r="C6" s="32">
        <f>C5+B6</f>
        <v>200</v>
      </c>
      <c r="D6" s="13">
        <f t="shared" si="0"/>
        <v>3.3333333333333335</v>
      </c>
      <c r="Q6" s="45" t="e">
        <f>AVERAGE('Flow cytometer'!P6,'Flow cytometer'!L6,'Flow cytometer'!H6)*Calculation!K6/Calculation!M5</f>
        <v>#DIV/0!</v>
      </c>
      <c r="R6" s="45" t="e">
        <f>STDEV('Flow cytometer'!P6,'Flow cytometer'!L6,'Flow cytometer'!H6)*Calculation!K6/Calculation!M5</f>
        <v>#DIV/0!</v>
      </c>
      <c r="S6" s="46" t="e">
        <f t="shared" si="1"/>
        <v>#DIV/0!</v>
      </c>
    </row>
    <row r="7" spans="1:19">
      <c r="A7" s="65">
        <v>3</v>
      </c>
      <c r="B7" s="32">
        <v>80</v>
      </c>
      <c r="C7" s="32">
        <f>C6+B7</f>
        <v>280</v>
      </c>
      <c r="D7" s="13">
        <f t="shared" si="0"/>
        <v>4.666666666666667</v>
      </c>
      <c r="Q7" s="45" t="e">
        <f>AVERAGE('Flow cytometer'!P7,'Flow cytometer'!L7,'Flow cytometer'!H7)*Calculation!K7/Calculation!M6</f>
        <v>#DIV/0!</v>
      </c>
      <c r="R7" s="45" t="e">
        <f>STDEV('Flow cytometer'!P7,'Flow cytometer'!L7,'Flow cytometer'!H7)*Calculation!K7/Calculation!M6</f>
        <v>#DIV/0!</v>
      </c>
      <c r="S7" s="46" t="e">
        <f t="shared" si="1"/>
        <v>#DIV/0!</v>
      </c>
    </row>
    <row r="8" spans="1:19">
      <c r="A8" s="65">
        <v>4</v>
      </c>
      <c r="B8" s="32">
        <v>80</v>
      </c>
      <c r="C8" s="32">
        <f t="shared" ref="C8:C18" si="2">C7+B8</f>
        <v>360</v>
      </c>
      <c r="D8" s="13">
        <f t="shared" si="0"/>
        <v>6</v>
      </c>
      <c r="Q8" s="45" t="e">
        <f>AVERAGE('Flow cytometer'!P8,'Flow cytometer'!L8,'Flow cytometer'!H8)*Calculation!K8/Calculation!M7</f>
        <v>#DIV/0!</v>
      </c>
      <c r="R8" s="45" t="e">
        <f>STDEV('Flow cytometer'!P8,'Flow cytometer'!L8,'Flow cytometer'!H8)*Calculation!K8/Calculation!M7</f>
        <v>#DIV/0!</v>
      </c>
      <c r="S8" s="46" t="e">
        <f t="shared" si="1"/>
        <v>#DIV/0!</v>
      </c>
    </row>
    <row r="9" spans="1:19">
      <c r="A9" s="65">
        <v>5</v>
      </c>
      <c r="B9" s="32">
        <v>80</v>
      </c>
      <c r="C9" s="32">
        <f t="shared" si="2"/>
        <v>440</v>
      </c>
      <c r="D9" s="13">
        <f t="shared" si="0"/>
        <v>7.333333333333333</v>
      </c>
      <c r="Q9" s="45" t="e">
        <f>AVERAGE('Flow cytometer'!P9,'Flow cytometer'!L9,'Flow cytometer'!H9)*Calculation!K9/Calculation!M8</f>
        <v>#DIV/0!</v>
      </c>
      <c r="R9" s="45" t="e">
        <f>STDEV('Flow cytometer'!P9,'Flow cytometer'!L9,'Flow cytometer'!H9)*Calculation!K9/Calculation!M8</f>
        <v>#DIV/0!</v>
      </c>
      <c r="S9" s="46" t="e">
        <f t="shared" si="1"/>
        <v>#DIV/0!</v>
      </c>
    </row>
    <row r="10" spans="1:19">
      <c r="A10" s="65">
        <v>6</v>
      </c>
      <c r="B10" s="32">
        <v>80</v>
      </c>
      <c r="C10" s="32">
        <f t="shared" si="2"/>
        <v>520</v>
      </c>
      <c r="D10" s="13">
        <f t="shared" si="0"/>
        <v>8.6666666666666661</v>
      </c>
      <c r="Q10" s="45" t="e">
        <f>AVERAGE('Flow cytometer'!P10,'Flow cytometer'!L10,'Flow cytometer'!H10)*Calculation!K10/Calculation!M9</f>
        <v>#DIV/0!</v>
      </c>
      <c r="R10" s="45" t="e">
        <f>STDEV('Flow cytometer'!P10,'Flow cytometer'!L10,'Flow cytometer'!H10)*Calculation!K10/Calculation!M9</f>
        <v>#DIV/0!</v>
      </c>
      <c r="S10" s="46" t="e">
        <f t="shared" si="1"/>
        <v>#DIV/0!</v>
      </c>
    </row>
    <row r="11" spans="1:19">
      <c r="A11" s="65">
        <v>7</v>
      </c>
      <c r="B11" s="32">
        <v>80</v>
      </c>
      <c r="C11" s="32">
        <f t="shared" si="2"/>
        <v>600</v>
      </c>
      <c r="D11" s="13">
        <f t="shared" si="0"/>
        <v>10</v>
      </c>
      <c r="Q11" s="45" t="e">
        <f>AVERAGE('Flow cytometer'!P11,'Flow cytometer'!L11,'Flow cytometer'!H11)*Calculation!K11/Calculation!M10</f>
        <v>#DIV/0!</v>
      </c>
      <c r="R11" s="45" t="e">
        <f>STDEV('Flow cytometer'!P11,'Flow cytometer'!L11,'Flow cytometer'!H11)*Calculation!K11/Calculation!M10</f>
        <v>#DIV/0!</v>
      </c>
      <c r="S11" s="46" t="e">
        <f t="shared" si="1"/>
        <v>#DIV/0!</v>
      </c>
    </row>
    <row r="12" spans="1:19">
      <c r="A12" s="65">
        <v>8</v>
      </c>
      <c r="B12" s="32">
        <v>80</v>
      </c>
      <c r="C12" s="32">
        <f t="shared" si="2"/>
        <v>680</v>
      </c>
      <c r="D12" s="13">
        <f t="shared" si="0"/>
        <v>11.333333333333334</v>
      </c>
      <c r="Q12" s="45" t="e">
        <f>AVERAGE('Flow cytometer'!P12,'Flow cytometer'!L12,'Flow cytometer'!H12)*Calculation!K12/Calculation!M11</f>
        <v>#DIV/0!</v>
      </c>
      <c r="R12" s="45" t="e">
        <f>STDEV('Flow cytometer'!P12,'Flow cytometer'!L12,'Flow cytometer'!H12)*Calculation!K12/Calculation!M11</f>
        <v>#DIV/0!</v>
      </c>
      <c r="S12" s="46" t="e">
        <f t="shared" si="1"/>
        <v>#DIV/0!</v>
      </c>
    </row>
    <row r="13" spans="1:19">
      <c r="A13" s="65">
        <v>9</v>
      </c>
      <c r="B13" s="32">
        <v>80</v>
      </c>
      <c r="C13" s="32">
        <f t="shared" si="2"/>
        <v>760</v>
      </c>
      <c r="D13" s="13">
        <f t="shared" si="0"/>
        <v>12.666666666666666</v>
      </c>
      <c r="Q13" s="45" t="e">
        <f>AVERAGE('Flow cytometer'!P13,'Flow cytometer'!L13,'Flow cytometer'!H13)*Calculation!K13/Calculation!M12</f>
        <v>#DIV/0!</v>
      </c>
      <c r="R13" s="45" t="e">
        <f>STDEV('Flow cytometer'!P13,'Flow cytometer'!L13,'Flow cytometer'!H13)*Calculation!K13/Calculation!M12</f>
        <v>#DIV/0!</v>
      </c>
      <c r="S13" s="46" t="e">
        <f t="shared" si="1"/>
        <v>#DIV/0!</v>
      </c>
    </row>
    <row r="14" spans="1:19">
      <c r="A14" s="65">
        <v>10</v>
      </c>
      <c r="B14" s="32">
        <v>80</v>
      </c>
      <c r="C14" s="32">
        <f t="shared" si="2"/>
        <v>840</v>
      </c>
      <c r="D14" s="13">
        <f t="shared" si="0"/>
        <v>14</v>
      </c>
      <c r="Q14" s="45" t="e">
        <f>AVERAGE('Flow cytometer'!P14,'Flow cytometer'!L14,'Flow cytometer'!H14)*Calculation!K14/Calculation!M13</f>
        <v>#DIV/0!</v>
      </c>
      <c r="R14" s="45" t="e">
        <f>STDEV('Flow cytometer'!P14,'Flow cytometer'!L14,'Flow cytometer'!H14)*Calculation!K14/Calculation!M13</f>
        <v>#DIV/0!</v>
      </c>
      <c r="S14" s="46" t="e">
        <f t="shared" si="1"/>
        <v>#DIV/0!</v>
      </c>
    </row>
    <row r="15" spans="1:19">
      <c r="A15" s="65">
        <v>11</v>
      </c>
      <c r="B15" s="32">
        <v>80</v>
      </c>
      <c r="C15" s="32">
        <f t="shared" si="2"/>
        <v>920</v>
      </c>
      <c r="D15" s="13">
        <f t="shared" si="0"/>
        <v>15.333333333333334</v>
      </c>
      <c r="Q15" s="45" t="e">
        <f>AVERAGE('Flow cytometer'!P15,'Flow cytometer'!L15,'Flow cytometer'!H15)*Calculation!K15/Calculation!M14</f>
        <v>#DIV/0!</v>
      </c>
      <c r="R15" s="45" t="e">
        <f>STDEV('Flow cytometer'!P15,'Flow cytometer'!L15,'Flow cytometer'!H15)*Calculation!K15/Calculation!M14</f>
        <v>#DIV/0!</v>
      </c>
      <c r="S15" s="46" t="e">
        <f t="shared" si="1"/>
        <v>#DIV/0!</v>
      </c>
    </row>
    <row r="16" spans="1:19">
      <c r="A16" s="65">
        <v>12</v>
      </c>
      <c r="B16" s="32">
        <v>80</v>
      </c>
      <c r="C16" s="32">
        <f t="shared" si="2"/>
        <v>1000</v>
      </c>
      <c r="D16" s="13">
        <f t="shared" si="0"/>
        <v>16.666666666666668</v>
      </c>
      <c r="Q16" s="45" t="e">
        <f>AVERAGE('Flow cytometer'!P16,'Flow cytometer'!L16,'Flow cytometer'!H16)*Calculation!K16/Calculation!M15</f>
        <v>#DIV/0!</v>
      </c>
      <c r="R16" s="45" t="e">
        <f>STDEV('Flow cytometer'!P16,'Flow cytometer'!L16,'Flow cytometer'!H16)*Calculation!K16/Calculation!M15</f>
        <v>#DIV/0!</v>
      </c>
      <c r="S16" s="46" t="e">
        <f t="shared" si="1"/>
        <v>#DIV/0!</v>
      </c>
    </row>
    <row r="17" spans="1:19">
      <c r="A17" s="65">
        <v>13</v>
      </c>
      <c r="B17" s="32">
        <v>80</v>
      </c>
      <c r="C17" s="32">
        <f t="shared" si="2"/>
        <v>1080</v>
      </c>
      <c r="D17" s="13">
        <f t="shared" si="0"/>
        <v>18</v>
      </c>
      <c r="Q17" s="45" t="e">
        <f>AVERAGE('Flow cytometer'!P17,'Flow cytometer'!L17,'Flow cytometer'!H17)*Calculation!K17/Calculation!M16</f>
        <v>#DIV/0!</v>
      </c>
      <c r="R17" s="45" t="e">
        <f>STDEV('Flow cytometer'!P17,'Flow cytometer'!L17,'Flow cytometer'!H17)*Calculation!K17/Calculation!M16</f>
        <v>#DIV/0!</v>
      </c>
      <c r="S17" s="46" t="e">
        <f t="shared" si="1"/>
        <v>#DIV/0!</v>
      </c>
    </row>
    <row r="18" spans="1:19">
      <c r="A18" s="65">
        <v>14</v>
      </c>
      <c r="B18" s="32">
        <v>360</v>
      </c>
      <c r="C18" s="32">
        <f t="shared" si="2"/>
        <v>1440</v>
      </c>
      <c r="D18" s="13">
        <f t="shared" si="0"/>
        <v>24</v>
      </c>
      <c r="Q18" s="45" t="e">
        <f>AVERAGE('Flow cytometer'!P18,'Flow cytometer'!L18,'Flow cytometer'!H18)*Calculation!K18/Calculation!M17</f>
        <v>#DIV/0!</v>
      </c>
      <c r="R18" s="45" t="e">
        <f>STDEV('Flow cytometer'!P18,'Flow cytometer'!L18,'Flow cytometer'!H18)*Calculation!K18/Calculation!M17</f>
        <v>#DIV/0!</v>
      </c>
      <c r="S18" s="46" t="e">
        <f t="shared" si="1"/>
        <v>#DIV/0!</v>
      </c>
    </row>
    <row r="19" spans="1:19">
      <c r="A19" s="65">
        <v>15</v>
      </c>
      <c r="B19" s="32">
        <v>360</v>
      </c>
      <c r="C19" s="32">
        <f>C18+B19</f>
        <v>1800</v>
      </c>
      <c r="D19" s="13">
        <f t="shared" si="0"/>
        <v>30</v>
      </c>
      <c r="Q19" s="45" t="e">
        <f>AVERAGE('Flow cytometer'!P19,'Flow cytometer'!L19,'Flow cytometer'!H19)*Calculation!K19/Calculation!M18</f>
        <v>#DIV/0!</v>
      </c>
      <c r="R19" s="45" t="e">
        <f>STDEV('Flow cytometer'!P19,'Flow cytometer'!L19,'Flow cytometer'!H19)*Calculation!K19/Calculation!M18</f>
        <v>#DIV/0!</v>
      </c>
      <c r="S19" s="46" t="e">
        <f t="shared" si="1"/>
        <v>#DIV/0!</v>
      </c>
    </row>
    <row r="20" spans="1:19">
      <c r="A20" s="65">
        <v>16</v>
      </c>
      <c r="B20" s="32">
        <v>1080</v>
      </c>
      <c r="C20" s="32">
        <f>C19+B20</f>
        <v>2880</v>
      </c>
      <c r="D20" s="13">
        <f t="shared" si="0"/>
        <v>48</v>
      </c>
      <c r="Q20" s="45" t="e">
        <f>AVERAGE('Flow cytometer'!P20,'Flow cytometer'!L20,'Flow cytometer'!H20)*Calculation!K20/Calculation!M19</f>
        <v>#DIV/0!</v>
      </c>
      <c r="R20" s="45" t="e">
        <f>STDEV('Flow cytometer'!P20,'Flow cytometer'!L20,'Flow cytometer'!H20)*Calculation!K20/Calculation!M19</f>
        <v>#DIV/0!</v>
      </c>
      <c r="S20" s="46" t="e">
        <f t="shared" ref="S20" si="3">LOG(Q20)</f>
        <v>#DIV/0!</v>
      </c>
    </row>
  </sheetData>
  <mergeCells count="8">
    <mergeCell ref="Q3:S3"/>
    <mergeCell ref="A1:A2"/>
    <mergeCell ref="B1:B2"/>
    <mergeCell ref="C1:C2"/>
    <mergeCell ref="D1:D2"/>
    <mergeCell ref="E1:H1"/>
    <mergeCell ref="I1:L1"/>
    <mergeCell ref="M1:P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X20"/>
  <sheetViews>
    <sheetView topLeftCell="B1" workbookViewId="0">
      <selection activeCell="D3" sqref="D3:D20"/>
    </sheetView>
  </sheetViews>
  <sheetFormatPr baseColWidth="10" defaultColWidth="8.83203125" defaultRowHeight="14" x14ac:dyDescent="0"/>
  <cols>
    <col min="17" max="17" width="9.1640625" bestFit="1" customWidth="1"/>
    <col min="19" max="20" width="14.83203125" bestFit="1" customWidth="1"/>
  </cols>
  <sheetData>
    <row r="1" spans="1:24">
      <c r="A1" s="132" t="s">
        <v>4</v>
      </c>
      <c r="B1" s="132" t="s">
        <v>117</v>
      </c>
      <c r="C1" s="132" t="s">
        <v>117</v>
      </c>
      <c r="D1" s="132" t="s">
        <v>5</v>
      </c>
      <c r="E1" s="131" t="s">
        <v>119</v>
      </c>
      <c r="F1" s="131"/>
      <c r="G1" s="131"/>
      <c r="H1" s="131"/>
      <c r="I1" s="131" t="s">
        <v>120</v>
      </c>
      <c r="J1" s="131"/>
      <c r="K1" s="131"/>
      <c r="L1" s="131"/>
      <c r="M1" s="131" t="s">
        <v>121</v>
      </c>
      <c r="N1" s="131"/>
      <c r="O1" s="131"/>
      <c r="P1" s="131"/>
      <c r="Q1" s="24" t="s">
        <v>122</v>
      </c>
      <c r="R1" s="24" t="s">
        <v>122</v>
      </c>
      <c r="S1" s="24" t="s">
        <v>122</v>
      </c>
      <c r="T1" s="59" t="s">
        <v>122</v>
      </c>
      <c r="U1" s="74" t="s">
        <v>119</v>
      </c>
      <c r="V1" s="74" t="s">
        <v>120</v>
      </c>
      <c r="W1" s="74" t="s">
        <v>121</v>
      </c>
      <c r="X1" s="74" t="s">
        <v>122</v>
      </c>
    </row>
    <row r="2" spans="1:24">
      <c r="A2" s="133"/>
      <c r="B2" s="133"/>
      <c r="C2" s="133"/>
      <c r="D2" s="133"/>
      <c r="E2" s="23" t="s">
        <v>19</v>
      </c>
      <c r="F2" s="23" t="s">
        <v>68</v>
      </c>
      <c r="G2" s="23" t="s">
        <v>69</v>
      </c>
      <c r="H2" s="23" t="s">
        <v>70</v>
      </c>
      <c r="I2" s="23" t="s">
        <v>19</v>
      </c>
      <c r="J2" s="23" t="s">
        <v>68</v>
      </c>
      <c r="K2" s="23" t="s">
        <v>69</v>
      </c>
      <c r="L2" s="23" t="s">
        <v>70</v>
      </c>
      <c r="M2" s="23" t="s">
        <v>19</v>
      </c>
      <c r="N2" s="23" t="s">
        <v>68</v>
      </c>
      <c r="O2" s="23" t="s">
        <v>69</v>
      </c>
      <c r="P2" s="23" t="s">
        <v>71</v>
      </c>
      <c r="Q2" s="25" t="s">
        <v>70</v>
      </c>
      <c r="R2" s="25" t="s">
        <v>23</v>
      </c>
      <c r="S2" s="25" t="s">
        <v>72</v>
      </c>
      <c r="T2" s="60" t="s">
        <v>138</v>
      </c>
      <c r="U2" s="75" t="s">
        <v>148</v>
      </c>
      <c r="V2" s="75" t="s">
        <v>148</v>
      </c>
      <c r="W2" s="75" t="s">
        <v>148</v>
      </c>
      <c r="X2" s="75" t="s">
        <v>149</v>
      </c>
    </row>
    <row r="3" spans="1:24">
      <c r="A3" s="63" t="s">
        <v>6</v>
      </c>
      <c r="B3" s="32">
        <v>-10</v>
      </c>
      <c r="C3" s="32">
        <f>B3</f>
        <v>-10</v>
      </c>
      <c r="D3" s="13">
        <f>C3/60</f>
        <v>-0.16666666666666666</v>
      </c>
      <c r="E3" s="43" t="s">
        <v>101</v>
      </c>
      <c r="F3" s="43" t="s">
        <v>101</v>
      </c>
      <c r="G3" s="43" t="s">
        <v>101</v>
      </c>
      <c r="H3" s="44" t="s">
        <v>101</v>
      </c>
      <c r="I3" s="43" t="s">
        <v>101</v>
      </c>
      <c r="J3" s="43" t="s">
        <v>101</v>
      </c>
      <c r="K3" s="43" t="s">
        <v>101</v>
      </c>
      <c r="L3" s="44" t="s">
        <v>101</v>
      </c>
      <c r="M3" s="43" t="s">
        <v>101</v>
      </c>
      <c r="N3" s="43" t="s">
        <v>101</v>
      </c>
      <c r="O3" s="43" t="s">
        <v>101</v>
      </c>
      <c r="P3" s="44" t="s">
        <v>101</v>
      </c>
      <c r="Q3" s="138" t="s">
        <v>101</v>
      </c>
      <c r="R3" s="139"/>
      <c r="S3" s="140"/>
      <c r="T3" s="73"/>
      <c r="U3" s="44" t="s">
        <v>101</v>
      </c>
      <c r="V3" s="44" t="s">
        <v>101</v>
      </c>
      <c r="W3" s="44" t="s">
        <v>101</v>
      </c>
      <c r="X3" s="44" t="s">
        <v>101</v>
      </c>
    </row>
    <row r="4" spans="1:24">
      <c r="A4" s="65">
        <v>0</v>
      </c>
      <c r="B4" s="32">
        <v>10</v>
      </c>
      <c r="C4" s="32">
        <f>B4</f>
        <v>10</v>
      </c>
      <c r="D4" s="13">
        <f t="shared" ref="D4:D20" si="0">C4/60</f>
        <v>0.16666666666666666</v>
      </c>
      <c r="E4" s="32">
        <v>2</v>
      </c>
      <c r="F4" s="32">
        <v>7433</v>
      </c>
      <c r="G4" s="32">
        <v>7</v>
      </c>
      <c r="H4" s="44">
        <f>('Flow cytometer'!F4/'Flow cytometer'!G4)*POWER(10,'Flow cytometer'!E4+2)*10.2</f>
        <v>108309428.57142857</v>
      </c>
      <c r="I4" s="32">
        <v>2</v>
      </c>
      <c r="J4" s="32">
        <v>8927</v>
      </c>
      <c r="K4" s="32">
        <v>7</v>
      </c>
      <c r="L4" s="44">
        <f>('Flow cytometer'!J4/'Flow cytometer'!K4)*POWER(10,'Flow cytometer'!I4+2)*10.2</f>
        <v>130079142.85714284</v>
      </c>
      <c r="M4" s="32">
        <v>2</v>
      </c>
      <c r="N4" s="32">
        <v>9127</v>
      </c>
      <c r="O4" s="32">
        <v>7</v>
      </c>
      <c r="P4" s="44">
        <f>('Flow cytometer'!N4/'Flow cytometer'!O4)*POWER(10,'Flow cytometer'!M4+2)*10.2</f>
        <v>132993428.57142857</v>
      </c>
      <c r="Q4" s="47">
        <f>AVERAGE(H4,L4,P4)*Calculation!I4/Calculation!K3</f>
        <v>124014797.85969085</v>
      </c>
      <c r="R4" s="48">
        <f>STDEV(H4,L4,P4)*Calculation!I4/Calculation!K3</f>
        <v>13513025.755971802</v>
      </c>
      <c r="S4" s="49">
        <f>LOG(Q4)</f>
        <v>8.0934735097216635</v>
      </c>
      <c r="T4" s="72">
        <f>LN(Q4)</f>
        <v>18.635911454027301</v>
      </c>
      <c r="U4" s="49">
        <f>LOG(H4)</f>
        <v>8.0346662645506104</v>
      </c>
      <c r="V4" s="49">
        <f>LOG(L4)</f>
        <v>8.114207666521521</v>
      </c>
      <c r="W4" s="49">
        <f>LOG(P4)</f>
        <v>8.1238301822778034</v>
      </c>
      <c r="X4" s="49">
        <f xml:space="preserve"> STDEV(U4:W4)*Calculation!I4/Calculation!K3</f>
        <v>4.9025395569396238E-2</v>
      </c>
    </row>
    <row r="5" spans="1:24">
      <c r="A5" s="65">
        <v>1</v>
      </c>
      <c r="B5" s="32">
        <v>110</v>
      </c>
      <c r="C5" s="32">
        <f>C4+B5</f>
        <v>120</v>
      </c>
      <c r="D5" s="13">
        <f t="shared" si="0"/>
        <v>2</v>
      </c>
      <c r="E5" s="32">
        <v>2</v>
      </c>
      <c r="F5" s="32">
        <v>10797</v>
      </c>
      <c r="G5" s="32">
        <v>7</v>
      </c>
      <c r="H5" s="44">
        <f>('Flow cytometer'!F5/'Flow cytometer'!G5)*POWER(10,'Flow cytometer'!E5+2)*10.2</f>
        <v>157327714.28571427</v>
      </c>
      <c r="I5" s="32">
        <v>2</v>
      </c>
      <c r="J5" s="32">
        <v>11425</v>
      </c>
      <c r="K5" s="32">
        <v>7</v>
      </c>
      <c r="L5" s="44">
        <f>('Flow cytometer'!J5/'Flow cytometer'!K5)*POWER(10,'Flow cytometer'!I5+2)*10.2</f>
        <v>166478571.4285714</v>
      </c>
      <c r="M5" s="32">
        <v>2</v>
      </c>
      <c r="N5" s="32">
        <v>11964</v>
      </c>
      <c r="O5" s="32">
        <v>7</v>
      </c>
      <c r="P5" s="44">
        <f>('Flow cytometer'!N5/'Flow cytometer'!O5)*POWER(10,'Flow cytometer'!M5+2)*10.2</f>
        <v>174332571.4285714</v>
      </c>
      <c r="Q5" s="47">
        <f>AVERAGE(H5,L5,P5)*Calculation!I5/Calculation!K4</f>
        <v>166545672.76768884</v>
      </c>
      <c r="R5" s="48">
        <f>STDEV(H5,L5,P5)*Calculation!I5/Calculation!K4</f>
        <v>8536262.5074739493</v>
      </c>
      <c r="S5" s="49">
        <f t="shared" ref="S5:S19" si="1">LOG(Q5)</f>
        <v>8.2215333532233608</v>
      </c>
      <c r="T5" s="49">
        <f t="shared" ref="T5:T19" si="2">LN(Q5)</f>
        <v>18.930780140685464</v>
      </c>
      <c r="U5" s="49">
        <f t="shared" ref="U5:U20" si="3">LOG(H5)</f>
        <v>8.1968052331202337</v>
      </c>
      <c r="V5" s="49">
        <f t="shared" ref="V5:V20" si="4">LOG(L5)</f>
        <v>8.2213583404895481</v>
      </c>
      <c r="W5" s="49">
        <f t="shared" ref="W5:W20" si="5">LOG(P5)</f>
        <v>8.2413785361069412</v>
      </c>
      <c r="X5" s="49">
        <f xml:space="preserve"> STDEV(U5:W5)*Calculation!I5/Calculation!K4</f>
        <v>2.2392176153758318E-2</v>
      </c>
    </row>
    <row r="6" spans="1:24">
      <c r="A6" s="65">
        <v>2</v>
      </c>
      <c r="B6" s="32">
        <v>80</v>
      </c>
      <c r="C6" s="32">
        <f>C5+B6</f>
        <v>200</v>
      </c>
      <c r="D6" s="13">
        <f t="shared" si="0"/>
        <v>3.3333333333333335</v>
      </c>
      <c r="E6" s="32">
        <v>2</v>
      </c>
      <c r="F6" s="32">
        <v>16931</v>
      </c>
      <c r="G6" s="32">
        <v>7</v>
      </c>
      <c r="H6" s="44">
        <f>('Flow cytometer'!F6/'Flow cytometer'!G6)*POWER(10,'Flow cytometer'!E6+2)*10.2</f>
        <v>246708857.14285713</v>
      </c>
      <c r="I6" s="32">
        <v>2</v>
      </c>
      <c r="J6" s="32">
        <v>20742</v>
      </c>
      <c r="K6" s="32">
        <v>7</v>
      </c>
      <c r="L6" s="44">
        <f>('Flow cytometer'!J6/'Flow cytometer'!K6)*POWER(10,'Flow cytometer'!I6+2)*10.2</f>
        <v>302240571.42857146</v>
      </c>
      <c r="M6" s="32">
        <v>2</v>
      </c>
      <c r="N6" s="32">
        <v>19638</v>
      </c>
      <c r="O6" s="32">
        <v>7</v>
      </c>
      <c r="P6" s="44">
        <f>('Flow cytometer'!N6/'Flow cytometer'!O6)*POWER(10,'Flow cytometer'!M6+2)*10.2</f>
        <v>286153714.28571427</v>
      </c>
      <c r="Q6" s="47">
        <f>AVERAGE(H6,L6,P6)*Calculation!I6/Calculation!K5</f>
        <v>279555010.16340184</v>
      </c>
      <c r="R6" s="48">
        <f>STDEV(H6,L6,P6)*Calculation!I6/Calculation!K5</f>
        <v>28694743.942540023</v>
      </c>
      <c r="S6" s="49">
        <f t="shared" si="1"/>
        <v>8.4464672800567584</v>
      </c>
      <c r="T6" s="49">
        <f t="shared" si="2"/>
        <v>19.448709647520655</v>
      </c>
      <c r="U6" s="49">
        <f t="shared" si="3"/>
        <v>8.3921847414606265</v>
      </c>
      <c r="V6" s="49">
        <f t="shared" si="4"/>
        <v>8.4803527616737107</v>
      </c>
      <c r="W6" s="49">
        <f t="shared" si="5"/>
        <v>8.4565993874393079</v>
      </c>
      <c r="X6" s="49">
        <f xml:space="preserve"> STDEV(U6:W6)*Calculation!I6/Calculation!K5</f>
        <v>4.5814510479298236E-2</v>
      </c>
    </row>
    <row r="7" spans="1:24">
      <c r="A7" s="65">
        <v>3</v>
      </c>
      <c r="B7" s="32">
        <v>80</v>
      </c>
      <c r="C7" s="32">
        <f>C6+B7</f>
        <v>280</v>
      </c>
      <c r="D7" s="13">
        <f t="shared" si="0"/>
        <v>4.666666666666667</v>
      </c>
      <c r="E7" s="32">
        <v>3</v>
      </c>
      <c r="F7" s="32">
        <v>4331</v>
      </c>
      <c r="G7" s="32">
        <v>7</v>
      </c>
      <c r="H7" s="44">
        <f>('Flow cytometer'!F7/'Flow cytometer'!G7)*POWER(10,'Flow cytometer'!E7+2)*10.2</f>
        <v>631088571.42857134</v>
      </c>
      <c r="I7" s="32">
        <v>3</v>
      </c>
      <c r="J7" s="32">
        <v>3857</v>
      </c>
      <c r="K7" s="32">
        <v>7</v>
      </c>
      <c r="L7" s="44">
        <f>('Flow cytometer'!J7/'Flow cytometer'!K7)*POWER(10,'Flow cytometer'!I7+2)*10.2</f>
        <v>562020000</v>
      </c>
      <c r="M7" s="32">
        <v>3</v>
      </c>
      <c r="N7" s="32">
        <v>3976</v>
      </c>
      <c r="O7" s="32">
        <v>7</v>
      </c>
      <c r="P7" s="44">
        <f>('Flow cytometer'!N7/'Flow cytometer'!O7)*POWER(10,'Flow cytometer'!M7+2)*10.2</f>
        <v>579360000</v>
      </c>
      <c r="Q7" s="47">
        <f>AVERAGE(H7,L7,P7)*Calculation!I7/Calculation!K6</f>
        <v>595256847.98909259</v>
      </c>
      <c r="R7" s="48">
        <f>STDEV(H7,L7,P7)*Calculation!I7/Calculation!K6</f>
        <v>36202447.76596535</v>
      </c>
      <c r="S7" s="49">
        <f t="shared" si="1"/>
        <v>8.7747044003419621</v>
      </c>
      <c r="T7" s="49">
        <f t="shared" si="2"/>
        <v>20.20450354765666</v>
      </c>
      <c r="U7" s="49">
        <f t="shared" si="3"/>
        <v>8.8000903154775028</v>
      </c>
      <c r="V7" s="49">
        <f t="shared" si="4"/>
        <v>8.7497517706137025</v>
      </c>
      <c r="W7" s="49">
        <f t="shared" si="5"/>
        <v>8.7629485074729363</v>
      </c>
      <c r="X7" s="49">
        <f xml:space="preserve"> STDEV(U7:W7)*Calculation!I7/Calculation!K6</f>
        <v>2.6297086823362369E-2</v>
      </c>
    </row>
    <row r="8" spans="1:24">
      <c r="A8" s="65">
        <v>4</v>
      </c>
      <c r="B8" s="32">
        <v>80</v>
      </c>
      <c r="C8" s="32">
        <f t="shared" ref="C8:C18" si="6">C7+B8</f>
        <v>360</v>
      </c>
      <c r="D8" s="13">
        <f t="shared" si="0"/>
        <v>6</v>
      </c>
      <c r="E8" s="32">
        <v>3</v>
      </c>
      <c r="F8" s="32">
        <v>4831</v>
      </c>
      <c r="G8" s="32">
        <v>7</v>
      </c>
      <c r="H8" s="44">
        <f>('Flow cytometer'!F8/'Flow cytometer'!G8)*POWER(10,'Flow cytometer'!E8+2)*10.2</f>
        <v>703945714.28571427</v>
      </c>
      <c r="I8" s="32">
        <v>3</v>
      </c>
      <c r="J8" s="32">
        <v>5507</v>
      </c>
      <c r="K8" s="32">
        <v>7</v>
      </c>
      <c r="L8" s="44">
        <f>('Flow cytometer'!J8/'Flow cytometer'!K8)*POWER(10,'Flow cytometer'!I8+2)*10.2</f>
        <v>802448571.42857134</v>
      </c>
      <c r="M8" s="32">
        <v>3</v>
      </c>
      <c r="N8" s="32">
        <v>5248</v>
      </c>
      <c r="O8" s="32">
        <v>7</v>
      </c>
      <c r="P8" s="44">
        <f>('Flow cytometer'!N8/'Flow cytometer'!O8)*POWER(10,'Flow cytometer'!M8+2)*10.2</f>
        <v>764708571.42857134</v>
      </c>
      <c r="Q8" s="47">
        <f>AVERAGE(H8,L8,P8)*Calculation!I8/Calculation!K7</f>
        <v>766759210.93486691</v>
      </c>
      <c r="R8" s="48">
        <f>STDEV(H8,L8,P8)*Calculation!I8/Calculation!K7</f>
        <v>50336251.48338598</v>
      </c>
      <c r="S8" s="49">
        <f t="shared" si="1"/>
        <v>8.884659001784172</v>
      </c>
      <c r="T8" s="49">
        <f t="shared" si="2"/>
        <v>20.457683373843594</v>
      </c>
      <c r="U8" s="49">
        <f t="shared" si="3"/>
        <v>8.8475391692341798</v>
      </c>
      <c r="V8" s="49">
        <f t="shared" si="4"/>
        <v>8.9044172082289439</v>
      </c>
      <c r="W8" s="49">
        <f t="shared" si="5"/>
        <v>8.8834959581152653</v>
      </c>
      <c r="X8" s="49">
        <f xml:space="preserve"> STDEV(U8:W8)*Calculation!I8/Calculation!K7</f>
        <v>2.9137889845326378E-2</v>
      </c>
    </row>
    <row r="9" spans="1:24">
      <c r="A9" s="65">
        <v>5</v>
      </c>
      <c r="B9" s="32">
        <v>80</v>
      </c>
      <c r="C9" s="32">
        <f t="shared" si="6"/>
        <v>440</v>
      </c>
      <c r="D9" s="13">
        <f t="shared" si="0"/>
        <v>7.333333333333333</v>
      </c>
      <c r="E9" s="32">
        <v>3</v>
      </c>
      <c r="F9" s="32">
        <v>13853</v>
      </c>
      <c r="G9" s="32">
        <v>7</v>
      </c>
      <c r="H9" s="44">
        <f>('Flow cytometer'!F9/'Flow cytometer'!G9)*POWER(10,'Flow cytometer'!E9+2)*10.2</f>
        <v>2018579999.9999998</v>
      </c>
      <c r="I9" s="32">
        <v>3</v>
      </c>
      <c r="J9" s="32">
        <v>14102</v>
      </c>
      <c r="K9" s="32">
        <v>7</v>
      </c>
      <c r="L9" s="44">
        <f>('Flow cytometer'!J9/'Flow cytometer'!K9)*POWER(10,'Flow cytometer'!I9+2)*10.2</f>
        <v>2054862857.1428571</v>
      </c>
      <c r="M9" s="32">
        <v>3</v>
      </c>
      <c r="N9" s="32">
        <v>15256</v>
      </c>
      <c r="O9" s="32">
        <v>7</v>
      </c>
      <c r="P9" s="44">
        <f>('Flow cytometer'!N9/'Flow cytometer'!O9)*POWER(10,'Flow cytometer'!M9+2)*10.2</f>
        <v>2223017142.8571429</v>
      </c>
      <c r="Q9" s="47">
        <f>AVERAGE(H9,L9,P9)*Calculation!I9/Calculation!K8</f>
        <v>2143123138.1488183</v>
      </c>
      <c r="R9" s="48">
        <f>STDEV(H9,L9,P9)*Calculation!I9/Calculation!K8</f>
        <v>111379542.66073726</v>
      </c>
      <c r="S9" s="49">
        <f t="shared" si="1"/>
        <v>9.3310471251632272</v>
      </c>
      <c r="T9" s="49">
        <f t="shared" si="2"/>
        <v>21.485530012425791</v>
      </c>
      <c r="U9" s="49">
        <f t="shared" si="3"/>
        <v>9.3050459659683131</v>
      </c>
      <c r="V9" s="49">
        <f t="shared" si="4"/>
        <v>9.3127828420886836</v>
      </c>
      <c r="W9" s="49">
        <f t="shared" si="5"/>
        <v>9.3469428117856097</v>
      </c>
      <c r="X9" s="49">
        <f xml:space="preserve"> STDEV(U9:W9)*Calculation!I9/Calculation!K8</f>
        <v>2.2764495192530831E-2</v>
      </c>
    </row>
    <row r="10" spans="1:24">
      <c r="A10" s="65">
        <v>6</v>
      </c>
      <c r="B10" s="32">
        <v>80</v>
      </c>
      <c r="C10" s="32">
        <f t="shared" si="6"/>
        <v>520</v>
      </c>
      <c r="D10" s="13">
        <f t="shared" si="0"/>
        <v>8.6666666666666661</v>
      </c>
      <c r="E10" s="32">
        <v>3</v>
      </c>
      <c r="F10" s="32">
        <v>24076</v>
      </c>
      <c r="G10" s="32">
        <v>7</v>
      </c>
      <c r="H10" s="44">
        <f>('Flow cytometer'!F10/'Flow cytometer'!G10)*POWER(10,'Flow cytometer'!E10+2)*10.2</f>
        <v>3508217142.8571424</v>
      </c>
      <c r="I10" s="32">
        <v>3</v>
      </c>
      <c r="J10" s="32">
        <v>24727</v>
      </c>
      <c r="K10" s="32">
        <v>7</v>
      </c>
      <c r="L10" s="44">
        <f>('Flow cytometer'!J10/'Flow cytometer'!K10)*POWER(10,'Flow cytometer'!I10+2)*10.2</f>
        <v>3603077142.8571424</v>
      </c>
      <c r="M10" s="32">
        <v>3</v>
      </c>
      <c r="N10" s="32">
        <v>22325</v>
      </c>
      <c r="O10" s="32">
        <v>7</v>
      </c>
      <c r="P10" s="44">
        <f>('Flow cytometer'!N10/'Flow cytometer'!O10)*POWER(10,'Flow cytometer'!M10+2)*10.2</f>
        <v>3253071428.5714283</v>
      </c>
      <c r="Q10" s="47">
        <f>AVERAGE(H10,L10,P10)*Calculation!I10/Calculation!K9</f>
        <v>3569332024.8524895</v>
      </c>
      <c r="R10" s="48">
        <f>STDEV(H10,L10,P10)*Calculation!I10/Calculation!K9</f>
        <v>187018058.64456686</v>
      </c>
      <c r="S10" s="49">
        <f t="shared" si="1"/>
        <v>9.5525869485873187</v>
      </c>
      <c r="T10" s="49">
        <f t="shared" si="2"/>
        <v>21.995644307346637</v>
      </c>
      <c r="U10" s="49">
        <f t="shared" si="3"/>
        <v>9.5450864664004129</v>
      </c>
      <c r="V10" s="49">
        <f t="shared" si="4"/>
        <v>9.5566735605845512</v>
      </c>
      <c r="W10" s="49">
        <f t="shared" si="5"/>
        <v>9.5122935993082454</v>
      </c>
      <c r="X10" s="49">
        <f xml:space="preserve"> STDEV(U10:W10)*Calculation!I10/Calculation!K9</f>
        <v>2.3782073652165042E-2</v>
      </c>
    </row>
    <row r="11" spans="1:24">
      <c r="A11" s="65">
        <v>7</v>
      </c>
      <c r="B11" s="32">
        <v>80</v>
      </c>
      <c r="C11" s="32">
        <f t="shared" si="6"/>
        <v>600</v>
      </c>
      <c r="D11" s="13">
        <f t="shared" si="0"/>
        <v>10</v>
      </c>
      <c r="E11" s="32">
        <v>3</v>
      </c>
      <c r="F11" s="32">
        <v>29919</v>
      </c>
      <c r="G11" s="32">
        <v>7</v>
      </c>
      <c r="H11" s="44">
        <f>('Flow cytometer'!F11/'Flow cytometer'!G11)*POWER(10,'Flow cytometer'!E11+2)*10.2</f>
        <v>4359625714.2857132</v>
      </c>
      <c r="I11" s="32">
        <v>3</v>
      </c>
      <c r="J11" s="32">
        <v>31079</v>
      </c>
      <c r="K11" s="32">
        <v>7</v>
      </c>
      <c r="L11" s="44">
        <f>('Flow cytometer'!J11/'Flow cytometer'!K11)*POWER(10,'Flow cytometer'!I11+2)*10.2</f>
        <v>4528654285.7142859</v>
      </c>
      <c r="M11" s="32">
        <v>3</v>
      </c>
      <c r="N11" s="32">
        <v>30632</v>
      </c>
      <c r="O11" s="32">
        <v>7</v>
      </c>
      <c r="P11" s="44">
        <f>('Flow cytometer'!N11/'Flow cytometer'!O11)*POWER(10,'Flow cytometer'!M11+2)*10.2</f>
        <v>4463520000</v>
      </c>
      <c r="Q11" s="47">
        <f>AVERAGE(H11,L11,P11)*Calculation!I11/Calculation!K10</f>
        <v>4663243209.1919947</v>
      </c>
      <c r="R11" s="48">
        <f>STDEV(H11,L11,P11)*Calculation!I11/Calculation!K10</f>
        <v>89324945.135577127</v>
      </c>
      <c r="S11" s="49">
        <f t="shared" si="1"/>
        <v>9.6686880664636252</v>
      </c>
      <c r="T11" s="49">
        <f t="shared" si="2"/>
        <v>22.262977010648566</v>
      </c>
      <c r="U11" s="49">
        <f t="shared" si="3"/>
        <v>9.63944920550761</v>
      </c>
      <c r="V11" s="49">
        <f t="shared" si="4"/>
        <v>9.6559691682128062</v>
      </c>
      <c r="W11" s="49">
        <f t="shared" si="5"/>
        <v>9.6496774850872917</v>
      </c>
      <c r="X11" s="49">
        <f xml:space="preserve"> STDEV(U11:W11)*Calculation!I11/Calculation!K10</f>
        <v>8.7361543120793687E-3</v>
      </c>
    </row>
    <row r="12" spans="1:24">
      <c r="A12" s="65">
        <v>8</v>
      </c>
      <c r="B12" s="32">
        <v>80</v>
      </c>
      <c r="C12" s="32">
        <f t="shared" si="6"/>
        <v>680</v>
      </c>
      <c r="D12" s="13">
        <f t="shared" si="0"/>
        <v>11.333333333333334</v>
      </c>
      <c r="E12" s="32">
        <v>3</v>
      </c>
      <c r="F12" s="32">
        <v>36942</v>
      </c>
      <c r="G12" s="32">
        <v>7</v>
      </c>
      <c r="H12" s="44">
        <f>('Flow cytometer'!F12/'Flow cytometer'!G12)*POWER(10,'Flow cytometer'!E12+2)*10.2</f>
        <v>5382977142.8571424</v>
      </c>
      <c r="I12" s="32">
        <v>3</v>
      </c>
      <c r="J12" s="32">
        <v>38227</v>
      </c>
      <c r="K12" s="32">
        <v>7</v>
      </c>
      <c r="L12" s="44">
        <f>('Flow cytometer'!J12/'Flow cytometer'!K12)*POWER(10,'Flow cytometer'!I12+2)*10.2</f>
        <v>5570220000</v>
      </c>
      <c r="M12" s="32">
        <v>3</v>
      </c>
      <c r="N12" s="32">
        <v>46209</v>
      </c>
      <c r="O12" s="32">
        <v>7</v>
      </c>
      <c r="P12" s="44">
        <f>('Flow cytometer'!N12/'Flow cytometer'!O12)*POWER(10,'Flow cytometer'!M12+2)*10.2</f>
        <v>6733311428.5714283</v>
      </c>
      <c r="Q12" s="47">
        <f>AVERAGE(H12,L12,P12)*Calculation!I12/Calculation!K11</f>
        <v>6244082309.8659496</v>
      </c>
      <c r="R12" s="48">
        <f>STDEV(H12,L12,P12)*Calculation!I12/Calculation!K11</f>
        <v>774834249.35378563</v>
      </c>
      <c r="S12" s="49">
        <f t="shared" si="1"/>
        <v>9.7954686193239127</v>
      </c>
      <c r="T12" s="49">
        <f t="shared" si="2"/>
        <v>22.554900021746207</v>
      </c>
      <c r="U12" s="49">
        <f t="shared" si="3"/>
        <v>9.7310225357227864</v>
      </c>
      <c r="V12" s="49">
        <f t="shared" si="4"/>
        <v>9.7458723482974605</v>
      </c>
      <c r="W12" s="49">
        <f t="shared" si="5"/>
        <v>9.8282287018854717</v>
      </c>
      <c r="X12" s="49">
        <f xml:space="preserve"> STDEV(U12:W12)*Calculation!I12/Calculation!K11</f>
        <v>5.5460417631035444E-2</v>
      </c>
    </row>
    <row r="13" spans="1:24">
      <c r="A13" s="65">
        <v>9</v>
      </c>
      <c r="B13" s="32">
        <v>80</v>
      </c>
      <c r="C13" s="32">
        <f t="shared" si="6"/>
        <v>760</v>
      </c>
      <c r="D13" s="13">
        <f t="shared" si="0"/>
        <v>12.666666666666666</v>
      </c>
      <c r="E13" s="32">
        <v>3</v>
      </c>
      <c r="F13" s="32">
        <v>37034</v>
      </c>
      <c r="G13" s="32">
        <v>7</v>
      </c>
      <c r="H13" s="44">
        <f>('Flow cytometer'!F13/'Flow cytometer'!G13)*POWER(10,'Flow cytometer'!E13+2)*10.2</f>
        <v>5396382857.1428566</v>
      </c>
      <c r="I13" s="32">
        <v>3</v>
      </c>
      <c r="J13" s="32">
        <v>41919</v>
      </c>
      <c r="K13" s="32">
        <v>7</v>
      </c>
      <c r="L13" s="44">
        <f>('Flow cytometer'!J13/'Flow cytometer'!K13)*POWER(10,'Flow cytometer'!I13+2)*10.2</f>
        <v>6108197142.8571434</v>
      </c>
      <c r="M13" s="32">
        <v>3</v>
      </c>
      <c r="N13" s="32">
        <v>40227</v>
      </c>
      <c r="O13" s="32">
        <v>7</v>
      </c>
      <c r="P13" s="44">
        <f>('Flow cytometer'!N13/'Flow cytometer'!O13)*POWER(10,'Flow cytometer'!M13+2)*10.2</f>
        <v>5861648571.4285707</v>
      </c>
      <c r="Q13" s="47">
        <f>AVERAGE(H13,L13,P13)*Calculation!I13/Calculation!K12</f>
        <v>6140079524.1742563</v>
      </c>
      <c r="R13" s="48">
        <f>STDEV(H13,L13,P13)*Calculation!I13/Calculation!K12</f>
        <v>383402517.31679243</v>
      </c>
      <c r="S13" s="49">
        <f t="shared" si="1"/>
        <v>9.7881739960086591</v>
      </c>
      <c r="T13" s="49">
        <f t="shared" si="2"/>
        <v>22.5381035308415</v>
      </c>
      <c r="U13" s="49">
        <f t="shared" si="3"/>
        <v>9.7321027539809801</v>
      </c>
      <c r="V13" s="49">
        <f t="shared" si="4"/>
        <v>9.78591304552147</v>
      </c>
      <c r="W13" s="49">
        <f t="shared" si="5"/>
        <v>9.7680197772439303</v>
      </c>
      <c r="X13" s="49">
        <f xml:space="preserve"> STDEV(U13:W13)*Calculation!I13/Calculation!K12</f>
        <v>2.9066826231073779E-2</v>
      </c>
    </row>
    <row r="14" spans="1:24">
      <c r="A14" s="65">
        <v>10</v>
      </c>
      <c r="B14" s="32">
        <v>80</v>
      </c>
      <c r="C14" s="32">
        <f t="shared" si="6"/>
        <v>840</v>
      </c>
      <c r="D14" s="13">
        <f t="shared" si="0"/>
        <v>14</v>
      </c>
      <c r="E14" s="32">
        <v>3</v>
      </c>
      <c r="F14" s="32">
        <v>40209</v>
      </c>
      <c r="G14" s="32">
        <v>7</v>
      </c>
      <c r="H14" s="44">
        <f>('Flow cytometer'!F14/'Flow cytometer'!G14)*POWER(10,'Flow cytometer'!E14+2)*10.2</f>
        <v>5859025714.2857141</v>
      </c>
      <c r="I14" s="32">
        <v>3</v>
      </c>
      <c r="J14" s="32">
        <v>41138</v>
      </c>
      <c r="K14" s="32">
        <v>7</v>
      </c>
      <c r="L14" s="44">
        <f>('Flow cytometer'!J14/'Flow cytometer'!K14)*POWER(10,'Flow cytometer'!I14+2)*10.2</f>
        <v>5994394285.7142849</v>
      </c>
      <c r="M14" s="32">
        <v>3</v>
      </c>
      <c r="N14" s="32">
        <v>43900</v>
      </c>
      <c r="O14" s="32">
        <v>7</v>
      </c>
      <c r="P14" s="44">
        <f>('Flow cytometer'!N14/'Flow cytometer'!O14)*POWER(10,'Flow cytometer'!M14+2)*10.2</f>
        <v>6396857142.8571434</v>
      </c>
      <c r="Q14" s="47">
        <f>AVERAGE(H14,L14,P14)*Calculation!I14/Calculation!K13</f>
        <v>6462498963.6274099</v>
      </c>
      <c r="R14" s="48">
        <f>STDEV(H14,L14,P14)*Calculation!I14/Calculation!K13</f>
        <v>297182947.40066123</v>
      </c>
      <c r="S14" s="49">
        <f t="shared" si="1"/>
        <v>9.8104004864554337</v>
      </c>
      <c r="T14" s="49">
        <f t="shared" si="2"/>
        <v>22.589281916413814</v>
      </c>
      <c r="U14" s="49">
        <f t="shared" si="3"/>
        <v>9.7678254040576764</v>
      </c>
      <c r="V14" s="49">
        <f t="shared" si="4"/>
        <v>9.7777453055896544</v>
      </c>
      <c r="W14" s="49">
        <f t="shared" si="5"/>
        <v>9.8059666519897828</v>
      </c>
      <c r="X14" s="49">
        <f xml:space="preserve"> STDEV(U14:W14)*Calculation!I14/Calculation!K13</f>
        <v>2.1021996264789879E-2</v>
      </c>
    </row>
    <row r="15" spans="1:24">
      <c r="A15" s="65">
        <v>11</v>
      </c>
      <c r="B15" s="32">
        <v>80</v>
      </c>
      <c r="C15" s="32">
        <f t="shared" si="6"/>
        <v>920</v>
      </c>
      <c r="D15" s="13">
        <f t="shared" si="0"/>
        <v>15.333333333333334</v>
      </c>
      <c r="E15" s="32">
        <v>3</v>
      </c>
      <c r="F15" s="32">
        <v>38782</v>
      </c>
      <c r="G15" s="32">
        <v>7</v>
      </c>
      <c r="H15" s="44">
        <f>('Flow cytometer'!F15/'Flow cytometer'!G15)*POWER(10,'Flow cytometer'!E15+2)*10.2</f>
        <v>5651091428.5714283</v>
      </c>
      <c r="I15" s="32">
        <v>3</v>
      </c>
      <c r="J15" s="32">
        <v>42844</v>
      </c>
      <c r="K15" s="32">
        <v>7</v>
      </c>
      <c r="L15" s="44">
        <f>('Flow cytometer'!J15/'Flow cytometer'!K15)*POWER(10,'Flow cytometer'!I15+2)*10.2</f>
        <v>6242982857.1428566</v>
      </c>
      <c r="M15" s="32">
        <v>3</v>
      </c>
      <c r="N15" s="32">
        <v>42112</v>
      </c>
      <c r="O15" s="32">
        <v>7</v>
      </c>
      <c r="P15" s="44">
        <f>('Flow cytometer'!N15/'Flow cytometer'!O15)*POWER(10,'Flow cytometer'!M15+2)*10.2</f>
        <v>6136320000</v>
      </c>
      <c r="Q15" s="47">
        <f>AVERAGE(H15,L15,P15)*Calculation!I15/Calculation!K14</f>
        <v>6394763838.8641281</v>
      </c>
      <c r="R15" s="48">
        <f>STDEV(H15,L15,P15)*Calculation!I15/Calculation!K14</f>
        <v>335668028.62341571</v>
      </c>
      <c r="S15" s="49">
        <f t="shared" si="1"/>
        <v>9.8058245104453245</v>
      </c>
      <c r="T15" s="49">
        <f t="shared" si="2"/>
        <v>22.578745342267041</v>
      </c>
      <c r="U15" s="49">
        <f t="shared" si="3"/>
        <v>9.7521323337715931</v>
      </c>
      <c r="V15" s="49">
        <f t="shared" si="4"/>
        <v>9.795392142386282</v>
      </c>
      <c r="W15" s="49">
        <f t="shared" si="5"/>
        <v>9.7879079993455029</v>
      </c>
      <c r="X15" s="49">
        <f xml:space="preserve"> STDEV(U15:W15)*Calculation!I15/Calculation!K14</f>
        <v>2.4600060569085157E-2</v>
      </c>
    </row>
    <row r="16" spans="1:24">
      <c r="A16" s="65">
        <v>12</v>
      </c>
      <c r="B16" s="32">
        <v>80</v>
      </c>
      <c r="C16" s="32">
        <f t="shared" si="6"/>
        <v>1000</v>
      </c>
      <c r="D16" s="13">
        <f t="shared" si="0"/>
        <v>16.666666666666668</v>
      </c>
      <c r="E16" s="32">
        <v>3</v>
      </c>
      <c r="F16" s="32">
        <v>33238</v>
      </c>
      <c r="G16" s="32">
        <v>7</v>
      </c>
      <c r="H16" s="44">
        <f>('Flow cytometer'!F16/'Flow cytometer'!G16)*POWER(10,'Flow cytometer'!E16+2)*10.2</f>
        <v>4843251428.5714283</v>
      </c>
      <c r="I16" s="32">
        <v>3</v>
      </c>
      <c r="J16" s="32">
        <v>40923</v>
      </c>
      <c r="K16" s="32">
        <v>7</v>
      </c>
      <c r="L16" s="44">
        <f>('Flow cytometer'!J16/'Flow cytometer'!K16)*POWER(10,'Flow cytometer'!I16+2)*10.2</f>
        <v>5963065714.2857141</v>
      </c>
      <c r="M16" s="32">
        <v>3</v>
      </c>
      <c r="N16" s="32">
        <v>39378</v>
      </c>
      <c r="O16" s="32">
        <v>7</v>
      </c>
      <c r="P16" s="44">
        <f>('Flow cytometer'!N16/'Flow cytometer'!O16)*POWER(10,'Flow cytometer'!M16+2)*10.2</f>
        <v>5737937142.8571434</v>
      </c>
      <c r="Q16" s="47">
        <f>AVERAGE(H16,L16,P16)*Calculation!I16/Calculation!K15</f>
        <v>5872538189.4310942</v>
      </c>
      <c r="R16" s="48">
        <f>STDEV(H16,L16,P16)*Calculation!I16/Calculation!K15</f>
        <v>630759332.05541432</v>
      </c>
      <c r="S16" s="49">
        <f t="shared" si="1"/>
        <v>9.7688258496991569</v>
      </c>
      <c r="T16" s="49">
        <f t="shared" si="2"/>
        <v>22.49355277757217</v>
      </c>
      <c r="U16" s="49">
        <f t="shared" si="3"/>
        <v>9.6851370152383236</v>
      </c>
      <c r="V16" s="49">
        <f t="shared" si="4"/>
        <v>9.775469595392094</v>
      </c>
      <c r="W16" s="49">
        <f t="shared" si="5"/>
        <v>9.7587557863882282</v>
      </c>
      <c r="X16" s="49">
        <f xml:space="preserve"> STDEV(U16:W16)*Calculation!I16/Calculation!K15</f>
        <v>5.1178907640718016E-2</v>
      </c>
    </row>
    <row r="17" spans="1:24">
      <c r="A17" s="65">
        <v>13</v>
      </c>
      <c r="B17" s="32">
        <v>80</v>
      </c>
      <c r="C17" s="32">
        <f t="shared" si="6"/>
        <v>1080</v>
      </c>
      <c r="D17" s="13">
        <f t="shared" si="0"/>
        <v>18</v>
      </c>
      <c r="E17" s="32">
        <v>3</v>
      </c>
      <c r="F17" s="32">
        <v>38247</v>
      </c>
      <c r="G17" s="32">
        <v>7</v>
      </c>
      <c r="H17" s="44">
        <f>('Flow cytometer'!F17/'Flow cytometer'!G17)*POWER(10,'Flow cytometer'!E17+2)*10.2</f>
        <v>5573134285.7142849</v>
      </c>
      <c r="I17" s="32">
        <v>3</v>
      </c>
      <c r="J17" s="32">
        <v>42727</v>
      </c>
      <c r="K17" s="32">
        <v>7</v>
      </c>
      <c r="L17" s="44">
        <f>('Flow cytometer'!J17/'Flow cytometer'!K17)*POWER(10,'Flow cytometer'!I17+2)*10.2</f>
        <v>6225934285.7142849</v>
      </c>
      <c r="M17" s="32">
        <v>3</v>
      </c>
      <c r="N17" s="32">
        <v>45528</v>
      </c>
      <c r="O17" s="32">
        <v>7</v>
      </c>
      <c r="P17" s="44">
        <f>('Flow cytometer'!N17/'Flow cytometer'!O17)*POWER(10,'Flow cytometer'!M17+2)*10.2</f>
        <v>6634080000</v>
      </c>
      <c r="Q17" s="47">
        <f>AVERAGE(H17,L17,P17)*Calculation!I17/Calculation!K16</f>
        <v>6543018927.7641354</v>
      </c>
      <c r="R17" s="48">
        <f>STDEV(H17,L17,P17)*Calculation!I17/Calculation!K16</f>
        <v>569873417.83345997</v>
      </c>
      <c r="S17" s="49">
        <f t="shared" si="1"/>
        <v>9.8157781766351544</v>
      </c>
      <c r="T17" s="49">
        <f t="shared" si="2"/>
        <v>22.60166450565638</v>
      </c>
      <c r="U17" s="49">
        <f t="shared" si="3"/>
        <v>9.746099507589145</v>
      </c>
      <c r="V17" s="49">
        <f t="shared" si="4"/>
        <v>9.7942045324238691</v>
      </c>
      <c r="W17" s="49">
        <f t="shared" si="5"/>
        <v>9.8217807043479297</v>
      </c>
      <c r="X17" s="49">
        <f xml:space="preserve"> STDEV(U17:W17)*Calculation!I17/Calculation!K16</f>
        <v>4.0786783722540354E-2</v>
      </c>
    </row>
    <row r="18" spans="1:24">
      <c r="A18" s="65">
        <v>14</v>
      </c>
      <c r="B18" s="32">
        <v>360</v>
      </c>
      <c r="C18" s="32">
        <f t="shared" si="6"/>
        <v>1440</v>
      </c>
      <c r="D18" s="13">
        <f t="shared" si="0"/>
        <v>24</v>
      </c>
      <c r="E18" s="32">
        <v>3</v>
      </c>
      <c r="F18" s="32">
        <v>46599</v>
      </c>
      <c r="G18" s="32">
        <v>7</v>
      </c>
      <c r="H18" s="44">
        <f>('Flow cytometer'!F18/'Flow cytometer'!G18)*POWER(10,'Flow cytometer'!E18+2)*10.2</f>
        <v>6790140000</v>
      </c>
      <c r="I18" s="32">
        <v>3</v>
      </c>
      <c r="J18" s="32">
        <v>46708</v>
      </c>
      <c r="K18" s="32">
        <v>7</v>
      </c>
      <c r="L18" s="44">
        <f>('Flow cytometer'!J18/'Flow cytometer'!K18)*POWER(10,'Flow cytometer'!I18+2)*10.2</f>
        <v>6806022857.1428566</v>
      </c>
      <c r="M18" s="32">
        <v>3</v>
      </c>
      <c r="N18" s="32">
        <v>40775</v>
      </c>
      <c r="O18" s="32">
        <v>7</v>
      </c>
      <c r="P18" s="44">
        <f>('Flow cytometer'!N18/'Flow cytometer'!O18)*POWER(10,'Flow cytometer'!M18+2)*10.2</f>
        <v>5941500000</v>
      </c>
      <c r="Q18" s="47">
        <f>AVERAGE(H18,L18,P18)*Calculation!I18/Calculation!K17</f>
        <v>6941285293.2443781</v>
      </c>
      <c r="R18" s="48">
        <f>STDEV(H18,L18,P18)*Calculation!I18/Calculation!K17</f>
        <v>527172262.12788373</v>
      </c>
      <c r="S18" s="49">
        <f t="shared" si="1"/>
        <v>9.8414398946740054</v>
      </c>
      <c r="T18" s="49">
        <f t="shared" si="2"/>
        <v>22.660752795073254</v>
      </c>
      <c r="U18" s="49">
        <f t="shared" si="3"/>
        <v>9.8318787287135887</v>
      </c>
      <c r="V18" s="49">
        <f t="shared" si="4"/>
        <v>9.8328934032837907</v>
      </c>
      <c r="W18" s="49">
        <f t="shared" si="5"/>
        <v>9.7738961014599735</v>
      </c>
      <c r="X18" s="49">
        <f xml:space="preserve"> STDEV(U18:W18)*Calculation!I18/Calculation!K17</f>
        <v>3.5996334250922114E-2</v>
      </c>
    </row>
    <row r="19" spans="1:24">
      <c r="A19" s="65">
        <v>15</v>
      </c>
      <c r="B19" s="32">
        <v>360</v>
      </c>
      <c r="C19" s="32">
        <f>C18+B19</f>
        <v>1800</v>
      </c>
      <c r="D19" s="13">
        <f t="shared" si="0"/>
        <v>30</v>
      </c>
      <c r="E19" s="32">
        <v>3</v>
      </c>
      <c r="F19" s="32">
        <v>28219</v>
      </c>
      <c r="G19" s="32">
        <v>7</v>
      </c>
      <c r="H19" s="44">
        <f>('Flow cytometer'!F19/'Flow cytometer'!G19)*POWER(10,'Flow cytometer'!E19+2)*10.2</f>
        <v>4111911428.5714278</v>
      </c>
      <c r="I19" s="32">
        <v>3</v>
      </c>
      <c r="J19" s="32">
        <v>28672</v>
      </c>
      <c r="K19" s="32">
        <v>7</v>
      </c>
      <c r="L19" s="44">
        <f>('Flow cytometer'!J19/'Flow cytometer'!K19)*POWER(10,'Flow cytometer'!I19+2)*10.2</f>
        <v>4177919999.9999995</v>
      </c>
      <c r="M19" s="32">
        <v>3</v>
      </c>
      <c r="N19" s="32">
        <v>29845</v>
      </c>
      <c r="O19" s="32">
        <v>7</v>
      </c>
      <c r="P19" s="44">
        <f>('Flow cytometer'!N19/'Flow cytometer'!O19)*POWER(10,'Flow cytometer'!M19+2)*10.2</f>
        <v>4348842857.1428566</v>
      </c>
      <c r="Q19" s="47">
        <f>AVERAGE(H19,L19,P19)*Calculation!I19/Calculation!K18</f>
        <v>4490232254.8503475</v>
      </c>
      <c r="R19" s="48">
        <f>STDEV(H19,L19,P19)*Calculation!I19/Calculation!K18</f>
        <v>130325416.34018746</v>
      </c>
      <c r="S19" s="49">
        <f t="shared" si="1"/>
        <v>9.6522688052329908</v>
      </c>
      <c r="T19" s="49">
        <f t="shared" si="2"/>
        <v>22.225170264500935</v>
      </c>
      <c r="U19" s="49">
        <f t="shared" si="3"/>
        <v>9.6140437512943784</v>
      </c>
      <c r="V19" s="49">
        <f t="shared" si="4"/>
        <v>9.6209601197296912</v>
      </c>
      <c r="W19" s="49">
        <f t="shared" si="5"/>
        <v>9.6383737149753532</v>
      </c>
      <c r="X19" s="49">
        <f xml:space="preserve"> STDEV(U19:W19)*Calculation!I19/Calculation!K18</f>
        <v>1.3362034180402819E-2</v>
      </c>
    </row>
    <row r="20" spans="1:24">
      <c r="A20" s="65">
        <v>16</v>
      </c>
      <c r="B20" s="32">
        <v>1080</v>
      </c>
      <c r="C20" s="32">
        <f>C19+B20</f>
        <v>2880</v>
      </c>
      <c r="D20" s="13">
        <f t="shared" si="0"/>
        <v>48</v>
      </c>
      <c r="E20" s="32">
        <v>3</v>
      </c>
      <c r="F20" s="32">
        <v>15747</v>
      </c>
      <c r="G20" s="32">
        <v>7</v>
      </c>
      <c r="H20" s="44">
        <f>('Flow cytometer'!F20/'Flow cytometer'!G20)*POWER(10,'Flow cytometer'!E20+2)*10.2</f>
        <v>2294562857.1428566</v>
      </c>
      <c r="I20" s="32">
        <v>3</v>
      </c>
      <c r="J20" s="32">
        <v>12594</v>
      </c>
      <c r="K20" s="32">
        <v>7</v>
      </c>
      <c r="L20" s="44">
        <f>('Flow cytometer'!J20/'Flow cytometer'!K20)*POWER(10,'Flow cytometer'!I20+2)*10.2</f>
        <v>1835125714.2857139</v>
      </c>
      <c r="M20" s="32">
        <v>3</v>
      </c>
      <c r="N20" s="32">
        <v>16022</v>
      </c>
      <c r="O20" s="32">
        <v>7</v>
      </c>
      <c r="P20" s="44">
        <f>('Flow cytometer'!N20/'Flow cytometer'!O20)*POWER(10,'Flow cytometer'!M20+2)*10.2</f>
        <v>2334634285.7142854</v>
      </c>
      <c r="Q20" s="47">
        <f>AVERAGE(H20,L20,P20)*Calculation!I20/Calculation!K19</f>
        <v>2298934406.7209115</v>
      </c>
      <c r="R20" s="48">
        <f>STDEV(H20,L20,P20)*Calculation!I20/Calculation!K19</f>
        <v>296116591.37918818</v>
      </c>
      <c r="S20" s="49">
        <f t="shared" ref="S20" si="7">LOG(Q20)</f>
        <v>9.3615265801402892</v>
      </c>
      <c r="T20" s="49">
        <f t="shared" ref="T20" si="8">LN(Q20)</f>
        <v>21.555711551098558</v>
      </c>
      <c r="U20" s="49">
        <f t="shared" si="3"/>
        <v>9.3606999592354629</v>
      </c>
      <c r="V20" s="49">
        <f t="shared" si="4"/>
        <v>9.2636658207137046</v>
      </c>
      <c r="W20" s="49">
        <f t="shared" si="5"/>
        <v>9.3682188591481435</v>
      </c>
      <c r="X20" s="49">
        <f xml:space="preserve"> STDEV(U20:W20)*Calculation!I20/Calculation!K19</f>
        <v>6.2215910556573467E-2</v>
      </c>
    </row>
  </sheetData>
  <mergeCells count="8">
    <mergeCell ref="Q3:S3"/>
    <mergeCell ref="A1:A2"/>
    <mergeCell ref="E1:H1"/>
    <mergeCell ref="I1:L1"/>
    <mergeCell ref="M1:P1"/>
    <mergeCell ref="B1:B2"/>
    <mergeCell ref="C1:C2"/>
    <mergeCell ref="D1:D2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B1:R48"/>
  <sheetViews>
    <sheetView topLeftCell="A8" workbookViewId="0">
      <selection activeCell="K43" sqref="K43"/>
    </sheetView>
  </sheetViews>
  <sheetFormatPr baseColWidth="10" defaultColWidth="8.83203125" defaultRowHeight="14" x14ac:dyDescent="0"/>
  <cols>
    <col min="1" max="2" width="8.83203125" style="85"/>
    <col min="3" max="3" width="9.83203125" style="85" customWidth="1"/>
    <col min="4" max="17" width="8.83203125" style="85"/>
    <col min="18" max="18" width="13.83203125" style="85" bestFit="1" customWidth="1"/>
    <col min="19" max="16384" width="8.83203125" style="85"/>
  </cols>
  <sheetData>
    <row r="1" spans="2:18">
      <c r="B1" s="144" t="s">
        <v>4</v>
      </c>
      <c r="C1" s="146" t="s">
        <v>185</v>
      </c>
      <c r="D1" s="147" t="s">
        <v>18</v>
      </c>
      <c r="E1" s="147"/>
      <c r="F1" s="147"/>
      <c r="G1" s="147"/>
      <c r="H1" s="147" t="s">
        <v>20</v>
      </c>
      <c r="I1" s="147"/>
      <c r="J1" s="147"/>
      <c r="K1" s="147"/>
      <c r="L1" s="147" t="s">
        <v>21</v>
      </c>
      <c r="M1" s="147"/>
      <c r="N1" s="147"/>
      <c r="O1" s="147"/>
      <c r="P1" s="84" t="s">
        <v>22</v>
      </c>
      <c r="Q1" s="84" t="s">
        <v>22</v>
      </c>
      <c r="R1" s="84" t="s">
        <v>22</v>
      </c>
    </row>
    <row r="2" spans="2:18">
      <c r="B2" s="145"/>
      <c r="C2" s="145"/>
      <c r="D2" s="86" t="s">
        <v>19</v>
      </c>
      <c r="E2" s="86" t="s">
        <v>68</v>
      </c>
      <c r="F2" s="86" t="s">
        <v>69</v>
      </c>
      <c r="G2" s="86" t="s">
        <v>70</v>
      </c>
      <c r="H2" s="86" t="s">
        <v>19</v>
      </c>
      <c r="I2" s="86" t="s">
        <v>68</v>
      </c>
      <c r="J2" s="86" t="s">
        <v>69</v>
      </c>
      <c r="K2" s="86" t="s">
        <v>70</v>
      </c>
      <c r="L2" s="86" t="s">
        <v>19</v>
      </c>
      <c r="M2" s="86" t="s">
        <v>68</v>
      </c>
      <c r="N2" s="86" t="s">
        <v>69</v>
      </c>
      <c r="O2" s="86" t="s">
        <v>71</v>
      </c>
      <c r="P2" s="87" t="s">
        <v>70</v>
      </c>
      <c r="Q2" s="87" t="s">
        <v>23</v>
      </c>
      <c r="R2" s="87" t="s">
        <v>72</v>
      </c>
    </row>
    <row r="3" spans="2:18">
      <c r="B3" s="88"/>
      <c r="C3" s="88"/>
      <c r="D3" s="89"/>
      <c r="E3" s="89"/>
      <c r="F3" s="89"/>
      <c r="G3" s="90"/>
      <c r="H3" s="89"/>
      <c r="I3" s="89"/>
      <c r="J3" s="89"/>
      <c r="K3" s="90"/>
      <c r="L3" s="89"/>
      <c r="M3" s="89"/>
      <c r="N3" s="89"/>
      <c r="O3" s="90"/>
      <c r="P3" s="141"/>
      <c r="Q3" s="142"/>
      <c r="R3" s="143"/>
    </row>
    <row r="4" spans="2:18">
      <c r="B4" s="91" t="s">
        <v>186</v>
      </c>
      <c r="C4" s="92">
        <v>500</v>
      </c>
      <c r="D4" s="92">
        <v>3</v>
      </c>
      <c r="E4" s="92">
        <v>14133</v>
      </c>
      <c r="F4" s="92">
        <v>7</v>
      </c>
      <c r="G4" s="90">
        <f>(E4/F4)*(10.2)*POWER(10,D4+2)</f>
        <v>2059380000</v>
      </c>
      <c r="H4" s="92">
        <v>3</v>
      </c>
      <c r="I4" s="92">
        <v>15082</v>
      </c>
      <c r="J4" s="92">
        <v>7</v>
      </c>
      <c r="K4" s="90">
        <f t="shared" ref="K4:K18" si="0">(I4/J4)*(10.2)*POWER(10,H4+2)</f>
        <v>2197662857.1428571</v>
      </c>
      <c r="L4" s="92">
        <v>3</v>
      </c>
      <c r="M4" s="92">
        <v>15922</v>
      </c>
      <c r="N4" s="92">
        <v>7</v>
      </c>
      <c r="O4" s="90">
        <f t="shared" ref="O4:O19" si="1">(M4/N4)*(10.2)*POWER(10,L4+2)</f>
        <v>2320062857.1428571</v>
      </c>
      <c r="P4" s="93">
        <f t="shared" ref="P4:P19" si="2">AVERAGE(O4,K4,G4)</f>
        <v>2192368571.4285712</v>
      </c>
      <c r="Q4" s="93">
        <f t="shared" ref="Q4:Q19" si="3">STDEV(O4,K4,G4)</f>
        <v>130422046.05801573</v>
      </c>
      <c r="R4" s="94">
        <f>LOG(P4)</f>
        <v>9.3409135676416426</v>
      </c>
    </row>
    <row r="5" spans="2:18">
      <c r="B5" s="91" t="s">
        <v>187</v>
      </c>
      <c r="C5" s="92">
        <v>500</v>
      </c>
      <c r="D5" s="92">
        <v>2</v>
      </c>
      <c r="E5" s="92">
        <v>16544</v>
      </c>
      <c r="F5" s="92">
        <v>7</v>
      </c>
      <c r="G5" s="90">
        <f t="shared" ref="G5:G19" si="4">(E5/F5)*(10.2)*POWER(10,D5+2)</f>
        <v>241069714.2857143</v>
      </c>
      <c r="H5" s="92">
        <v>2</v>
      </c>
      <c r="I5" s="92">
        <v>15924</v>
      </c>
      <c r="J5" s="92">
        <v>7</v>
      </c>
      <c r="K5" s="90">
        <f t="shared" si="0"/>
        <v>232035428.57142854</v>
      </c>
      <c r="L5" s="92">
        <v>2</v>
      </c>
      <c r="M5" s="92">
        <v>15173</v>
      </c>
      <c r="N5" s="92">
        <v>7</v>
      </c>
      <c r="O5" s="90">
        <f t="shared" si="1"/>
        <v>221092285.71428567</v>
      </c>
      <c r="P5" s="93">
        <f t="shared" si="2"/>
        <v>231399142.85714284</v>
      </c>
      <c r="Q5" s="93">
        <f t="shared" si="3"/>
        <v>10003902.124385577</v>
      </c>
      <c r="R5" s="94">
        <f t="shared" ref="R5:R19" si="5">LOG(P5)</f>
        <v>8.3643617459160655</v>
      </c>
    </row>
    <row r="6" spans="2:18">
      <c r="B6" s="91" t="s">
        <v>188</v>
      </c>
      <c r="C6" s="92">
        <v>500</v>
      </c>
      <c r="D6" s="92">
        <v>1</v>
      </c>
      <c r="E6" s="92">
        <v>18107</v>
      </c>
      <c r="F6" s="92">
        <v>7</v>
      </c>
      <c r="G6" s="90">
        <f t="shared" si="4"/>
        <v>26384485.714285713</v>
      </c>
      <c r="H6" s="92">
        <v>1</v>
      </c>
      <c r="I6" s="92">
        <v>18423</v>
      </c>
      <c r="J6" s="92">
        <v>7</v>
      </c>
      <c r="K6" s="90">
        <f t="shared" si="0"/>
        <v>26844942.857142854</v>
      </c>
      <c r="L6" s="92">
        <v>1</v>
      </c>
      <c r="M6" s="92">
        <v>17005</v>
      </c>
      <c r="N6" s="92">
        <v>7</v>
      </c>
      <c r="O6" s="90">
        <f t="shared" si="1"/>
        <v>24778714.285714284</v>
      </c>
      <c r="P6" s="93">
        <f t="shared" si="2"/>
        <v>26002714.285714284</v>
      </c>
      <c r="Q6" s="93">
        <f t="shared" si="3"/>
        <v>1084729.0883451225</v>
      </c>
      <c r="R6" s="94">
        <f t="shared" si="5"/>
        <v>7.4150186840393397</v>
      </c>
    </row>
    <row r="7" spans="2:18">
      <c r="B7" s="91" t="s">
        <v>189</v>
      </c>
      <c r="C7" s="92">
        <v>500</v>
      </c>
      <c r="D7" s="92">
        <v>1</v>
      </c>
      <c r="E7" s="92">
        <v>1825</v>
      </c>
      <c r="F7" s="92">
        <v>7</v>
      </c>
      <c r="G7" s="90">
        <f t="shared" si="4"/>
        <v>2659285.7142857141</v>
      </c>
      <c r="H7" s="92">
        <v>1</v>
      </c>
      <c r="I7" s="92">
        <v>1808</v>
      </c>
      <c r="J7" s="92">
        <v>7</v>
      </c>
      <c r="K7" s="90">
        <f t="shared" si="0"/>
        <v>2634514.2857142854</v>
      </c>
      <c r="L7" s="92">
        <v>1</v>
      </c>
      <c r="M7" s="92">
        <v>1822</v>
      </c>
      <c r="N7" s="92">
        <v>7</v>
      </c>
      <c r="O7" s="90">
        <f t="shared" si="1"/>
        <v>2654914.2857142854</v>
      </c>
      <c r="P7" s="93">
        <f t="shared" si="2"/>
        <v>2649571.4285714286</v>
      </c>
      <c r="Q7" s="93">
        <f t="shared" si="3"/>
        <v>13221.78165770719</v>
      </c>
      <c r="R7" s="94">
        <f t="shared" si="5"/>
        <v>6.4231756319523594</v>
      </c>
    </row>
    <row r="8" spans="2:18">
      <c r="B8" s="91" t="s">
        <v>190</v>
      </c>
      <c r="C8" s="92">
        <v>500</v>
      </c>
      <c r="D8" s="92">
        <v>0</v>
      </c>
      <c r="E8" s="92">
        <v>2306</v>
      </c>
      <c r="F8" s="92">
        <v>7</v>
      </c>
      <c r="G8" s="90">
        <f t="shared" si="4"/>
        <v>336017.14285714284</v>
      </c>
      <c r="H8" s="92">
        <v>0</v>
      </c>
      <c r="I8" s="92">
        <v>2052</v>
      </c>
      <c r="J8" s="92">
        <v>7</v>
      </c>
      <c r="K8" s="90">
        <f t="shared" si="0"/>
        <v>299005.71428571432</v>
      </c>
      <c r="L8" s="92">
        <v>0</v>
      </c>
      <c r="M8" s="92">
        <v>2049</v>
      </c>
      <c r="N8" s="92">
        <v>7</v>
      </c>
      <c r="O8" s="90">
        <f t="shared" si="1"/>
        <v>298568.57142857142</v>
      </c>
      <c r="P8" s="93">
        <f t="shared" si="2"/>
        <v>311197.14285714284</v>
      </c>
      <c r="Q8" s="93">
        <f t="shared" si="3"/>
        <v>21495.861775453133</v>
      </c>
      <c r="R8" s="94">
        <f t="shared" si="5"/>
        <v>5.4930356010198587</v>
      </c>
    </row>
    <row r="9" spans="2:18">
      <c r="B9" s="91" t="s">
        <v>191</v>
      </c>
      <c r="C9" s="92">
        <v>1000</v>
      </c>
      <c r="D9" s="92">
        <v>3</v>
      </c>
      <c r="E9" s="92">
        <v>13995</v>
      </c>
      <c r="F9" s="92">
        <v>7</v>
      </c>
      <c r="G9" s="90">
        <f t="shared" si="4"/>
        <v>2039271428.5714283</v>
      </c>
      <c r="H9" s="92">
        <v>3</v>
      </c>
      <c r="I9" s="92">
        <v>13769</v>
      </c>
      <c r="J9" s="92">
        <v>7</v>
      </c>
      <c r="K9" s="90">
        <f t="shared" si="0"/>
        <v>2006339999.9999998</v>
      </c>
      <c r="L9" s="92">
        <v>3</v>
      </c>
      <c r="M9" s="92">
        <v>15093</v>
      </c>
      <c r="N9" s="92">
        <v>7</v>
      </c>
      <c r="O9" s="90">
        <f t="shared" si="1"/>
        <v>2199265714.2857146</v>
      </c>
      <c r="P9" s="93">
        <f t="shared" si="2"/>
        <v>2081625714.2857141</v>
      </c>
      <c r="Q9" s="93">
        <f t="shared" si="3"/>
        <v>103201244.89045103</v>
      </c>
      <c r="R9" s="94">
        <f t="shared" si="5"/>
        <v>9.3184026440827186</v>
      </c>
    </row>
    <row r="10" spans="2:18">
      <c r="B10" s="91" t="s">
        <v>192</v>
      </c>
      <c r="C10" s="92">
        <v>900</v>
      </c>
      <c r="D10" s="92">
        <v>3</v>
      </c>
      <c r="E10" s="92">
        <v>6387</v>
      </c>
      <c r="F10" s="92">
        <v>7</v>
      </c>
      <c r="G10" s="90">
        <f t="shared" si="4"/>
        <v>930677142.85714281</v>
      </c>
      <c r="H10" s="92">
        <v>3</v>
      </c>
      <c r="I10" s="92">
        <v>7378</v>
      </c>
      <c r="J10" s="92">
        <v>7</v>
      </c>
      <c r="K10" s="90">
        <f t="shared" si="0"/>
        <v>1075080000</v>
      </c>
      <c r="L10" s="92">
        <v>3</v>
      </c>
      <c r="M10" s="92">
        <v>6564</v>
      </c>
      <c r="N10" s="92">
        <v>7</v>
      </c>
      <c r="O10" s="90">
        <f t="shared" si="1"/>
        <v>956468571.42857134</v>
      </c>
      <c r="P10" s="93">
        <f t="shared" si="2"/>
        <v>987408571.42857134</v>
      </c>
      <c r="Q10" s="93">
        <f t="shared" si="3"/>
        <v>77013044.270143658</v>
      </c>
      <c r="R10" s="94">
        <f t="shared" si="5"/>
        <v>8.9944968928936131</v>
      </c>
    </row>
    <row r="11" spans="2:18">
      <c r="B11" s="91" t="s">
        <v>193</v>
      </c>
      <c r="C11" s="92">
        <v>900</v>
      </c>
      <c r="D11" s="92">
        <v>3</v>
      </c>
      <c r="E11" s="92">
        <v>3341</v>
      </c>
      <c r="F11" s="92">
        <v>7</v>
      </c>
      <c r="G11" s="90">
        <f t="shared" si="4"/>
        <v>486831428.5714286</v>
      </c>
      <c r="H11" s="92">
        <v>3</v>
      </c>
      <c r="I11" s="92">
        <v>3712</v>
      </c>
      <c r="J11" s="92">
        <v>7</v>
      </c>
      <c r="K11" s="90">
        <f t="shared" si="0"/>
        <v>540891428.57142866</v>
      </c>
      <c r="L11" s="92">
        <v>3</v>
      </c>
      <c r="M11" s="92">
        <v>3690</v>
      </c>
      <c r="N11" s="92">
        <v>7</v>
      </c>
      <c r="O11" s="90">
        <f t="shared" si="1"/>
        <v>537685714.28571427</v>
      </c>
      <c r="P11" s="93">
        <f t="shared" si="2"/>
        <v>521802857.14285713</v>
      </c>
      <c r="Q11" s="93">
        <f t="shared" si="3"/>
        <v>30328530.516088422</v>
      </c>
      <c r="R11" s="94">
        <f t="shared" si="5"/>
        <v>8.7175064527595634</v>
      </c>
    </row>
    <row r="12" spans="2:18">
      <c r="B12" s="91" t="s">
        <v>194</v>
      </c>
      <c r="C12" s="92">
        <v>900</v>
      </c>
      <c r="D12" s="92">
        <v>2</v>
      </c>
      <c r="E12" s="92">
        <v>19134</v>
      </c>
      <c r="F12" s="92">
        <v>7</v>
      </c>
      <c r="G12" s="90">
        <f>(E12/F12)*(10.2)*POWER(10,D12+2)</f>
        <v>278809714.28571427</v>
      </c>
      <c r="H12" s="92">
        <v>2</v>
      </c>
      <c r="I12" s="92">
        <v>18838</v>
      </c>
      <c r="J12" s="92">
        <v>7</v>
      </c>
      <c r="K12" s="90">
        <f t="shared" si="0"/>
        <v>274496571.42857146</v>
      </c>
      <c r="L12" s="92">
        <v>2</v>
      </c>
      <c r="M12" s="92">
        <v>18096</v>
      </c>
      <c r="N12" s="92">
        <v>7</v>
      </c>
      <c r="O12" s="90">
        <f t="shared" si="1"/>
        <v>263684571.42857143</v>
      </c>
      <c r="P12" s="93">
        <f t="shared" si="2"/>
        <v>272330285.71428573</v>
      </c>
      <c r="Q12" s="93">
        <f t="shared" si="3"/>
        <v>7791795.8109272597</v>
      </c>
      <c r="R12" s="94">
        <f t="shared" si="5"/>
        <v>8.4350959416969342</v>
      </c>
    </row>
    <row r="13" spans="2:18">
      <c r="B13" s="91" t="s">
        <v>195</v>
      </c>
      <c r="C13" s="92">
        <v>900</v>
      </c>
      <c r="D13" s="92">
        <v>2</v>
      </c>
      <c r="E13" s="92">
        <v>9224</v>
      </c>
      <c r="F13" s="92">
        <v>7</v>
      </c>
      <c r="G13" s="90">
        <f t="shared" si="4"/>
        <v>134406857.14285713</v>
      </c>
      <c r="H13" s="92">
        <v>2</v>
      </c>
      <c r="I13" s="92">
        <v>9341</v>
      </c>
      <c r="J13" s="92">
        <v>7</v>
      </c>
      <c r="K13" s="90">
        <f t="shared" si="0"/>
        <v>136111714.28571427</v>
      </c>
      <c r="L13" s="92">
        <v>2</v>
      </c>
      <c r="M13" s="92">
        <v>9173</v>
      </c>
      <c r="N13" s="92">
        <v>7</v>
      </c>
      <c r="O13" s="90">
        <f t="shared" si="1"/>
        <v>133663714.28571427</v>
      </c>
      <c r="P13" s="93">
        <f t="shared" si="2"/>
        <v>134727428.57142857</v>
      </c>
      <c r="Q13" s="93">
        <f t="shared" si="3"/>
        <v>1255089.8496172463</v>
      </c>
      <c r="R13" s="94">
        <f t="shared" si="5"/>
        <v>8.1294560208497231</v>
      </c>
    </row>
    <row r="14" spans="2:18">
      <c r="B14" s="91" t="s">
        <v>196</v>
      </c>
      <c r="C14" s="92">
        <v>900</v>
      </c>
      <c r="D14" s="92">
        <v>2</v>
      </c>
      <c r="E14" s="92">
        <v>4238</v>
      </c>
      <c r="F14" s="92">
        <v>7</v>
      </c>
      <c r="G14" s="90">
        <f t="shared" si="4"/>
        <v>61753714.285714284</v>
      </c>
      <c r="H14" s="92">
        <v>2</v>
      </c>
      <c r="I14" s="92">
        <v>4832</v>
      </c>
      <c r="J14" s="92">
        <v>7</v>
      </c>
      <c r="K14" s="90">
        <f t="shared" si="0"/>
        <v>70409142.857142866</v>
      </c>
      <c r="L14" s="92">
        <v>2</v>
      </c>
      <c r="M14" s="92">
        <v>4770</v>
      </c>
      <c r="N14" s="92">
        <v>7</v>
      </c>
      <c r="O14" s="90">
        <f t="shared" si="1"/>
        <v>69505714.285714284</v>
      </c>
      <c r="P14" s="93">
        <f t="shared" si="2"/>
        <v>67222857.142857134</v>
      </c>
      <c r="Q14" s="93">
        <f t="shared" si="3"/>
        <v>4757907.9950957391</v>
      </c>
      <c r="R14" s="94">
        <f t="shared" si="5"/>
        <v>7.8275169671487372</v>
      </c>
    </row>
    <row r="15" spans="2:18">
      <c r="B15" s="91" t="s">
        <v>197</v>
      </c>
      <c r="C15" s="92">
        <v>900</v>
      </c>
      <c r="D15" s="92">
        <v>1</v>
      </c>
      <c r="E15" s="92">
        <v>22411</v>
      </c>
      <c r="F15" s="92">
        <v>7</v>
      </c>
      <c r="G15" s="90">
        <f t="shared" si="4"/>
        <v>32656028.571428567</v>
      </c>
      <c r="H15" s="92">
        <v>1</v>
      </c>
      <c r="I15" s="92">
        <v>23826</v>
      </c>
      <c r="J15" s="92">
        <v>7</v>
      </c>
      <c r="K15" s="90">
        <f t="shared" si="0"/>
        <v>34717885.714285716</v>
      </c>
      <c r="L15" s="92">
        <v>1</v>
      </c>
      <c r="M15" s="92">
        <v>24471</v>
      </c>
      <c r="N15" s="92">
        <v>7</v>
      </c>
      <c r="O15" s="90">
        <f t="shared" si="1"/>
        <v>35657742.857142851</v>
      </c>
      <c r="P15" s="93">
        <f t="shared" si="2"/>
        <v>34343885.714285709</v>
      </c>
      <c r="Q15" s="93">
        <f t="shared" si="3"/>
        <v>1535408.4678890193</v>
      </c>
      <c r="R15" s="94">
        <f t="shared" si="5"/>
        <v>7.5358494302775298</v>
      </c>
    </row>
    <row r="16" spans="2:18">
      <c r="B16" s="91" t="s">
        <v>198</v>
      </c>
      <c r="C16" s="92">
        <v>900</v>
      </c>
      <c r="D16" s="92">
        <v>1</v>
      </c>
      <c r="E16" s="92">
        <v>12012</v>
      </c>
      <c r="F16" s="92">
        <v>7</v>
      </c>
      <c r="G16" s="90">
        <f t="shared" si="4"/>
        <v>17503199.999999996</v>
      </c>
      <c r="H16" s="92">
        <v>1</v>
      </c>
      <c r="I16" s="92">
        <v>12668</v>
      </c>
      <c r="J16" s="92">
        <v>7</v>
      </c>
      <c r="K16" s="90">
        <f t="shared" si="0"/>
        <v>18459085.714285713</v>
      </c>
      <c r="L16" s="92">
        <v>1</v>
      </c>
      <c r="M16" s="92">
        <v>11470</v>
      </c>
      <c r="N16" s="92">
        <v>7</v>
      </c>
      <c r="O16" s="90">
        <f t="shared" si="1"/>
        <v>16713428.571428573</v>
      </c>
      <c r="P16" s="93">
        <f t="shared" si="2"/>
        <v>17558571.428571429</v>
      </c>
      <c r="Q16" s="93">
        <f t="shared" si="3"/>
        <v>874144.84579420183</v>
      </c>
      <c r="R16" s="94">
        <f t="shared" si="5"/>
        <v>7.2444891786585481</v>
      </c>
    </row>
    <row r="17" spans="2:18">
      <c r="B17" s="91" t="s">
        <v>199</v>
      </c>
      <c r="C17" s="92">
        <v>900</v>
      </c>
      <c r="D17" s="92">
        <v>1</v>
      </c>
      <c r="E17" s="92">
        <v>5750</v>
      </c>
      <c r="F17" s="92">
        <v>7</v>
      </c>
      <c r="G17" s="90">
        <f t="shared" si="4"/>
        <v>8378571.4285714272</v>
      </c>
      <c r="H17" s="92">
        <v>1</v>
      </c>
      <c r="I17" s="92">
        <v>5481</v>
      </c>
      <c r="J17" s="92">
        <v>7</v>
      </c>
      <c r="K17" s="90">
        <f t="shared" si="0"/>
        <v>7986599.9999999991</v>
      </c>
      <c r="L17" s="92">
        <v>1</v>
      </c>
      <c r="M17" s="92">
        <v>5831</v>
      </c>
      <c r="N17" s="92">
        <v>7</v>
      </c>
      <c r="O17" s="90">
        <f t="shared" si="1"/>
        <v>8496599.9999999981</v>
      </c>
      <c r="P17" s="93">
        <f t="shared" si="2"/>
        <v>8287257.1428571418</v>
      </c>
      <c r="Q17" s="93">
        <f t="shared" si="3"/>
        <v>266980.75601367303</v>
      </c>
      <c r="R17" s="94">
        <f t="shared" si="5"/>
        <v>6.9184108146481318</v>
      </c>
    </row>
    <row r="18" spans="2:18">
      <c r="B18" s="91" t="s">
        <v>200</v>
      </c>
      <c r="C18" s="92">
        <v>900</v>
      </c>
      <c r="D18" s="92">
        <v>1</v>
      </c>
      <c r="E18" s="92">
        <v>2868</v>
      </c>
      <c r="F18" s="92">
        <v>7</v>
      </c>
      <c r="G18" s="90">
        <f t="shared" si="4"/>
        <v>4179085.7142857141</v>
      </c>
      <c r="H18" s="92">
        <v>1</v>
      </c>
      <c r="I18" s="92">
        <v>2835</v>
      </c>
      <c r="J18" s="92">
        <v>7</v>
      </c>
      <c r="K18" s="90">
        <f t="shared" si="0"/>
        <v>4131000</v>
      </c>
      <c r="L18" s="92">
        <v>1</v>
      </c>
      <c r="M18" s="92">
        <v>2976</v>
      </c>
      <c r="N18" s="92">
        <v>7</v>
      </c>
      <c r="O18" s="90">
        <f t="shared" si="1"/>
        <v>4336457.1428571427</v>
      </c>
      <c r="P18" s="93">
        <f t="shared" si="2"/>
        <v>4215514.2857142854</v>
      </c>
      <c r="Q18" s="93">
        <f t="shared" si="3"/>
        <v>107463.6682790979</v>
      </c>
      <c r="R18" s="94">
        <f t="shared" si="5"/>
        <v>6.6248505653956435</v>
      </c>
    </row>
    <row r="19" spans="2:18">
      <c r="B19" s="91" t="s">
        <v>201</v>
      </c>
      <c r="C19" s="92">
        <v>900</v>
      </c>
      <c r="D19" s="92">
        <v>0</v>
      </c>
      <c r="E19" s="92">
        <v>10096</v>
      </c>
      <c r="F19" s="92">
        <v>7</v>
      </c>
      <c r="G19" s="90">
        <f t="shared" si="4"/>
        <v>1471131.4285714284</v>
      </c>
      <c r="H19" s="92">
        <v>0</v>
      </c>
      <c r="I19" s="92">
        <v>8923</v>
      </c>
      <c r="J19" s="92">
        <v>7</v>
      </c>
      <c r="K19" s="90">
        <f>(I19/J19)*(10.2)*POWER(10,H19+2)</f>
        <v>1300208.5714285716</v>
      </c>
      <c r="L19" s="92">
        <v>0</v>
      </c>
      <c r="M19" s="92">
        <v>8050</v>
      </c>
      <c r="N19" s="92">
        <v>7</v>
      </c>
      <c r="O19" s="90">
        <f t="shared" si="1"/>
        <v>1173000</v>
      </c>
      <c r="P19" s="93">
        <f t="shared" si="2"/>
        <v>1314780</v>
      </c>
      <c r="Q19" s="93">
        <f t="shared" si="3"/>
        <v>149598.9039848533</v>
      </c>
      <c r="R19" s="94">
        <f t="shared" si="5"/>
        <v>6.118853089115321</v>
      </c>
    </row>
    <row r="20" spans="2:18" ht="15" thickBot="1">
      <c r="H20" s="92"/>
      <c r="I20" s="92"/>
      <c r="J20" s="92"/>
    </row>
    <row r="21" spans="2:18" ht="55" customHeight="1" thickBot="1">
      <c r="B21" s="95" t="s">
        <v>4</v>
      </c>
      <c r="C21" s="95" t="s">
        <v>202</v>
      </c>
      <c r="D21" s="95" t="s">
        <v>203</v>
      </c>
      <c r="E21" s="95" t="s">
        <v>204</v>
      </c>
      <c r="F21" s="95" t="s">
        <v>205</v>
      </c>
      <c r="G21" s="96" t="s">
        <v>206</v>
      </c>
      <c r="H21" s="97" t="s">
        <v>207</v>
      </c>
      <c r="I21" s="97" t="s">
        <v>208</v>
      </c>
      <c r="J21" s="97" t="s">
        <v>209</v>
      </c>
      <c r="K21" s="97" t="s">
        <v>210</v>
      </c>
      <c r="L21" s="97" t="s">
        <v>211</v>
      </c>
      <c r="M21" s="98" t="s">
        <v>212</v>
      </c>
    </row>
    <row r="23" spans="2:18">
      <c r="B23" s="91" t="s">
        <v>186</v>
      </c>
      <c r="C23" s="99">
        <v>16.382114410400391</v>
      </c>
      <c r="D23" s="99">
        <v>16.2430419921875</v>
      </c>
      <c r="E23" s="99">
        <v>16.416009902954102</v>
      </c>
      <c r="F23" s="99">
        <f>AVERAGE(C23:E23)</f>
        <v>16.347055435180664</v>
      </c>
      <c r="G23" s="85">
        <f>15*180/4*1000/900</f>
        <v>750</v>
      </c>
      <c r="H23" s="85">
        <f>LOG(G23)/LOG(2)</f>
        <v>9.5507467853832431</v>
      </c>
      <c r="I23" s="92">
        <f>C23-H23</f>
        <v>6.8313676250171476</v>
      </c>
      <c r="J23" s="92">
        <f>D23-H23</f>
        <v>6.6922952068042569</v>
      </c>
      <c r="K23" s="92">
        <f>E23-H23</f>
        <v>6.8652631175708585</v>
      </c>
      <c r="L23" s="100">
        <f>AVERAGE(I23:K23)</f>
        <v>6.796308649797421</v>
      </c>
    </row>
    <row r="24" spans="2:18">
      <c r="B24" s="91" t="s">
        <v>187</v>
      </c>
      <c r="C24" s="99">
        <v>20.246736526489258</v>
      </c>
      <c r="D24" s="99">
        <v>20.337041854858398</v>
      </c>
      <c r="E24" s="99">
        <v>20.223323822021484</v>
      </c>
      <c r="F24" s="99">
        <f t="shared" ref="F24:F38" si="6">AVERAGE(C24:E24)</f>
        <v>20.269034067789715</v>
      </c>
      <c r="G24" s="85">
        <f t="shared" ref="G24:G26" si="7">15*180/4*1000/900</f>
        <v>750</v>
      </c>
      <c r="H24" s="85">
        <f t="shared" ref="H24:H37" si="8">LOG(G24)/LOG(2)</f>
        <v>9.5507467853832431</v>
      </c>
      <c r="I24" s="92">
        <f t="shared" ref="I24:I38" si="9">C24-H24</f>
        <v>10.695989741106015</v>
      </c>
      <c r="J24" s="92">
        <f t="shared" ref="J24:J38" si="10">D24-H24</f>
        <v>10.786295069475155</v>
      </c>
      <c r="K24" s="92">
        <f t="shared" ref="K24:K38" si="11">E24-H24</f>
        <v>10.672577036638241</v>
      </c>
      <c r="L24" s="100">
        <f t="shared" ref="L24:L38" si="12">AVERAGE(I24:K24)</f>
        <v>10.71828728240647</v>
      </c>
    </row>
    <row r="25" spans="2:18">
      <c r="B25" s="91" t="s">
        <v>188</v>
      </c>
      <c r="C25" s="99">
        <v>23.471084594726562</v>
      </c>
      <c r="D25" s="99">
        <v>23.434993743896484</v>
      </c>
      <c r="E25" s="99">
        <v>23.65556526184082</v>
      </c>
      <c r="F25" s="99">
        <f t="shared" si="6"/>
        <v>23.520547866821289</v>
      </c>
      <c r="G25" s="85">
        <f t="shared" si="7"/>
        <v>750</v>
      </c>
      <c r="H25" s="85">
        <f t="shared" si="8"/>
        <v>9.5507467853832431</v>
      </c>
      <c r="I25" s="92">
        <f t="shared" si="9"/>
        <v>13.920337809343319</v>
      </c>
      <c r="J25" s="92">
        <f t="shared" si="10"/>
        <v>13.884246958513241</v>
      </c>
      <c r="K25" s="92">
        <f t="shared" si="11"/>
        <v>14.104818476457577</v>
      </c>
      <c r="L25" s="100">
        <f t="shared" si="12"/>
        <v>13.969801081438044</v>
      </c>
    </row>
    <row r="26" spans="2:18">
      <c r="B26" s="91" t="s">
        <v>189</v>
      </c>
      <c r="C26" s="99">
        <v>27.687118530273438</v>
      </c>
      <c r="D26" s="99">
        <v>27.683933258056641</v>
      </c>
      <c r="E26" s="99">
        <v>27.721792221069336</v>
      </c>
      <c r="F26" s="99">
        <f t="shared" si="6"/>
        <v>27.697614669799805</v>
      </c>
      <c r="G26" s="85">
        <f t="shared" si="7"/>
        <v>750</v>
      </c>
      <c r="H26" s="85">
        <f t="shared" si="8"/>
        <v>9.5507467853832431</v>
      </c>
      <c r="I26" s="92">
        <f t="shared" si="9"/>
        <v>18.136371744890194</v>
      </c>
      <c r="J26" s="92">
        <f t="shared" si="10"/>
        <v>18.133186472673398</v>
      </c>
      <c r="K26" s="92">
        <f t="shared" si="11"/>
        <v>18.171045435686093</v>
      </c>
      <c r="L26" s="100">
        <f t="shared" si="12"/>
        <v>18.146867884416562</v>
      </c>
    </row>
    <row r="27" spans="2:18">
      <c r="B27" s="91" t="s">
        <v>190</v>
      </c>
      <c r="C27" s="99">
        <v>31.580327987670898</v>
      </c>
      <c r="D27" s="99">
        <v>31.876550674438477</v>
      </c>
      <c r="E27" s="99">
        <v>31.972114562988281</v>
      </c>
      <c r="F27" s="99">
        <f t="shared" si="6"/>
        <v>31.809664408365887</v>
      </c>
      <c r="G27" s="85">
        <f>15*180/4*1000/900</f>
        <v>750</v>
      </c>
      <c r="H27" s="85">
        <f>LOG(G27)/LOG(2)</f>
        <v>9.5507467853832431</v>
      </c>
      <c r="I27" s="92">
        <f t="shared" si="9"/>
        <v>22.029581202287655</v>
      </c>
      <c r="J27" s="92">
        <f t="shared" si="10"/>
        <v>22.325803889055233</v>
      </c>
      <c r="K27" s="92">
        <f t="shared" si="11"/>
        <v>22.421367777605038</v>
      </c>
      <c r="L27" s="100">
        <f t="shared" si="12"/>
        <v>22.25891762298264</v>
      </c>
    </row>
    <row r="28" spans="2:18">
      <c r="B28" s="91" t="s">
        <v>191</v>
      </c>
      <c r="C28" s="99">
        <v>16.648801803588867</v>
      </c>
      <c r="D28" s="99">
        <v>17.485513687133789</v>
      </c>
      <c r="E28" s="99">
        <v>16.725131988525391</v>
      </c>
      <c r="F28" s="99">
        <f t="shared" si="6"/>
        <v>16.953149159749348</v>
      </c>
      <c r="G28" s="85">
        <f>15*180/4*1000/1000</f>
        <v>675</v>
      </c>
      <c r="H28" s="85">
        <f t="shared" ref="H28:H36" si="13">LOG(G28)/LOG(2)</f>
        <v>9.3987436919381935</v>
      </c>
      <c r="I28" s="92">
        <f t="shared" si="9"/>
        <v>7.2500581116506737</v>
      </c>
      <c r="J28" s="92">
        <f t="shared" si="10"/>
        <v>8.0867699951955956</v>
      </c>
      <c r="K28" s="92">
        <f t="shared" si="11"/>
        <v>7.3263882965871971</v>
      </c>
      <c r="L28" s="100">
        <f t="shared" si="12"/>
        <v>7.5544054678111552</v>
      </c>
    </row>
    <row r="29" spans="2:18">
      <c r="B29" s="91" t="s">
        <v>192</v>
      </c>
      <c r="C29" s="99">
        <v>19.15205192565918</v>
      </c>
      <c r="D29" s="99">
        <v>18.957448959350586</v>
      </c>
      <c r="E29" s="99">
        <v>18.855649948120117</v>
      </c>
      <c r="F29" s="99">
        <f t="shared" si="6"/>
        <v>18.988383611043293</v>
      </c>
      <c r="G29" s="85">
        <f>15*180/4*1000/500</f>
        <v>1350</v>
      </c>
      <c r="H29" s="85">
        <f t="shared" si="13"/>
        <v>10.398743691938193</v>
      </c>
      <c r="I29" s="92">
        <f t="shared" si="9"/>
        <v>8.7533082337209862</v>
      </c>
      <c r="J29" s="92">
        <f t="shared" si="10"/>
        <v>8.5587052674123925</v>
      </c>
      <c r="K29" s="92">
        <f t="shared" si="11"/>
        <v>8.4569062561819237</v>
      </c>
      <c r="L29" s="100">
        <f t="shared" si="12"/>
        <v>8.5896399191051014</v>
      </c>
    </row>
    <row r="30" spans="2:18">
      <c r="B30" s="91" t="s">
        <v>193</v>
      </c>
      <c r="C30" s="99">
        <v>19.934587478637695</v>
      </c>
      <c r="D30" s="99">
        <v>19.768661499023438</v>
      </c>
      <c r="E30" s="99">
        <v>19.823604583740234</v>
      </c>
      <c r="F30" s="99">
        <f t="shared" si="6"/>
        <v>19.842284520467121</v>
      </c>
      <c r="G30" s="85">
        <f t="shared" ref="G30:G38" si="14">15*180/4*1000/500</f>
        <v>1350</v>
      </c>
      <c r="H30" s="85">
        <f t="shared" si="13"/>
        <v>10.398743691938193</v>
      </c>
      <c r="I30" s="92">
        <f t="shared" si="9"/>
        <v>9.5358437866995018</v>
      </c>
      <c r="J30" s="92">
        <f t="shared" si="10"/>
        <v>9.369917807085244</v>
      </c>
      <c r="K30" s="92">
        <f t="shared" si="11"/>
        <v>9.4248608918020409</v>
      </c>
      <c r="L30" s="100">
        <f t="shared" si="12"/>
        <v>9.4435408285289295</v>
      </c>
    </row>
    <row r="31" spans="2:18">
      <c r="B31" s="91" t="s">
        <v>194</v>
      </c>
      <c r="C31" s="99">
        <v>20.650510787963867</v>
      </c>
      <c r="D31" s="99">
        <v>20.447122573852539</v>
      </c>
      <c r="E31" s="99">
        <v>20.447004318237305</v>
      </c>
      <c r="F31" s="99">
        <f t="shared" si="6"/>
        <v>20.51487922668457</v>
      </c>
      <c r="G31" s="85">
        <f t="shared" si="14"/>
        <v>1350</v>
      </c>
      <c r="H31" s="85">
        <f t="shared" si="13"/>
        <v>10.398743691938193</v>
      </c>
      <c r="I31" s="92">
        <f t="shared" si="9"/>
        <v>10.251767096025674</v>
      </c>
      <c r="J31" s="92">
        <f t="shared" si="10"/>
        <v>10.048378881914346</v>
      </c>
      <c r="K31" s="92">
        <f t="shared" si="11"/>
        <v>10.048260626299111</v>
      </c>
      <c r="L31" s="100">
        <f t="shared" si="12"/>
        <v>10.116135534746377</v>
      </c>
    </row>
    <row r="32" spans="2:18">
      <c r="B32" s="91" t="s">
        <v>195</v>
      </c>
      <c r="C32" s="99">
        <v>21.825428009033203</v>
      </c>
      <c r="D32" s="99">
        <v>21.617404937744141</v>
      </c>
      <c r="E32" s="99">
        <v>21.863065719604492</v>
      </c>
      <c r="F32" s="99">
        <f t="shared" si="6"/>
        <v>21.768632888793945</v>
      </c>
      <c r="G32" s="85">
        <f t="shared" si="14"/>
        <v>1350</v>
      </c>
      <c r="H32" s="85">
        <f t="shared" si="13"/>
        <v>10.398743691938193</v>
      </c>
      <c r="I32" s="92">
        <f t="shared" si="9"/>
        <v>11.42668431709501</v>
      </c>
      <c r="J32" s="92">
        <f t="shared" si="10"/>
        <v>11.218661245805947</v>
      </c>
      <c r="K32" s="92">
        <f t="shared" si="11"/>
        <v>11.464322027666299</v>
      </c>
      <c r="L32" s="100">
        <f t="shared" si="12"/>
        <v>11.369889196855752</v>
      </c>
    </row>
    <row r="33" spans="2:12">
      <c r="B33" s="91" t="s">
        <v>196</v>
      </c>
      <c r="C33" s="99">
        <v>22.909189224243164</v>
      </c>
      <c r="D33" s="99">
        <v>22.986705780029297</v>
      </c>
      <c r="E33" s="99">
        <v>23.151363372802734</v>
      </c>
      <c r="F33" s="99">
        <f t="shared" si="6"/>
        <v>23.015752792358398</v>
      </c>
      <c r="G33" s="85">
        <f>15*180/4*1000/500</f>
        <v>1350</v>
      </c>
      <c r="H33" s="85">
        <f t="shared" si="13"/>
        <v>10.398743691938193</v>
      </c>
      <c r="I33" s="92">
        <f t="shared" si="9"/>
        <v>12.510445532304971</v>
      </c>
      <c r="J33" s="92">
        <f t="shared" si="10"/>
        <v>12.587962088091103</v>
      </c>
      <c r="K33" s="92">
        <f t="shared" si="11"/>
        <v>12.752619680864541</v>
      </c>
      <c r="L33" s="100">
        <f t="shared" si="12"/>
        <v>12.617009100420205</v>
      </c>
    </row>
    <row r="34" spans="2:12">
      <c r="B34" s="91" t="s">
        <v>197</v>
      </c>
      <c r="C34" s="99">
        <v>24.431295394897461</v>
      </c>
      <c r="D34" s="99">
        <v>24.009675979614258</v>
      </c>
      <c r="E34" s="99">
        <v>23.951196670532227</v>
      </c>
      <c r="F34" s="99">
        <f t="shared" si="6"/>
        <v>24.130722681681316</v>
      </c>
      <c r="G34" s="85">
        <f t="shared" si="14"/>
        <v>1350</v>
      </c>
      <c r="H34" s="85">
        <f t="shared" si="13"/>
        <v>10.398743691938193</v>
      </c>
      <c r="I34" s="92">
        <f t="shared" si="9"/>
        <v>14.032551702959267</v>
      </c>
      <c r="J34" s="92">
        <f t="shared" si="10"/>
        <v>13.610932287676064</v>
      </c>
      <c r="K34" s="92">
        <f t="shared" si="11"/>
        <v>13.552452978594033</v>
      </c>
      <c r="L34" s="100">
        <f t="shared" si="12"/>
        <v>13.731978989743121</v>
      </c>
    </row>
    <row r="35" spans="2:12">
      <c r="B35" s="91" t="s">
        <v>198</v>
      </c>
      <c r="C35" s="99">
        <v>25.132335662841797</v>
      </c>
      <c r="D35" s="99">
        <v>24.967596054077148</v>
      </c>
      <c r="E35" s="99">
        <v>25.03386116027832</v>
      </c>
      <c r="F35" s="99">
        <f t="shared" si="6"/>
        <v>25.044597625732422</v>
      </c>
      <c r="G35" s="85">
        <f t="shared" si="14"/>
        <v>1350</v>
      </c>
      <c r="H35" s="85">
        <f t="shared" si="13"/>
        <v>10.398743691938193</v>
      </c>
      <c r="I35" s="92">
        <f t="shared" si="9"/>
        <v>14.733591970903603</v>
      </c>
      <c r="J35" s="92">
        <f t="shared" si="10"/>
        <v>14.568852362138955</v>
      </c>
      <c r="K35" s="92">
        <f t="shared" si="11"/>
        <v>14.635117468340127</v>
      </c>
      <c r="L35" s="100">
        <f t="shared" si="12"/>
        <v>14.645853933794228</v>
      </c>
    </row>
    <row r="36" spans="2:12">
      <c r="B36" s="91" t="s">
        <v>198</v>
      </c>
      <c r="C36" s="99">
        <v>25.132335662841797</v>
      </c>
      <c r="D36" s="99">
        <v>26.763067245483398</v>
      </c>
      <c r="E36" s="99"/>
      <c r="F36" s="99">
        <f t="shared" si="6"/>
        <v>25.947701454162598</v>
      </c>
      <c r="G36" s="85">
        <f t="shared" si="14"/>
        <v>1350</v>
      </c>
      <c r="H36" s="85">
        <f t="shared" si="13"/>
        <v>10.398743691938193</v>
      </c>
      <c r="I36" s="92">
        <f t="shared" si="9"/>
        <v>14.733591970903603</v>
      </c>
      <c r="J36" s="92">
        <f t="shared" si="10"/>
        <v>16.364323553545205</v>
      </c>
      <c r="K36" s="92"/>
      <c r="L36" s="100">
        <f t="shared" si="12"/>
        <v>15.548957762224404</v>
      </c>
    </row>
    <row r="37" spans="2:12">
      <c r="B37" s="91" t="s">
        <v>200</v>
      </c>
      <c r="C37" s="99">
        <v>27.613700866699219</v>
      </c>
      <c r="D37" s="99">
        <v>27.812423706054688</v>
      </c>
      <c r="E37" s="99">
        <v>27.789873123168945</v>
      </c>
      <c r="F37" s="99">
        <f t="shared" si="6"/>
        <v>27.738665898640949</v>
      </c>
      <c r="G37" s="85">
        <f t="shared" si="14"/>
        <v>1350</v>
      </c>
      <c r="H37" s="85">
        <f t="shared" si="8"/>
        <v>10.398743691938193</v>
      </c>
      <c r="I37" s="92">
        <f t="shared" si="9"/>
        <v>17.214957174761025</v>
      </c>
      <c r="J37" s="92">
        <f t="shared" si="10"/>
        <v>17.413680014116494</v>
      </c>
      <c r="K37" s="92">
        <f t="shared" si="11"/>
        <v>17.391129431230752</v>
      </c>
      <c r="L37" s="100">
        <f t="shared" si="12"/>
        <v>17.339922206702756</v>
      </c>
    </row>
    <row r="38" spans="2:12">
      <c r="B38" s="91" t="s">
        <v>201</v>
      </c>
      <c r="C38" s="99">
        <v>29.07282829284668</v>
      </c>
      <c r="D38" s="99">
        <v>28.964012145996094</v>
      </c>
      <c r="E38" s="99">
        <v>29.311826705932617</v>
      </c>
      <c r="F38" s="99">
        <f t="shared" si="6"/>
        <v>29.116222381591797</v>
      </c>
      <c r="G38" s="85">
        <f t="shared" si="14"/>
        <v>1350</v>
      </c>
      <c r="H38" s="85">
        <f>AVERAGE(H27:H36)</f>
        <v>10.213944001282698</v>
      </c>
      <c r="I38" s="92">
        <f t="shared" si="9"/>
        <v>18.858884291563982</v>
      </c>
      <c r="J38" s="92">
        <f t="shared" si="10"/>
        <v>18.750068144713396</v>
      </c>
      <c r="K38" s="92">
        <f t="shared" si="11"/>
        <v>19.097882704649919</v>
      </c>
      <c r="L38" s="100">
        <f t="shared" si="12"/>
        <v>18.902278380309099</v>
      </c>
    </row>
    <row r="40" spans="2:12">
      <c r="B40" s="91" t="s">
        <v>213</v>
      </c>
      <c r="C40" s="99">
        <v>15.713388442993164</v>
      </c>
      <c r="D40" s="99">
        <v>15.726656913757324</v>
      </c>
      <c r="E40" s="99">
        <v>15.612536430358887</v>
      </c>
      <c r="F40" s="99">
        <f>AVERAGE(C40:E40)</f>
        <v>15.684193929036459</v>
      </c>
    </row>
    <row r="42" spans="2:12">
      <c r="B42" s="101" t="s">
        <v>214</v>
      </c>
      <c r="C42" s="85" t="s">
        <v>215</v>
      </c>
    </row>
    <row r="43" spans="2:12">
      <c r="B43" s="98" t="s">
        <v>216</v>
      </c>
      <c r="C43" s="85" t="s">
        <v>215</v>
      </c>
    </row>
    <row r="44" spans="2:12">
      <c r="C44" s="102" t="s">
        <v>217</v>
      </c>
      <c r="D44" s="100">
        <v>-3.6977000000000002</v>
      </c>
    </row>
    <row r="45" spans="2:12">
      <c r="C45" s="102" t="s">
        <v>218</v>
      </c>
      <c r="D45" s="100">
        <v>41.616</v>
      </c>
    </row>
    <row r="48" spans="2:12">
      <c r="B48" s="98" t="s">
        <v>219</v>
      </c>
      <c r="D48" s="85">
        <f>-1+ POWER(10,-(1/D44))</f>
        <v>0.86396769252626071</v>
      </c>
    </row>
  </sheetData>
  <mergeCells count="6">
    <mergeCell ref="P3:R3"/>
    <mergeCell ref="B1:B2"/>
    <mergeCell ref="C1:C2"/>
    <mergeCell ref="D1:G1"/>
    <mergeCell ref="H1:K1"/>
    <mergeCell ref="L1:O1"/>
  </mergeCells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S73"/>
  <sheetViews>
    <sheetView topLeftCell="A43" workbookViewId="0">
      <selection activeCell="H12" sqref="H12"/>
    </sheetView>
  </sheetViews>
  <sheetFormatPr baseColWidth="10" defaultColWidth="8.83203125" defaultRowHeight="14" x14ac:dyDescent="0"/>
  <cols>
    <col min="1" max="1" width="13.33203125" style="85" bestFit="1" customWidth="1"/>
    <col min="2" max="4" width="8.83203125" style="85"/>
    <col min="5" max="6" width="13.33203125" style="85" bestFit="1" customWidth="1"/>
    <col min="7" max="10" width="13.6640625" style="85" customWidth="1"/>
    <col min="11" max="11" width="16.5" style="85" bestFit="1" customWidth="1"/>
    <col min="12" max="12" width="17" style="85" customWidth="1"/>
    <col min="13" max="13" width="19.1640625" style="85" customWidth="1"/>
    <col min="14" max="14" width="17" style="85" customWidth="1"/>
    <col min="15" max="15" width="18.83203125" style="85" customWidth="1"/>
    <col min="16" max="16" width="18" style="85" customWidth="1"/>
    <col min="17" max="17" width="23.5" style="85" customWidth="1"/>
    <col min="18" max="18" width="18.5" style="85" customWidth="1"/>
    <col min="19" max="19" width="23.5" style="85" customWidth="1"/>
    <col min="20" max="16384" width="8.83203125" style="85"/>
  </cols>
  <sheetData>
    <row r="1" spans="1:19">
      <c r="A1" s="103" t="s">
        <v>220</v>
      </c>
    </row>
    <row r="2" spans="1:19">
      <c r="A2" s="132" t="s">
        <v>4</v>
      </c>
      <c r="B2" s="132" t="s">
        <v>117</v>
      </c>
      <c r="C2" s="132" t="s">
        <v>117</v>
      </c>
      <c r="D2" s="132" t="s">
        <v>5</v>
      </c>
      <c r="E2" s="144" t="s">
        <v>221</v>
      </c>
      <c r="F2" s="144" t="s">
        <v>222</v>
      </c>
      <c r="G2" s="144" t="s">
        <v>223</v>
      </c>
      <c r="H2" s="146" t="s">
        <v>224</v>
      </c>
      <c r="I2" s="146" t="s">
        <v>225</v>
      </c>
      <c r="J2" s="146" t="s">
        <v>226</v>
      </c>
      <c r="K2" s="144" t="s">
        <v>227</v>
      </c>
      <c r="L2" s="144" t="s">
        <v>228</v>
      </c>
      <c r="M2" s="144" t="s">
        <v>229</v>
      </c>
      <c r="N2" s="144" t="s">
        <v>230</v>
      </c>
      <c r="O2" s="144" t="s">
        <v>231</v>
      </c>
      <c r="P2" s="146" t="s">
        <v>232</v>
      </c>
      <c r="Q2" s="146" t="s">
        <v>233</v>
      </c>
      <c r="R2" s="149" t="s">
        <v>234</v>
      </c>
      <c r="S2" s="146" t="s">
        <v>235</v>
      </c>
    </row>
    <row r="3" spans="1:19">
      <c r="A3" s="133"/>
      <c r="B3" s="133"/>
      <c r="C3" s="133"/>
      <c r="D3" s="133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  <c r="Q3" s="145"/>
      <c r="R3" s="150"/>
      <c r="S3" s="145"/>
    </row>
    <row r="4" spans="1:19">
      <c r="A4" s="40">
        <v>0</v>
      </c>
      <c r="B4" s="32">
        <v>10</v>
      </c>
      <c r="C4" s="32">
        <f>B4</f>
        <v>10</v>
      </c>
      <c r="D4" s="13">
        <f t="shared" ref="D4:D20" si="0">C4/60</f>
        <v>0.16666666666666666</v>
      </c>
      <c r="E4" s="99">
        <v>24.59965705871582</v>
      </c>
      <c r="F4" s="99">
        <v>24.722965240478516</v>
      </c>
      <c r="G4" s="99">
        <v>24.45292854309082</v>
      </c>
      <c r="H4" s="99">
        <f>E4-$H$64+$H$73</f>
        <v>24.545089686278139</v>
      </c>
      <c r="I4" s="99">
        <f>F4-$H$64+$H$73</f>
        <v>24.668397868040834</v>
      </c>
      <c r="J4" s="99">
        <f>G4-$H$64+$H$73</f>
        <v>24.398361170653139</v>
      </c>
      <c r="K4" s="104">
        <f>((H4-'Calibration R. intestinalis '!$D$45)/('Calibration R. intestinalis '!$D$44))+$B$24</f>
        <v>8.2698418546417898</v>
      </c>
      <c r="L4" s="104">
        <f>((I4-'Calibration R. intestinalis '!$D$45)/('Calibration R. intestinalis '!$D$44))+$B$24</f>
        <v>8.2364945896493094</v>
      </c>
      <c r="M4" s="104">
        <f>((J4-'Calibration R. intestinalis '!$D$45)/('Calibration R. intestinalis '!$D$44))+$B$24</f>
        <v>8.3095228767974536</v>
      </c>
      <c r="N4" s="105">
        <f>AVERAGE(K4:M4)</f>
        <v>8.2719531070295176</v>
      </c>
      <c r="O4" s="105">
        <f>STDEV(K4:M4)</f>
        <v>3.6559892244527568E-2</v>
      </c>
      <c r="P4" s="100">
        <f>(AVERAGE(POWER(10,K4),POWER(10,L4),POWER(10,M4)))*Calculation!$I4/Calculation!$K3</f>
        <v>187825604.21793866</v>
      </c>
      <c r="Q4" s="106">
        <f>(STDEV(POWER(10,K4),POWER(10,L4),POWER(10,M4)))*Calculation!$I4/Calculation!$K3</f>
        <v>15854761.593805067</v>
      </c>
      <c r="R4" s="105">
        <f>LOG(P4)</f>
        <v>8.2737547946000127</v>
      </c>
      <c r="S4" s="105">
        <f>O4*Calculation!$I4/Calculation!$K3</f>
        <v>3.6625100137948251E-2</v>
      </c>
    </row>
    <row r="5" spans="1:19">
      <c r="A5" s="40">
        <v>1</v>
      </c>
      <c r="B5" s="32">
        <v>110</v>
      </c>
      <c r="C5" s="32">
        <f>C4+B5</f>
        <v>120</v>
      </c>
      <c r="D5" s="13">
        <f t="shared" si="0"/>
        <v>2</v>
      </c>
      <c r="E5" s="107">
        <v>23.815977096557617</v>
      </c>
      <c r="F5" s="99">
        <v>24.109020233154297</v>
      </c>
      <c r="G5" s="99">
        <v>24.3021240234375</v>
      </c>
      <c r="H5" s="99">
        <f>E5-$H$64+$H$73</f>
        <v>23.761409724119936</v>
      </c>
      <c r="I5" s="99">
        <f>F5-$H$64+$H$73</f>
        <v>24.054452860716616</v>
      </c>
      <c r="J5" s="99">
        <f>G5-$H$64+$H$73</f>
        <v>24.247556650999819</v>
      </c>
      <c r="K5" s="104">
        <f>((H5-'Calibration R. intestinalis '!$D$45)/('Calibration R. intestinalis '!$D$44))+$B$24</f>
        <v>8.4817789945282609</v>
      </c>
      <c r="L5" s="104">
        <f>((I5-'Calibration R. intestinalis '!$D$45)/('Calibration R. intestinalis '!$D$44))+$B$24</f>
        <v>8.4025288832167213</v>
      </c>
      <c r="M5" s="104">
        <f>((J5-'Calibration R. intestinalis '!$D$45)/('Calibration R. intestinalis '!$D$44))+$B$24</f>
        <v>8.3503062068819176</v>
      </c>
      <c r="N5" s="105">
        <f t="shared" ref="N5:N20" si="1">AVERAGE(K5:M5)</f>
        <v>8.411538028208966</v>
      </c>
      <c r="O5" s="105">
        <f t="shared" ref="O5:O20" si="2">STDEV(K5:M5)</f>
        <v>6.6197786919153068E-2</v>
      </c>
      <c r="P5" s="100">
        <f>(AVERAGE(POWER(10,K5),POWER(10,L5),POWER(10,M5)))*Calculation!$I5/Calculation!$K4</f>
        <v>260755326.5789642</v>
      </c>
      <c r="Q5" s="106">
        <f>(STDEV(POWER(10,K5),POWER(10,L5),POWER(10,M5)))*Calculation!$I5/Calculation!$K4</f>
        <v>40226875.98286055</v>
      </c>
      <c r="R5" s="105">
        <f t="shared" ref="R5:R20" si="3">LOG(P5)</f>
        <v>8.4162331887389286</v>
      </c>
      <c r="S5" s="105">
        <f>O5*Calculation!$I5/Calculation!$K4</f>
        <v>6.6396877899172022E-2</v>
      </c>
    </row>
    <row r="6" spans="1:19">
      <c r="A6" s="40">
        <v>2</v>
      </c>
      <c r="B6" s="32">
        <v>80</v>
      </c>
      <c r="C6" s="32">
        <f>C5+B6</f>
        <v>200</v>
      </c>
      <c r="D6" s="13">
        <f t="shared" si="0"/>
        <v>3.3333333333333335</v>
      </c>
      <c r="E6" s="99">
        <v>23.75665283203125</v>
      </c>
      <c r="F6" s="99">
        <v>23.802192687988281</v>
      </c>
      <c r="G6" s="99">
        <v>23.677385330200195</v>
      </c>
      <c r="H6" s="99">
        <f>E6-$H$64+$H$73</f>
        <v>23.702085459593569</v>
      </c>
      <c r="I6" s="99">
        <f>F6-$H$64+$H$73</f>
        <v>23.7476253155506</v>
      </c>
      <c r="J6" s="99">
        <f>G6-$H$64+$H$73</f>
        <v>23.622817957762514</v>
      </c>
      <c r="K6" s="104">
        <f>((H6-'Calibration R. intestinalis '!$D$45)/('Calibration R. intestinalis '!$D$44))+$B$24</f>
        <v>8.4978225525579454</v>
      </c>
      <c r="L6" s="104">
        <f>((I6-'Calibration R. intestinalis '!$D$45)/('Calibration R. intestinalis '!$D$44))+$B$24</f>
        <v>8.4855068276594867</v>
      </c>
      <c r="M6" s="104">
        <f>((J6-'Calibration R. intestinalis '!$D$45)/('Calibration R. intestinalis '!$D$44))+$B$24</f>
        <v>8.519259527388531</v>
      </c>
      <c r="N6" s="105">
        <f t="shared" si="1"/>
        <v>8.5008629692019877</v>
      </c>
      <c r="O6" s="105">
        <f t="shared" si="2"/>
        <v>1.7080523551015154E-2</v>
      </c>
      <c r="P6" s="100">
        <f>(AVERAGE(POWER(10,K6),POWER(10,L6),POWER(10,M6)))*Calculation!$I6/Calculation!$K5</f>
        <v>318372859.19587082</v>
      </c>
      <c r="Q6" s="106">
        <f>(STDEV(POWER(10,K6),POWER(10,L6),POWER(10,M6)))*Calculation!$I6/Calculation!$K5</f>
        <v>12582435.814815447</v>
      </c>
      <c r="R6" s="105">
        <f t="shared" si="3"/>
        <v>8.5029360376966938</v>
      </c>
      <c r="S6" s="105">
        <f>O6*Calculation!$I6/Calculation!$K5</f>
        <v>1.7153375516814787E-2</v>
      </c>
    </row>
    <row r="7" spans="1:19">
      <c r="A7" s="40">
        <v>3</v>
      </c>
      <c r="B7" s="32">
        <v>80</v>
      </c>
      <c r="C7" s="32">
        <f>C6+B7</f>
        <v>280</v>
      </c>
      <c r="D7" s="13">
        <f t="shared" si="0"/>
        <v>4.666666666666667</v>
      </c>
      <c r="E7" s="99">
        <v>22.52972412109375</v>
      </c>
      <c r="F7" s="99">
        <v>22.887411117553711</v>
      </c>
      <c r="G7" s="99">
        <v>23.064506530761719</v>
      </c>
      <c r="H7" s="99">
        <f>E7-$H$64+$H$73</f>
        <v>22.475156748656069</v>
      </c>
      <c r="I7" s="99">
        <f>F7-$H$64+$H$73</f>
        <v>22.83284374511603</v>
      </c>
      <c r="J7" s="99">
        <f>G7-$H$64+$H$73</f>
        <v>23.009939158324038</v>
      </c>
      <c r="K7" s="104">
        <f>((H7-'Calibration R. intestinalis '!$D$45)/('Calibration R. intestinalis '!$D$44))+$B$24</f>
        <v>8.829631166273904</v>
      </c>
      <c r="L7" s="104">
        <f>((I7-'Calibration R. intestinalis '!$D$45)/('Calibration R. intestinalis '!$D$44))+$B$24</f>
        <v>8.7328988741842384</v>
      </c>
      <c r="M7" s="104">
        <f>((J7-'Calibration R. intestinalis '!$D$45)/('Calibration R. intestinalis '!$D$44))+$B$24</f>
        <v>8.6850054774219245</v>
      </c>
      <c r="N7" s="105">
        <f t="shared" si="1"/>
        <v>8.7491785059600229</v>
      </c>
      <c r="O7" s="105">
        <f t="shared" si="2"/>
        <v>7.36744004186239E-2</v>
      </c>
      <c r="P7" s="100">
        <f>(AVERAGE(POWER(10,K7),POWER(10,L7),POWER(10,M7)))*Calculation!$I7/Calculation!$K6</f>
        <v>571025473.856161</v>
      </c>
      <c r="Q7" s="106">
        <f>(STDEV(POWER(10,K7),POWER(10,L7),POWER(10,M7)))*Calculation!$I7/Calculation!$K6</f>
        <v>99045767.894681305</v>
      </c>
      <c r="R7" s="105">
        <f t="shared" si="3"/>
        <v>8.7566554828664991</v>
      </c>
      <c r="S7" s="105">
        <f>O7*Calculation!$I7/Calculation!$K6</f>
        <v>7.4227309997372787E-2</v>
      </c>
    </row>
    <row r="8" spans="1:19">
      <c r="A8" s="40">
        <v>4</v>
      </c>
      <c r="B8" s="32">
        <v>80</v>
      </c>
      <c r="C8" s="32">
        <f t="shared" ref="C8:C18" si="4">C7+B8</f>
        <v>360</v>
      </c>
      <c r="D8" s="13">
        <f t="shared" si="0"/>
        <v>6</v>
      </c>
      <c r="E8" s="99">
        <v>21.455783843994141</v>
      </c>
      <c r="F8" s="99">
        <v>21.619205474853516</v>
      </c>
      <c r="G8" s="99">
        <v>21.974887847900391</v>
      </c>
      <c r="H8" s="99">
        <f>E8-$H$64+$H$73</f>
        <v>21.401216471556459</v>
      </c>
      <c r="I8" s="99">
        <f>F8-$H$64+$H$73</f>
        <v>21.564638102415834</v>
      </c>
      <c r="J8" s="99">
        <f>G8-$H$64+$H$73</f>
        <v>21.920320475462709</v>
      </c>
      <c r="K8" s="104">
        <f>((H8-'Calibration R. intestinalis '!$D$45)/('Calibration R. intestinalis '!$D$44))+$B$24</f>
        <v>9.1200658356899229</v>
      </c>
      <c r="L8" s="104">
        <f>((I8-'Calibration R. intestinalis '!$D$45)/('Calibration R. intestinalis '!$D$44))+$B$24</f>
        <v>9.0758703544828538</v>
      </c>
      <c r="M8" s="104">
        <f>((J8-'Calibration R. intestinalis '!$D$45)/('Calibration R. intestinalis '!$D$44))+$B$24</f>
        <v>8.9796801895027656</v>
      </c>
      <c r="N8" s="105">
        <f t="shared" si="1"/>
        <v>9.0585387932251802</v>
      </c>
      <c r="O8" s="105">
        <f t="shared" si="2"/>
        <v>7.1779660598025846E-2</v>
      </c>
      <c r="P8" s="100">
        <f>(AVERAGE(POWER(10,K8),POWER(10,L8),POWER(10,M8)))*Calculation!$I8/Calculation!$K7</f>
        <v>1169375584.0643373</v>
      </c>
      <c r="Q8" s="106">
        <f>(STDEV(POWER(10,K8),POWER(10,L8),POWER(10,M8)))*Calculation!$I8/Calculation!$K7</f>
        <v>187157317.50659385</v>
      </c>
      <c r="R8" s="105">
        <f t="shared" si="3"/>
        <v>9.0679540217598351</v>
      </c>
      <c r="S8" s="105">
        <f>O8*Calculation!$I8/Calculation!$K7</f>
        <v>7.2701748071271333E-2</v>
      </c>
    </row>
    <row r="9" spans="1:19">
      <c r="A9" s="40">
        <v>5</v>
      </c>
      <c r="B9" s="32">
        <v>80</v>
      </c>
      <c r="C9" s="32">
        <f t="shared" si="4"/>
        <v>440</v>
      </c>
      <c r="D9" s="13">
        <f t="shared" si="0"/>
        <v>7.333333333333333</v>
      </c>
      <c r="E9" s="99">
        <v>20.343452453613281</v>
      </c>
      <c r="F9" s="99">
        <v>20.802406311035156</v>
      </c>
      <c r="G9" s="99">
        <v>20.80354118347168</v>
      </c>
      <c r="H9" s="99">
        <f>E9-$H$64+$H$73</f>
        <v>20.2888850811756</v>
      </c>
      <c r="I9" s="99">
        <f>F9-$H$64+$H$73</f>
        <v>20.747838938597475</v>
      </c>
      <c r="J9" s="99">
        <f>G9-$H$64+$H$73</f>
        <v>20.748973811033999</v>
      </c>
      <c r="K9" s="104">
        <f>((H9-'Calibration R. intestinalis '!$D$45)/('Calibration R. intestinalis '!$D$44))+$B$24</f>
        <v>9.4208829356117274</v>
      </c>
      <c r="L9" s="104">
        <f>((I9-'Calibration R. intestinalis '!$D$45)/('Calibration R. intestinalis '!$D$44))+$B$24</f>
        <v>9.2967641976335589</v>
      </c>
      <c r="M9" s="104">
        <f>((J9-'Calibration R. intestinalis '!$D$45)/('Calibration R. intestinalis '!$D$44))+$B$24</f>
        <v>9.2964572845696214</v>
      </c>
      <c r="N9" s="105">
        <f t="shared" si="1"/>
        <v>9.3380348059383014</v>
      </c>
      <c r="O9" s="105">
        <f t="shared" si="2"/>
        <v>7.174874906014507E-2</v>
      </c>
      <c r="P9" s="100">
        <f>(AVERAGE(POWER(10,K9),POWER(10,L9),POWER(10,M9)))*Calculation!$I9/Calculation!$K8</f>
        <v>2244779486.5873446</v>
      </c>
      <c r="Q9" s="106">
        <f>(STDEV(POWER(10,K9),POWER(10,L9),POWER(10,M9)))*Calculation!$I9/Calculation!$K8</f>
        <v>386659888.19085407</v>
      </c>
      <c r="R9" s="105">
        <f t="shared" si="3"/>
        <v>9.3511736849999352</v>
      </c>
      <c r="S9" s="105">
        <f>O9*Calculation!$I9/Calculation!$K8</f>
        <v>7.3263264236108946E-2</v>
      </c>
    </row>
    <row r="10" spans="1:19">
      <c r="A10" s="40">
        <v>6</v>
      </c>
      <c r="B10" s="32">
        <v>80</v>
      </c>
      <c r="C10" s="32">
        <f t="shared" si="4"/>
        <v>520</v>
      </c>
      <c r="D10" s="13">
        <f t="shared" si="0"/>
        <v>8.6666666666666661</v>
      </c>
      <c r="E10" s="99">
        <v>19.960077285766602</v>
      </c>
      <c r="F10" s="99">
        <v>20.281270980834961</v>
      </c>
      <c r="G10" s="99">
        <v>19.987127304077148</v>
      </c>
      <c r="H10" s="99">
        <f>E10-$H$64+$H$73</f>
        <v>19.90550991332892</v>
      </c>
      <c r="I10" s="99">
        <f>F10-$H$64+$H$73</f>
        <v>20.22670360839728</v>
      </c>
      <c r="J10" s="99">
        <f>G10-$H$64+$H$73</f>
        <v>19.932559931639467</v>
      </c>
      <c r="K10" s="104">
        <f>((H10-'Calibration R. intestinalis '!$D$45)/('Calibration R. intestinalis '!$D$44))+$B$24</f>
        <v>9.5245622951721796</v>
      </c>
      <c r="L10" s="104">
        <f>((I10-'Calibration R. intestinalis '!$D$45)/('Calibration R. intestinalis '!$D$44))+$B$24</f>
        <v>9.4376991924141507</v>
      </c>
      <c r="M10" s="104">
        <f>((J10-'Calibration R. intestinalis '!$D$45)/('Calibration R. intestinalis '!$D$44))+$B$24</f>
        <v>9.5172469320246691</v>
      </c>
      <c r="N10" s="105">
        <f t="shared" si="1"/>
        <v>9.4931694732036664</v>
      </c>
      <c r="O10" s="105">
        <f t="shared" si="2"/>
        <v>4.8177719670463658E-2</v>
      </c>
      <c r="P10" s="100">
        <f>(AVERAGE(POWER(10,K10),POWER(10,L10),POWER(10,M10)))*Calculation!$I10/Calculation!$K9</f>
        <v>3229071719.7620893</v>
      </c>
      <c r="Q10" s="106">
        <f>(STDEV(POWER(10,K10),POWER(10,L10),POWER(10,M10)))*Calculation!$I10/Calculation!$K9</f>
        <v>346370259.64700866</v>
      </c>
      <c r="R10" s="105">
        <f t="shared" si="3"/>
        <v>9.5090776910843697</v>
      </c>
      <c r="S10" s="105">
        <f>O10*Calculation!$I10/Calculation!$K9</f>
        <v>4.9775051106251772E-2</v>
      </c>
    </row>
    <row r="11" spans="1:19">
      <c r="A11" s="40">
        <v>7</v>
      </c>
      <c r="B11" s="32">
        <v>80</v>
      </c>
      <c r="C11" s="32">
        <f t="shared" si="4"/>
        <v>600</v>
      </c>
      <c r="D11" s="13">
        <f t="shared" si="0"/>
        <v>10</v>
      </c>
      <c r="E11" s="99">
        <v>19.495124816894531</v>
      </c>
      <c r="F11" s="99">
        <v>19.490161895751953</v>
      </c>
      <c r="G11" s="99">
        <v>19.390466690063477</v>
      </c>
      <c r="H11" s="99">
        <f>E11-$H$64+$H$73</f>
        <v>19.44055744445685</v>
      </c>
      <c r="I11" s="99">
        <f>F11-$H$64+$H$73</f>
        <v>19.435594523314272</v>
      </c>
      <c r="J11" s="99">
        <f>G11-$H$64+$H$73</f>
        <v>19.335899317625795</v>
      </c>
      <c r="K11" s="104">
        <f>((H11-'Calibration R. intestinalis '!$D$45)/('Calibration R. intestinalis '!$D$44))+$B$24</f>
        <v>9.6503032879168771</v>
      </c>
      <c r="L11" s="104">
        <f>((I11-'Calibration R. intestinalis '!$D$45)/('Calibration R. intestinalis '!$D$44))+$B$24</f>
        <v>9.6516454522737956</v>
      </c>
      <c r="M11" s="104">
        <f>((J11-'Calibration R. intestinalis '!$D$45)/('Calibration R. intestinalis '!$D$44))+$B$24</f>
        <v>9.6786068622552648</v>
      </c>
      <c r="N11" s="105">
        <f t="shared" si="1"/>
        <v>9.6601852008153131</v>
      </c>
      <c r="O11" s="105">
        <f t="shared" si="2"/>
        <v>1.5967734934749355E-2</v>
      </c>
      <c r="P11" s="100">
        <f>(AVERAGE(POWER(10,K11),POWER(10,L11),POWER(10,M11)))*Calculation!$I11/Calculation!$K10</f>
        <v>4793489169.8800068</v>
      </c>
      <c r="Q11" s="106">
        <f>(STDEV(POWER(10,K11),POWER(10,L11),POWER(10,M11)))*Calculation!$I11/Calculation!$K10</f>
        <v>178057688.36216471</v>
      </c>
      <c r="R11" s="105">
        <f t="shared" si="3"/>
        <v>9.6806517504896838</v>
      </c>
      <c r="S11" s="105">
        <f>O11*Calculation!$I11/Calculation!$K10</f>
        <v>1.6730650137205708E-2</v>
      </c>
    </row>
    <row r="12" spans="1:19">
      <c r="A12" s="40">
        <v>8</v>
      </c>
      <c r="B12" s="32">
        <v>80</v>
      </c>
      <c r="C12" s="32">
        <f t="shared" si="4"/>
        <v>680</v>
      </c>
      <c r="D12" s="13">
        <f t="shared" si="0"/>
        <v>11.333333333333334</v>
      </c>
      <c r="E12" s="99">
        <v>19.298992156982422</v>
      </c>
      <c r="F12" s="99">
        <v>19.429706573486328</v>
      </c>
      <c r="G12" s="99">
        <v>19.485607147216797</v>
      </c>
      <c r="H12" s="99">
        <f>E12-$H$64+$H$73</f>
        <v>19.244424784544741</v>
      </c>
      <c r="I12" s="99">
        <f>F12-$H$64+$H$73</f>
        <v>19.375139201048647</v>
      </c>
      <c r="J12" s="99">
        <f>G12-$H$64+$H$73</f>
        <v>19.431039774779116</v>
      </c>
      <c r="K12" s="104">
        <f>((H12-'Calibration R. intestinalis '!$D$45)/('Calibration R. intestinalis '!$D$44))+$B$24</f>
        <v>9.7033450868492164</v>
      </c>
      <c r="L12" s="104">
        <f>((I12-'Calibration R. intestinalis '!$D$45)/('Calibration R. intestinalis '!$D$44))+$B$24</f>
        <v>9.6679948917268685</v>
      </c>
      <c r="M12" s="104">
        <f>((J12-'Calibration R. intestinalis '!$D$45)/('Calibration R. intestinalis '!$D$44))+$B$24</f>
        <v>9.6528772310917521</v>
      </c>
      <c r="N12" s="105">
        <f t="shared" si="1"/>
        <v>9.674739069889279</v>
      </c>
      <c r="O12" s="105">
        <f t="shared" si="2"/>
        <v>2.5901043811086173E-2</v>
      </c>
      <c r="P12" s="100">
        <f>(AVERAGE(POWER(10,K12),POWER(10,L12),POWER(10,M12)))*Calculation!$I12/Calculation!$K11</f>
        <v>5014242266.0304985</v>
      </c>
      <c r="Q12" s="106">
        <f>(STDEV(POWER(10,K12),POWER(10,L12),POWER(10,M12)))*Calculation!$I12/Calculation!$K11</f>
        <v>302137376.13165307</v>
      </c>
      <c r="R12" s="105">
        <f t="shared" si="3"/>
        <v>9.7002053133195254</v>
      </c>
      <c r="S12" s="105">
        <f>O12*Calculation!$I12/Calculation!$K11</f>
        <v>2.743247749798303E-2</v>
      </c>
    </row>
    <row r="13" spans="1:19">
      <c r="A13" s="40">
        <v>9</v>
      </c>
      <c r="B13" s="32">
        <v>80</v>
      </c>
      <c r="C13" s="32">
        <f t="shared" si="4"/>
        <v>760</v>
      </c>
      <c r="D13" s="13">
        <f t="shared" si="0"/>
        <v>12.666666666666666</v>
      </c>
      <c r="E13" s="99">
        <v>19.455137252807617</v>
      </c>
      <c r="F13" s="99">
        <v>19.628000259399414</v>
      </c>
      <c r="G13" s="99">
        <v>19.306064605712891</v>
      </c>
      <c r="H13" s="99">
        <f>E13-$H$64+$H$73</f>
        <v>19.400569880369936</v>
      </c>
      <c r="I13" s="99">
        <f>F13-$H$64+$H$73</f>
        <v>19.573432886961733</v>
      </c>
      <c r="J13" s="99">
        <f>G13-$H$64+$H$73</f>
        <v>19.251497233275209</v>
      </c>
      <c r="K13" s="104">
        <f>((H13-'Calibration R. intestinalis '!$D$45)/('Calibration R. intestinalis '!$D$44))+$B$24</f>
        <v>9.6611174599932799</v>
      </c>
      <c r="L13" s="104">
        <f>((I13-'Calibration R. intestinalis '!$D$45)/('Calibration R. intestinalis '!$D$44))+$B$24</f>
        <v>9.6143686684223582</v>
      </c>
      <c r="M13" s="104">
        <f>((J13-'Calibration R. intestinalis '!$D$45)/('Calibration R. intestinalis '!$D$44))+$B$24</f>
        <v>9.7014324252675657</v>
      </c>
      <c r="N13" s="105">
        <f t="shared" si="1"/>
        <v>9.658972851227734</v>
      </c>
      <c r="O13" s="105">
        <f t="shared" si="2"/>
        <v>4.3571480914335409E-2</v>
      </c>
      <c r="P13" s="100">
        <f>(AVERAGE(POWER(10,K13),POWER(10,L13),POWER(10,M13)))*Calculation!$I13/Calculation!$K12</f>
        <v>4853051736.8218307</v>
      </c>
      <c r="Q13" s="106">
        <f>(STDEV(POWER(10,K13),POWER(10,L13),POWER(10,M13)))*Calculation!$I13/Calculation!$K12</f>
        <v>484486825.35347998</v>
      </c>
      <c r="R13" s="105">
        <f t="shared" si="3"/>
        <v>9.6860149212135891</v>
      </c>
      <c r="S13" s="105">
        <f>O13*Calculation!$I13/Calculation!$K12</f>
        <v>4.6215968544870881E-2</v>
      </c>
    </row>
    <row r="14" spans="1:19">
      <c r="A14" s="40">
        <v>10</v>
      </c>
      <c r="B14" s="32">
        <v>80</v>
      </c>
      <c r="C14" s="32">
        <f t="shared" si="4"/>
        <v>840</v>
      </c>
      <c r="D14" s="13">
        <f t="shared" si="0"/>
        <v>14</v>
      </c>
      <c r="E14" s="99">
        <v>19.341464996337891</v>
      </c>
      <c r="F14" s="99">
        <v>19.547824859619141</v>
      </c>
      <c r="G14" s="99">
        <v>19.428230285644531</v>
      </c>
      <c r="H14" s="99">
        <f>E14-$H$64+$H$73</f>
        <v>19.286897623900209</v>
      </c>
      <c r="I14" s="99">
        <f>F14-$H$64+$H$73</f>
        <v>19.493257487181459</v>
      </c>
      <c r="J14" s="99">
        <f>G14-$H$64+$H$73</f>
        <v>19.37366291320685</v>
      </c>
      <c r="K14" s="104">
        <f>((H14-'Calibration R. intestinalis '!$D$45)/('Calibration R. intestinalis '!$D$44))+$B$24</f>
        <v>9.6918588009538027</v>
      </c>
      <c r="L14" s="104">
        <f>((I14-'Calibration R. intestinalis '!$D$45)/('Calibration R. intestinalis '!$D$44))+$B$24</f>
        <v>9.636051173704093</v>
      </c>
      <c r="M14" s="104">
        <f>((J14-'Calibration R. intestinalis '!$D$45)/('Calibration R. intestinalis '!$D$44))+$B$24</f>
        <v>9.6683941366201243</v>
      </c>
      <c r="N14" s="105">
        <f t="shared" si="1"/>
        <v>9.66543470375934</v>
      </c>
      <c r="O14" s="105">
        <f t="shared" si="2"/>
        <v>2.8021268653538003E-2</v>
      </c>
      <c r="P14" s="100">
        <f>(AVERAGE(POWER(10,K14),POWER(10,L14),POWER(10,M14)))*Calculation!$I14/Calculation!$K13</f>
        <v>4923652575.3649769</v>
      </c>
      <c r="Q14" s="106">
        <f>(STDEV(POWER(10,K14),POWER(10,L14),POWER(10,M14)))*Calculation!$I14/Calculation!$K13</f>
        <v>315909045.19467729</v>
      </c>
      <c r="R14" s="105">
        <f t="shared" si="3"/>
        <v>9.6922874004889437</v>
      </c>
      <c r="S14" s="105">
        <f>O14*Calculation!$I14/Calculation!$K13</f>
        <v>2.9767342963976168E-2</v>
      </c>
    </row>
    <row r="15" spans="1:19">
      <c r="A15" s="40">
        <v>11</v>
      </c>
      <c r="B15" s="32">
        <v>80</v>
      </c>
      <c r="C15" s="32">
        <f t="shared" si="4"/>
        <v>920</v>
      </c>
      <c r="D15" s="13">
        <f t="shared" si="0"/>
        <v>15.333333333333334</v>
      </c>
      <c r="E15" s="99">
        <v>19.608444213867188</v>
      </c>
      <c r="F15" s="99">
        <v>19.896257400512695</v>
      </c>
      <c r="G15" s="99">
        <v>19.573308944702148</v>
      </c>
      <c r="H15" s="99">
        <f>E15-$H$64+$H$73</f>
        <v>19.553876841429506</v>
      </c>
      <c r="I15" s="99">
        <f>F15-$H$64+$H$73</f>
        <v>19.841690028075014</v>
      </c>
      <c r="J15" s="99">
        <f>G15-$H$64+$H$73</f>
        <v>19.518741572264467</v>
      </c>
      <c r="K15" s="104">
        <f>((H15-'Calibration R. intestinalis '!$D$45)/('Calibration R. intestinalis '!$D$44))+$B$24</f>
        <v>9.6196573737073265</v>
      </c>
      <c r="L15" s="104">
        <f>((I15-'Calibration R. intestinalis '!$D$45)/('Calibration R. intestinalis '!$D$44))+$B$24</f>
        <v>9.5418216415912784</v>
      </c>
      <c r="M15" s="104">
        <f>((J15-'Calibration R. intestinalis '!$D$45)/('Calibration R. intestinalis '!$D$44))+$B$24</f>
        <v>9.6291592990027901</v>
      </c>
      <c r="N15" s="105">
        <f t="shared" si="1"/>
        <v>9.5968794381004638</v>
      </c>
      <c r="O15" s="105">
        <f t="shared" si="2"/>
        <v>4.7917557986769235E-2</v>
      </c>
      <c r="P15" s="100">
        <f>(AVERAGE(POWER(10,K15),POWER(10,L15),POWER(10,M15)))*Calculation!$I15/Calculation!$K14</f>
        <v>4222258763.742507</v>
      </c>
      <c r="Q15" s="106">
        <f>(STDEV(POWER(10,K15),POWER(10,L15),POWER(10,M15)))*Calculation!$I15/Calculation!$K14</f>
        <v>450824303.55579948</v>
      </c>
      <c r="R15" s="105">
        <f t="shared" si="3"/>
        <v>9.6255448457934722</v>
      </c>
      <c r="S15" s="105">
        <f>O15*Calculation!$I15/Calculation!$K14</f>
        <v>5.0984154124113959E-2</v>
      </c>
    </row>
    <row r="16" spans="1:19">
      <c r="A16" s="40">
        <v>12</v>
      </c>
      <c r="B16" s="32">
        <v>80</v>
      </c>
      <c r="C16" s="32">
        <f t="shared" si="4"/>
        <v>1000</v>
      </c>
      <c r="D16" s="13">
        <f t="shared" si="0"/>
        <v>16.666666666666668</v>
      </c>
      <c r="E16" s="99">
        <v>19.658931732177734</v>
      </c>
      <c r="F16" s="99">
        <v>19.785758972167969</v>
      </c>
      <c r="G16" s="99">
        <v>19.576187133789062</v>
      </c>
      <c r="H16" s="99">
        <f>E16-$H$64+$H$73</f>
        <v>19.604364359740053</v>
      </c>
      <c r="I16" s="99">
        <f>F16-$H$64+$H$73</f>
        <v>19.731191599730288</v>
      </c>
      <c r="J16" s="99">
        <f>G16-$H$64+$H$73</f>
        <v>19.521619761351381</v>
      </c>
      <c r="K16" s="104">
        <f>((H16-'Calibration R. intestinalis '!$D$45)/('Calibration R. intestinalis '!$D$44))+$B$24</f>
        <v>9.6060036110141525</v>
      </c>
      <c r="L16" s="104">
        <f>((I16-'Calibration R. intestinalis '!$D$45)/('Calibration R. intestinalis '!$D$44))+$B$24</f>
        <v>9.571704657613326</v>
      </c>
      <c r="M16" s="104">
        <f>((J16-'Calibration R. intestinalis '!$D$45)/('Calibration R. intestinalis '!$D$44))+$B$24</f>
        <v>9.6283809262070221</v>
      </c>
      <c r="N16" s="105">
        <f t="shared" si="1"/>
        <v>9.6020297316115002</v>
      </c>
      <c r="O16" s="105">
        <f t="shared" si="2"/>
        <v>2.854634203459901E-2</v>
      </c>
      <c r="P16" s="100">
        <f>(AVERAGE(POWER(10,K16),POWER(10,L16),POWER(10,M16)))*Calculation!$I16/Calculation!$K15</f>
        <v>4265324382.7015095</v>
      </c>
      <c r="Q16" s="106">
        <f>(STDEV(POWER(10,K16),POWER(10,L16),POWER(10,M16)))*Calculation!$I16/Calculation!$K15</f>
        <v>278320704.23997217</v>
      </c>
      <c r="R16" s="105">
        <f t="shared" si="3"/>
        <v>9.6299520653418078</v>
      </c>
      <c r="S16" s="105">
        <f>O16*Calculation!$I16/Calculation!$K15</f>
        <v>3.0398375328073678E-2</v>
      </c>
    </row>
    <row r="17" spans="1:19">
      <c r="A17" s="40">
        <v>13</v>
      </c>
      <c r="B17" s="32">
        <v>80</v>
      </c>
      <c r="C17" s="32">
        <f t="shared" si="4"/>
        <v>1080</v>
      </c>
      <c r="D17" s="13">
        <f t="shared" si="0"/>
        <v>18</v>
      </c>
      <c r="E17" s="99">
        <v>19.85053825378418</v>
      </c>
      <c r="F17" s="99">
        <v>19.902685165405273</v>
      </c>
      <c r="G17" s="99">
        <v>19.58586311340332</v>
      </c>
      <c r="H17" s="99">
        <f>E17-$H$64+$H$73</f>
        <v>19.795970881346499</v>
      </c>
      <c r="I17" s="99">
        <f>F17-$H$64+$H$73</f>
        <v>19.848117792967592</v>
      </c>
      <c r="J17" s="99">
        <f>G17-$H$64+$H$73</f>
        <v>19.531295740965639</v>
      </c>
      <c r="K17" s="104">
        <f>((H17-'Calibration R. intestinalis '!$D$45)/('Calibration R. intestinalis '!$D$44))+$B$24</f>
        <v>9.5541858535956372</v>
      </c>
      <c r="L17" s="104">
        <f>((I17-'Calibration R. intestinalis '!$D$45)/('Calibration R. intestinalis '!$D$44))+$B$24</f>
        <v>9.5400833272627565</v>
      </c>
      <c r="M17" s="104">
        <f>((J17-'Calibration R. intestinalis '!$D$45)/('Calibration R. intestinalis '!$D$44))+$B$24</f>
        <v>9.625764169949278</v>
      </c>
      <c r="N17" s="105">
        <f t="shared" si="1"/>
        <v>9.5733444502692233</v>
      </c>
      <c r="O17" s="105">
        <f t="shared" si="2"/>
        <v>4.5941164229305109E-2</v>
      </c>
      <c r="P17" s="100">
        <f>(AVERAGE(POWER(10,K17),POWER(10,L17),POWER(10,M17)))*Calculation!$I17/Calculation!$K16</f>
        <v>4002139495.6772423</v>
      </c>
      <c r="Q17" s="106">
        <f>(STDEV(POWER(10,K17),POWER(10,L17),POWER(10,M17)))*Calculation!$I17/Calculation!$K16</f>
        <v>434127225.98916858</v>
      </c>
      <c r="R17" s="105">
        <f t="shared" si="3"/>
        <v>9.6022922220180984</v>
      </c>
      <c r="S17" s="105">
        <f>O17*Calculation!$I17/Calculation!$K16</f>
        <v>4.8921741060849254E-2</v>
      </c>
    </row>
    <row r="18" spans="1:19">
      <c r="A18" s="40">
        <v>14</v>
      </c>
      <c r="B18" s="32">
        <v>360</v>
      </c>
      <c r="C18" s="32">
        <f t="shared" si="4"/>
        <v>1440</v>
      </c>
      <c r="D18" s="13">
        <f t="shared" si="0"/>
        <v>24</v>
      </c>
      <c r="E18" s="99">
        <v>19.353395462036133</v>
      </c>
      <c r="F18" s="99">
        <v>19.334245681762695</v>
      </c>
      <c r="G18" s="99">
        <v>19.094612121582031</v>
      </c>
      <c r="H18" s="99">
        <f>E18-$H$64+$H$73</f>
        <v>19.298828089598452</v>
      </c>
      <c r="I18" s="99">
        <f>F18-$H$64+$H$73</f>
        <v>19.279678309325014</v>
      </c>
      <c r="J18" s="99">
        <f>G18-$H$64+$H$73</f>
        <v>19.04004474914435</v>
      </c>
      <c r="K18" s="104">
        <f>((H18-'Calibration R. intestinalis '!$D$45)/('Calibration R. intestinalis '!$D$44))+$B$24</f>
        <v>9.6886323451303884</v>
      </c>
      <c r="L18" s="104">
        <f>((I18-'Calibration R. intestinalis '!$D$45)/('Calibration R. intestinalis '!$D$44))+$B$24</f>
        <v>9.6938111806966685</v>
      </c>
      <c r="M18" s="104">
        <f>((J18-'Calibration R. intestinalis '!$D$45)/('Calibration R. intestinalis '!$D$44))+$B$24</f>
        <v>9.7586172926529287</v>
      </c>
      <c r="N18" s="105">
        <f t="shared" si="1"/>
        <v>9.7136869394933285</v>
      </c>
      <c r="O18" s="105">
        <f t="shared" si="2"/>
        <v>3.8996891680497241E-2</v>
      </c>
      <c r="P18" s="100">
        <f>(AVERAGE(POWER(10,K18),POWER(10,L18),POWER(10,M18)))*Calculation!$I18/Calculation!$K17</f>
        <v>5527918734.6718264</v>
      </c>
      <c r="Q18" s="106">
        <f>(STDEV(POWER(10,K18),POWER(10,L18),POWER(10,M18)))*Calculation!$I18/Calculation!$K17</f>
        <v>508281527.73071384</v>
      </c>
      <c r="R18" s="105">
        <f t="shared" si="3"/>
        <v>9.7425616498974339</v>
      </c>
      <c r="S18" s="105">
        <f>O18*Calculation!$I18/Calculation!$K17</f>
        <v>4.1564114298110744E-2</v>
      </c>
    </row>
    <row r="19" spans="1:19">
      <c r="A19" s="40">
        <v>15</v>
      </c>
      <c r="B19" s="32">
        <v>360</v>
      </c>
      <c r="C19" s="32">
        <f>C18+B19</f>
        <v>1800</v>
      </c>
      <c r="D19" s="13">
        <f t="shared" si="0"/>
        <v>30</v>
      </c>
      <c r="E19" s="99">
        <v>20.098348617553711</v>
      </c>
      <c r="F19" s="99">
        <v>20.267522811889648</v>
      </c>
      <c r="G19" s="99">
        <v>20.59703254699707</v>
      </c>
      <c r="H19" s="99">
        <f>E19-$H$64+$H$73</f>
        <v>20.04378124511603</v>
      </c>
      <c r="I19" s="99">
        <f>F19-$H$64+$H$73</f>
        <v>20.212955439451967</v>
      </c>
      <c r="J19" s="99">
        <f>G19-$H$64+$H$73</f>
        <v>20.542465174559389</v>
      </c>
      <c r="K19" s="104">
        <f>((H19-'Calibration R. intestinalis '!$D$45)/('Calibration R. intestinalis '!$D$44))+$B$24</f>
        <v>9.4871684201181967</v>
      </c>
      <c r="L19" s="104">
        <f>((I19-'Calibration R. intestinalis '!$D$45)/('Calibration R. intestinalis '!$D$44))+$B$24</f>
        <v>9.4414172249601425</v>
      </c>
      <c r="M19" s="104">
        <f>((J19-'Calibration R. intestinalis '!$D$45)/('Calibration R. intestinalis '!$D$44))+$B$24</f>
        <v>9.3523051458008215</v>
      </c>
      <c r="N19" s="105">
        <f t="shared" si="1"/>
        <v>9.4269635969597214</v>
      </c>
      <c r="O19" s="105">
        <f t="shared" si="2"/>
        <v>6.8583571004154062E-2</v>
      </c>
      <c r="P19" s="100">
        <f>(AVERAGE(POWER(10,K19),POWER(10,L19),POWER(10,M19)))*Calculation!$I19/Calculation!$K18</f>
        <v>2872088594.9517484</v>
      </c>
      <c r="Q19" s="106">
        <f>(STDEV(POWER(10,K19),POWER(10,L19),POWER(10,M19)))*Calculation!$I19/Calculation!$K18</f>
        <v>441323378.85326874</v>
      </c>
      <c r="R19" s="105">
        <f t="shared" si="3"/>
        <v>9.4581978324035578</v>
      </c>
      <c r="S19" s="105">
        <f>O19*Calculation!$I19/Calculation!$K18</f>
        <v>7.3098528147946637E-2</v>
      </c>
    </row>
    <row r="20" spans="1:19">
      <c r="A20" s="40">
        <v>16</v>
      </c>
      <c r="B20" s="32">
        <v>1080</v>
      </c>
      <c r="C20" s="32">
        <f>C19+B20</f>
        <v>2880</v>
      </c>
      <c r="D20" s="13">
        <f t="shared" si="0"/>
        <v>48</v>
      </c>
      <c r="E20" s="99">
        <v>21.069149017333984</v>
      </c>
      <c r="F20" s="99">
        <v>21.737356185913086</v>
      </c>
      <c r="G20" s="99">
        <v>22.472433090209961</v>
      </c>
      <c r="H20" s="99">
        <f>E20-$H$64+$H$73</f>
        <v>21.014581644896303</v>
      </c>
      <c r="I20" s="99">
        <f>F20-$H$64+$H$73</f>
        <v>21.682788813475405</v>
      </c>
      <c r="J20" s="99">
        <f>G20-$H$64+$H$73</f>
        <v>22.41786571777228</v>
      </c>
      <c r="K20" s="104">
        <f>((H20-'Calibration R. intestinalis '!$D$45)/('Calibration R. intestinalis '!$D$44))+$B$24</f>
        <v>9.2246267321012478</v>
      </c>
      <c r="L20" s="104">
        <f>((I20-'Calibration R. intestinalis '!$D$45)/('Calibration R. intestinalis '!$D$44))+$B$24</f>
        <v>9.0439178675153968</v>
      </c>
      <c r="M20" s="104">
        <f>((J20-'Calibration R. intestinalis '!$D$45)/('Calibration R. intestinalis '!$D$44))+$B$24</f>
        <v>8.8451248598898786</v>
      </c>
      <c r="N20" s="105">
        <f t="shared" si="1"/>
        <v>9.0378898198355078</v>
      </c>
      <c r="O20" s="105">
        <f t="shared" si="2"/>
        <v>0.18982273512966477</v>
      </c>
      <c r="P20" s="100">
        <f>(AVERAGE(POWER(10,K20),POWER(10,L20),POWER(10,M20)))*Calculation!$I20/Calculation!$K19</f>
        <v>1238965421.3092542</v>
      </c>
      <c r="Q20" s="106">
        <f>(STDEV(POWER(10,K20),POWER(10,L20),POWER(10,M20)))*Calculation!$I20/Calculation!$K19</f>
        <v>523810056.35135132</v>
      </c>
      <c r="R20" s="105">
        <f t="shared" si="3"/>
        <v>9.0930591856786123</v>
      </c>
      <c r="S20" s="105">
        <f>O20*Calculation!$I20/Calculation!$K19</f>
        <v>0.20252238012149745</v>
      </c>
    </row>
    <row r="21" spans="1:19">
      <c r="A21" s="10"/>
      <c r="B21" s="10"/>
      <c r="C21" s="10"/>
      <c r="D21" s="108"/>
    </row>
    <row r="24" spans="1:19">
      <c r="A24" s="102" t="s">
        <v>236</v>
      </c>
      <c r="B24" s="109">
        <f>LOG(B25)</f>
        <v>3.6532125137753435</v>
      </c>
    </row>
    <row r="25" spans="1:19">
      <c r="A25" s="85" t="s">
        <v>237</v>
      </c>
      <c r="B25" s="85">
        <f>20*1800/4/2</f>
        <v>4500</v>
      </c>
    </row>
    <row r="26" spans="1:19">
      <c r="E26" s="148" t="s">
        <v>220</v>
      </c>
      <c r="F26" s="148"/>
      <c r="G26" s="148"/>
      <c r="H26" s="148"/>
    </row>
    <row r="27" spans="1:19">
      <c r="A27" s="98" t="s">
        <v>238</v>
      </c>
      <c r="B27" s="98" t="s">
        <v>239</v>
      </c>
      <c r="E27" s="99">
        <v>15.713388442993164</v>
      </c>
      <c r="F27" s="99">
        <v>15.726656913757324</v>
      </c>
      <c r="G27" s="99">
        <v>15.612536430358887</v>
      </c>
      <c r="H27" s="110">
        <f>AVERAGE(E27:G27)</f>
        <v>15.684193929036459</v>
      </c>
    </row>
    <row r="28" spans="1:19">
      <c r="A28" s="98" t="s">
        <v>238</v>
      </c>
      <c r="B28" s="98" t="s">
        <v>240</v>
      </c>
      <c r="E28" s="111">
        <v>15.18875789642334</v>
      </c>
      <c r="F28" s="110">
        <v>15.280285835266113</v>
      </c>
      <c r="G28" s="110">
        <v>15.261421203613281</v>
      </c>
      <c r="H28" s="110">
        <f t="shared" ref="H28:H63" si="5">AVERAGE(E28:G28)</f>
        <v>15.243488311767578</v>
      </c>
    </row>
    <row r="29" spans="1:19">
      <c r="A29" s="98" t="s">
        <v>238</v>
      </c>
      <c r="B29" s="98" t="s">
        <v>241</v>
      </c>
      <c r="E29" s="111">
        <v>15.903929710388184</v>
      </c>
      <c r="F29" s="110">
        <v>15.71695613861084</v>
      </c>
      <c r="G29" s="110">
        <v>15.745060920715332</v>
      </c>
      <c r="H29" s="110">
        <f t="shared" si="5"/>
        <v>15.788648923238119</v>
      </c>
    </row>
    <row r="30" spans="1:19">
      <c r="A30" s="98" t="s">
        <v>238</v>
      </c>
      <c r="B30" s="98" t="s">
        <v>242</v>
      </c>
      <c r="E30" s="111">
        <v>15.95374870300293</v>
      </c>
      <c r="F30" s="110">
        <v>15.781205177307129</v>
      </c>
      <c r="G30" s="110">
        <v>15.694306373596191</v>
      </c>
      <c r="H30" s="110">
        <f t="shared" si="5"/>
        <v>15.80975341796875</v>
      </c>
    </row>
    <row r="31" spans="1:19">
      <c r="A31" s="98" t="s">
        <v>243</v>
      </c>
      <c r="B31" s="98" t="s">
        <v>244</v>
      </c>
      <c r="E31" s="111">
        <v>15.793012619018555</v>
      </c>
      <c r="F31" s="110">
        <v>15.662893295288086</v>
      </c>
      <c r="G31" s="110">
        <v>15.729142189025879</v>
      </c>
      <c r="H31" s="110">
        <f t="shared" si="5"/>
        <v>15.728349367777506</v>
      </c>
    </row>
    <row r="32" spans="1:19">
      <c r="A32" s="98" t="s">
        <v>243</v>
      </c>
      <c r="B32" s="98" t="s">
        <v>245</v>
      </c>
      <c r="E32" s="111">
        <v>15.790358543395996</v>
      </c>
      <c r="F32" s="110">
        <v>15.747311592102051</v>
      </c>
      <c r="G32" s="110">
        <v>15.724276542663574</v>
      </c>
      <c r="H32" s="110">
        <f t="shared" si="5"/>
        <v>15.753982226053873</v>
      </c>
    </row>
    <row r="33" spans="1:8">
      <c r="A33" s="98" t="s">
        <v>243</v>
      </c>
      <c r="B33" s="98" t="s">
        <v>245</v>
      </c>
      <c r="E33" s="111">
        <v>15.449001312255859</v>
      </c>
      <c r="F33" s="110">
        <v>15.556774139404297</v>
      </c>
      <c r="G33" s="110">
        <v>15.49962043762207</v>
      </c>
      <c r="H33" s="110">
        <f t="shared" si="5"/>
        <v>15.501798629760742</v>
      </c>
    </row>
    <row r="34" spans="1:8">
      <c r="A34" s="98" t="s">
        <v>243</v>
      </c>
      <c r="B34" s="98" t="s">
        <v>246</v>
      </c>
      <c r="E34" s="111">
        <v>15.347023010253906</v>
      </c>
      <c r="F34" s="110">
        <v>15.780600547790527</v>
      </c>
      <c r="G34" s="110">
        <v>15.718053817749023</v>
      </c>
      <c r="H34" s="110">
        <f t="shared" si="5"/>
        <v>15.615225791931152</v>
      </c>
    </row>
    <row r="35" spans="1:8">
      <c r="A35" s="98" t="s">
        <v>247</v>
      </c>
      <c r="B35" s="98" t="s">
        <v>246</v>
      </c>
      <c r="E35" s="111">
        <v>15.825298309326172</v>
      </c>
      <c r="F35" s="110">
        <v>15.804603576660156</v>
      </c>
      <c r="G35" s="110">
        <v>15.760408401489258</v>
      </c>
      <c r="H35" s="110">
        <f t="shared" si="5"/>
        <v>15.796770095825195</v>
      </c>
    </row>
    <row r="36" spans="1:8">
      <c r="A36" s="98" t="s">
        <v>247</v>
      </c>
      <c r="B36" s="98" t="s">
        <v>248</v>
      </c>
      <c r="E36" s="111">
        <v>15.800871849060059</v>
      </c>
      <c r="F36" s="110">
        <v>15.699575424194336</v>
      </c>
      <c r="G36" s="110">
        <v>15.968178749084473</v>
      </c>
      <c r="H36" s="110">
        <f t="shared" si="5"/>
        <v>15.822875340779623</v>
      </c>
    </row>
    <row r="37" spans="1:8">
      <c r="A37" s="98" t="s">
        <v>247</v>
      </c>
      <c r="B37" s="98" t="s">
        <v>248</v>
      </c>
      <c r="E37" s="111">
        <v>15.717584609985352</v>
      </c>
      <c r="F37" s="110">
        <v>15.693602561950684</v>
      </c>
      <c r="G37" s="110">
        <v>15.63984489440918</v>
      </c>
      <c r="H37" s="110">
        <f t="shared" si="5"/>
        <v>15.683677355448404</v>
      </c>
    </row>
    <row r="38" spans="1:8">
      <c r="A38" s="98" t="s">
        <v>247</v>
      </c>
      <c r="B38" s="98" t="s">
        <v>248</v>
      </c>
      <c r="E38" s="111">
        <v>15.61665153503418</v>
      </c>
      <c r="F38" s="110">
        <v>15.740999221801758</v>
      </c>
      <c r="G38" s="110">
        <v>15.586724281311035</v>
      </c>
      <c r="H38" s="110">
        <f t="shared" si="5"/>
        <v>15.648125012715658</v>
      </c>
    </row>
    <row r="39" spans="1:8">
      <c r="A39" s="98" t="s">
        <v>249</v>
      </c>
      <c r="B39" s="98" t="s">
        <v>250</v>
      </c>
      <c r="E39" s="111">
        <v>15.755837440490723</v>
      </c>
      <c r="F39" s="110">
        <v>15.457893371582031</v>
      </c>
      <c r="G39" s="110">
        <v>15.691001892089844</v>
      </c>
      <c r="H39" s="110">
        <f t="shared" si="5"/>
        <v>15.634910901387533</v>
      </c>
    </row>
    <row r="40" spans="1:8">
      <c r="A40" s="98" t="s">
        <v>249</v>
      </c>
      <c r="B40" s="98" t="s">
        <v>250</v>
      </c>
      <c r="E40" s="111">
        <v>15.560844421386719</v>
      </c>
      <c r="F40" s="110">
        <v>15.738679885864258</v>
      </c>
      <c r="G40" s="110">
        <v>15.730792999267578</v>
      </c>
      <c r="H40" s="110">
        <f t="shared" si="5"/>
        <v>15.676772435506185</v>
      </c>
    </row>
    <row r="41" spans="1:8">
      <c r="A41" s="98" t="s">
        <v>249</v>
      </c>
      <c r="B41" s="98" t="s">
        <v>251</v>
      </c>
      <c r="E41" s="111">
        <v>15.789995193481445</v>
      </c>
      <c r="F41" s="110">
        <v>15.670146942138672</v>
      </c>
      <c r="G41" s="110">
        <v>15.804409980773926</v>
      </c>
      <c r="H41" s="110">
        <f t="shared" si="5"/>
        <v>15.754850705464682</v>
      </c>
    </row>
    <row r="42" spans="1:8">
      <c r="A42" s="98" t="s">
        <v>249</v>
      </c>
      <c r="B42" s="98" t="s">
        <v>252</v>
      </c>
      <c r="E42" s="111">
        <v>15.759750366210938</v>
      </c>
      <c r="F42" s="110">
        <v>15.668698310852051</v>
      </c>
      <c r="G42" s="110">
        <v>15.640106201171875</v>
      </c>
      <c r="H42" s="110">
        <f t="shared" si="5"/>
        <v>15.689518292744955</v>
      </c>
    </row>
    <row r="43" spans="1:8">
      <c r="A43" s="98" t="s">
        <v>253</v>
      </c>
      <c r="B43" s="98" t="s">
        <v>254</v>
      </c>
      <c r="E43" s="111">
        <v>15.258575439453125</v>
      </c>
      <c r="F43" s="110">
        <v>15.478802680969238</v>
      </c>
      <c r="G43" s="110">
        <v>15.974754333496094</v>
      </c>
      <c r="H43" s="110">
        <f t="shared" si="5"/>
        <v>15.570710817972818</v>
      </c>
    </row>
    <row r="44" spans="1:8">
      <c r="A44" s="98" t="s">
        <v>253</v>
      </c>
      <c r="B44" s="98" t="s">
        <v>255</v>
      </c>
      <c r="E44" s="111">
        <v>15.35291576385498</v>
      </c>
      <c r="F44" s="110">
        <v>15.170954704284668</v>
      </c>
      <c r="G44" s="110">
        <v>15.236812591552734</v>
      </c>
      <c r="H44" s="110">
        <f t="shared" si="5"/>
        <v>15.253561019897461</v>
      </c>
    </row>
    <row r="45" spans="1:8">
      <c r="A45" s="98" t="s">
        <v>253</v>
      </c>
      <c r="B45" s="98" t="s">
        <v>297</v>
      </c>
      <c r="E45" s="111">
        <v>15.810567855834961</v>
      </c>
      <c r="F45" s="110">
        <v>15.790656089782715</v>
      </c>
      <c r="G45" s="110">
        <v>15.956247329711914</v>
      </c>
      <c r="H45" s="110">
        <f t="shared" si="5"/>
        <v>15.852490425109863</v>
      </c>
    </row>
    <row r="46" spans="1:8">
      <c r="A46" s="98" t="s">
        <v>253</v>
      </c>
      <c r="B46" s="98" t="s">
        <v>300</v>
      </c>
      <c r="E46" s="111">
        <v>15.760116577148438</v>
      </c>
      <c r="F46" s="110">
        <v>15.89314079284668</v>
      </c>
      <c r="G46" s="110">
        <v>15.903885841369629</v>
      </c>
      <c r="H46" s="110">
        <f t="shared" si="5"/>
        <v>15.852381070454916</v>
      </c>
    </row>
    <row r="47" spans="1:8">
      <c r="A47" s="98" t="s">
        <v>301</v>
      </c>
      <c r="B47" s="98" t="s">
        <v>302</v>
      </c>
      <c r="E47" s="111">
        <v>15.956473350524902</v>
      </c>
      <c r="F47" s="110">
        <v>15.595272064208984</v>
      </c>
      <c r="G47" s="110">
        <v>15.919502258300781</v>
      </c>
      <c r="H47" s="110">
        <f t="shared" si="5"/>
        <v>15.823749224344889</v>
      </c>
    </row>
    <row r="48" spans="1:8">
      <c r="A48" s="98" t="s">
        <v>301</v>
      </c>
      <c r="B48" s="98" t="s">
        <v>303</v>
      </c>
      <c r="E48" s="111">
        <v>15.711461067199707</v>
      </c>
      <c r="F48" s="110">
        <v>15.73438835144043</v>
      </c>
      <c r="G48" s="110">
        <v>15.689187049865723</v>
      </c>
      <c r="H48" s="110">
        <f t="shared" si="5"/>
        <v>15.711678822835287</v>
      </c>
    </row>
    <row r="49" spans="1:8">
      <c r="A49" s="98" t="s">
        <v>301</v>
      </c>
      <c r="B49" s="98" t="s">
        <v>304</v>
      </c>
      <c r="E49" s="111">
        <v>15.574808120727539</v>
      </c>
      <c r="F49" s="110">
        <v>15.501856803894043</v>
      </c>
      <c r="G49" s="110">
        <v>15.596255302429199</v>
      </c>
      <c r="H49" s="110">
        <f t="shared" si="5"/>
        <v>15.557640075683594</v>
      </c>
    </row>
    <row r="50" spans="1:8">
      <c r="A50" s="98" t="s">
        <v>301</v>
      </c>
      <c r="B50" s="98" t="s">
        <v>305</v>
      </c>
      <c r="E50" s="111">
        <v>15.60640811920166</v>
      </c>
      <c r="F50" s="110">
        <v>15.595258712768555</v>
      </c>
      <c r="G50" s="110">
        <v>15.58064079284668</v>
      </c>
      <c r="H50" s="110">
        <f t="shared" si="5"/>
        <v>15.594102541605631</v>
      </c>
    </row>
    <row r="51" spans="1:8">
      <c r="A51" s="98" t="s">
        <v>306</v>
      </c>
      <c r="B51" s="98" t="s">
        <v>307</v>
      </c>
      <c r="E51" s="111">
        <v>15.40764331817627</v>
      </c>
      <c r="F51" s="110">
        <v>15.702505111694336</v>
      </c>
      <c r="G51" s="110">
        <v>15.805522918701172</v>
      </c>
      <c r="H51" s="110">
        <f t="shared" si="5"/>
        <v>15.638557116190592</v>
      </c>
    </row>
    <row r="52" spans="1:8">
      <c r="A52" s="61" t="s">
        <v>306</v>
      </c>
      <c r="B52" s="61" t="s">
        <v>308</v>
      </c>
      <c r="C52" s="61"/>
      <c r="D52" s="61"/>
      <c r="E52" s="111">
        <v>15.5</v>
      </c>
      <c r="F52" s="110">
        <v>15.5</v>
      </c>
      <c r="G52" s="110">
        <v>15.4</v>
      </c>
      <c r="H52" s="110">
        <f t="shared" si="5"/>
        <v>15.466666666666667</v>
      </c>
    </row>
    <row r="53" spans="1:8">
      <c r="A53" s="61" t="s">
        <v>306</v>
      </c>
      <c r="B53" s="61" t="s">
        <v>308</v>
      </c>
      <c r="C53" s="61"/>
      <c r="D53" s="61"/>
      <c r="E53" s="125">
        <v>15.8</v>
      </c>
      <c r="F53" s="126">
        <v>15.4</v>
      </c>
      <c r="G53" s="126">
        <v>15.4</v>
      </c>
      <c r="H53" s="110">
        <f t="shared" si="5"/>
        <v>15.533333333333333</v>
      </c>
    </row>
    <row r="54" spans="1:8">
      <c r="A54" s="61" t="s">
        <v>306</v>
      </c>
      <c r="B54" s="61" t="s">
        <v>309</v>
      </c>
      <c r="C54" s="61"/>
      <c r="D54" s="61"/>
      <c r="E54" s="125">
        <v>15.6</v>
      </c>
      <c r="F54" s="126">
        <v>15.5</v>
      </c>
      <c r="G54" s="126">
        <v>15.6</v>
      </c>
      <c r="H54" s="110">
        <f t="shared" si="5"/>
        <v>15.566666666666668</v>
      </c>
    </row>
    <row r="55" spans="1:8">
      <c r="A55" s="61" t="s">
        <v>310</v>
      </c>
      <c r="B55" s="61" t="s">
        <v>311</v>
      </c>
      <c r="C55" s="61"/>
      <c r="D55" s="61"/>
      <c r="E55" s="125">
        <v>15.6</v>
      </c>
      <c r="F55" s="126">
        <v>15.6</v>
      </c>
      <c r="G55" s="126">
        <v>15.8</v>
      </c>
      <c r="H55" s="110">
        <f t="shared" si="5"/>
        <v>15.666666666666666</v>
      </c>
    </row>
    <row r="56" spans="1:8">
      <c r="A56" s="61" t="s">
        <v>310</v>
      </c>
      <c r="B56" s="61" t="s">
        <v>311</v>
      </c>
      <c r="C56" s="61"/>
      <c r="D56" s="61"/>
      <c r="E56" s="125">
        <v>15.577789306640625</v>
      </c>
      <c r="F56" s="126">
        <v>15.603015899658203</v>
      </c>
      <c r="G56" s="126">
        <v>15.626909255981445</v>
      </c>
      <c r="H56" s="110">
        <f t="shared" si="5"/>
        <v>15.602571487426758</v>
      </c>
    </row>
    <row r="57" spans="1:8">
      <c r="A57" s="98" t="s">
        <v>310</v>
      </c>
      <c r="B57" s="98" t="s">
        <v>312</v>
      </c>
      <c r="E57" s="125">
        <v>15.925136566162109</v>
      </c>
      <c r="F57" s="126"/>
      <c r="G57" s="126">
        <v>15.940312385559082</v>
      </c>
      <c r="H57" s="110">
        <f t="shared" si="5"/>
        <v>15.932724475860596</v>
      </c>
    </row>
    <row r="58" spans="1:8">
      <c r="A58" s="98" t="s">
        <v>310</v>
      </c>
      <c r="B58" s="98" t="s">
        <v>312</v>
      </c>
      <c r="E58" s="111">
        <v>15.2</v>
      </c>
      <c r="F58" s="110">
        <v>15.3</v>
      </c>
      <c r="G58" s="110">
        <v>15.4</v>
      </c>
      <c r="H58" s="110">
        <f t="shared" si="5"/>
        <v>15.299999999999999</v>
      </c>
    </row>
    <row r="59" spans="1:8">
      <c r="A59" s="98" t="s">
        <v>313</v>
      </c>
      <c r="B59" s="98" t="s">
        <v>314</v>
      </c>
      <c r="E59" s="111">
        <v>15.989936828613281</v>
      </c>
      <c r="F59" s="110">
        <v>15.856328964233398</v>
      </c>
      <c r="G59" s="110">
        <v>15.836997985839844</v>
      </c>
      <c r="H59" s="110">
        <f t="shared" si="5"/>
        <v>15.894421259562174</v>
      </c>
    </row>
    <row r="60" spans="1:8">
      <c r="A60" s="98" t="s">
        <v>313</v>
      </c>
      <c r="B60" s="98" t="s">
        <v>340</v>
      </c>
      <c r="E60" s="111">
        <v>15.699069023132324</v>
      </c>
      <c r="F60" s="110">
        <v>15.817172050476074</v>
      </c>
      <c r="G60" s="110">
        <v>16.075807571411133</v>
      </c>
      <c r="H60" s="110">
        <f t="shared" si="5"/>
        <v>15.86401621500651</v>
      </c>
    </row>
    <row r="61" spans="1:8">
      <c r="A61" s="98" t="s">
        <v>313</v>
      </c>
      <c r="B61" s="98" t="s">
        <v>341</v>
      </c>
      <c r="E61" s="111">
        <v>14.193151473999023</v>
      </c>
      <c r="F61" s="110">
        <v>14.592436790466309</v>
      </c>
      <c r="G61" s="110">
        <v>14.826726913452148</v>
      </c>
      <c r="H61" s="110">
        <f t="shared" si="5"/>
        <v>14.53743839263916</v>
      </c>
    </row>
    <row r="62" spans="1:8">
      <c r="A62" s="98" t="s">
        <v>342</v>
      </c>
      <c r="B62" s="98" t="s">
        <v>341</v>
      </c>
      <c r="E62" s="111">
        <v>15.753643035888672</v>
      </c>
      <c r="F62" s="110">
        <v>15.53950309753418</v>
      </c>
      <c r="G62" s="110">
        <v>16.160148620605469</v>
      </c>
      <c r="H62" s="110">
        <f t="shared" si="5"/>
        <v>15.81776491800944</v>
      </c>
    </row>
    <row r="63" spans="1:8">
      <c r="A63" s="98" t="s">
        <v>342</v>
      </c>
      <c r="B63" s="98" t="s">
        <v>343</v>
      </c>
      <c r="E63" s="111">
        <v>16.152790069580078</v>
      </c>
      <c r="F63" s="110">
        <v>15.918967247009277</v>
      </c>
      <c r="G63" s="110">
        <v>16.004350662231445</v>
      </c>
      <c r="H63" s="110">
        <f t="shared" si="5"/>
        <v>16.025369326273601</v>
      </c>
    </row>
    <row r="64" spans="1:8">
      <c r="A64" s="98" t="s">
        <v>342</v>
      </c>
      <c r="B64" s="98" t="s">
        <v>344</v>
      </c>
      <c r="E64" s="111">
        <v>15.725796699523926</v>
      </c>
      <c r="F64" s="110">
        <v>15.72511100769043</v>
      </c>
      <c r="G64" s="110">
        <v>15.700724601745605</v>
      </c>
      <c r="H64" s="110">
        <f>AVERAGE(E64:G64)</f>
        <v>15.71721076965332</v>
      </c>
    </row>
    <row r="65" spans="1:8">
      <c r="A65" s="98" t="s">
        <v>342</v>
      </c>
      <c r="B65" s="98" t="s">
        <v>354</v>
      </c>
      <c r="E65" s="111">
        <v>15.868610382080078</v>
      </c>
      <c r="F65" s="110">
        <v>15.950244903564453</v>
      </c>
      <c r="G65" s="110">
        <v>15.73750114440918</v>
      </c>
      <c r="H65" s="110">
        <f t="shared" ref="H65:H70" si="6">AVERAGE(E65:G65)</f>
        <v>15.852118810017904</v>
      </c>
    </row>
    <row r="66" spans="1:8">
      <c r="A66" s="98" t="s">
        <v>342</v>
      </c>
      <c r="B66" s="98" t="s">
        <v>354</v>
      </c>
      <c r="E66" s="111">
        <v>15.411773681640625</v>
      </c>
      <c r="F66" s="110">
        <v>15.347482681274414</v>
      </c>
      <c r="G66" s="110">
        <v>15.357060432434082</v>
      </c>
      <c r="H66" s="110">
        <f t="shared" si="6"/>
        <v>15.372105598449707</v>
      </c>
    </row>
    <row r="67" spans="1:8">
      <c r="A67" s="98" t="s">
        <v>238</v>
      </c>
      <c r="B67" s="98" t="s">
        <v>355</v>
      </c>
      <c r="E67" s="111">
        <v>15.701089859008789</v>
      </c>
      <c r="F67" s="110">
        <v>15.69521427154541</v>
      </c>
      <c r="G67" s="110">
        <v>15.858868598937988</v>
      </c>
      <c r="H67" s="110">
        <f t="shared" si="6"/>
        <v>15.751724243164062</v>
      </c>
    </row>
    <row r="68" spans="1:8">
      <c r="A68" s="98" t="s">
        <v>238</v>
      </c>
      <c r="B68" s="98" t="s">
        <v>356</v>
      </c>
      <c r="E68" s="111">
        <v>15.664003372192383</v>
      </c>
      <c r="F68" s="110">
        <v>15.706714630126953</v>
      </c>
      <c r="G68" s="110">
        <v>15.883712768554688</v>
      </c>
      <c r="H68" s="110">
        <f t="shared" si="6"/>
        <v>15.751476923624674</v>
      </c>
    </row>
    <row r="69" spans="1:8">
      <c r="A69" s="98" t="s">
        <v>238</v>
      </c>
      <c r="B69" s="98" t="s">
        <v>356</v>
      </c>
      <c r="E69" s="111">
        <v>15.815454483032227</v>
      </c>
      <c r="F69" s="110">
        <v>15.873584747314453</v>
      </c>
      <c r="G69" s="110">
        <v>15.955685615539551</v>
      </c>
      <c r="H69" s="110">
        <f>AVERAGE(E69:G69)</f>
        <v>15.881574948628744</v>
      </c>
    </row>
    <row r="70" spans="1:8">
      <c r="A70" s="98" t="s">
        <v>238</v>
      </c>
      <c r="B70" s="98" t="s">
        <v>357</v>
      </c>
      <c r="E70" s="111">
        <v>15.894612312316895</v>
      </c>
      <c r="F70" s="110">
        <v>15.946266174316406</v>
      </c>
      <c r="G70" s="110">
        <v>15.963062286376953</v>
      </c>
      <c r="H70" s="110">
        <f>AVERAGE(E70:G70)</f>
        <v>15.934646924336752</v>
      </c>
    </row>
    <row r="71" spans="1:8">
      <c r="A71" s="98"/>
      <c r="B71" s="98"/>
      <c r="E71"/>
      <c r="H71" s="112"/>
    </row>
    <row r="72" spans="1:8">
      <c r="A72" s="98"/>
      <c r="B72" s="98"/>
      <c r="E72"/>
    </row>
    <row r="73" spans="1:8">
      <c r="F73" s="98" t="s">
        <v>256</v>
      </c>
      <c r="H73" s="113">
        <f>AVERAGE(H27:H70)</f>
        <v>15.662643397215641</v>
      </c>
    </row>
  </sheetData>
  <mergeCells count="20">
    <mergeCell ref="A2:A3"/>
    <mergeCell ref="B2:B3"/>
    <mergeCell ref="C2:C3"/>
    <mergeCell ref="D2:D3"/>
    <mergeCell ref="E2:E3"/>
    <mergeCell ref="S2:S3"/>
    <mergeCell ref="E26:H26"/>
    <mergeCell ref="M2:M3"/>
    <mergeCell ref="N2:N3"/>
    <mergeCell ref="O2:O3"/>
    <mergeCell ref="P2:P3"/>
    <mergeCell ref="Q2:Q3"/>
    <mergeCell ref="R2:R3"/>
    <mergeCell ref="G2:G3"/>
    <mergeCell ref="H2:H3"/>
    <mergeCell ref="I2:I3"/>
    <mergeCell ref="J2:J3"/>
    <mergeCell ref="K2:K3"/>
    <mergeCell ref="L2:L3"/>
    <mergeCell ref="F2:F3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4"/>
  <sheetViews>
    <sheetView topLeftCell="A17" workbookViewId="0">
      <selection activeCell="K43" sqref="K43"/>
    </sheetView>
  </sheetViews>
  <sheetFormatPr baseColWidth="10" defaultRowHeight="14" x14ac:dyDescent="0"/>
  <sheetData>
    <row r="1" spans="1:21">
      <c r="A1" s="85"/>
      <c r="B1" s="144" t="s">
        <v>4</v>
      </c>
      <c r="C1" s="146" t="s">
        <v>185</v>
      </c>
      <c r="D1" s="147" t="s">
        <v>18</v>
      </c>
      <c r="E1" s="147"/>
      <c r="F1" s="147"/>
      <c r="G1" s="147"/>
      <c r="H1" s="147" t="s">
        <v>20</v>
      </c>
      <c r="I1" s="147"/>
      <c r="J1" s="147"/>
      <c r="K1" s="147"/>
      <c r="L1" s="147" t="s">
        <v>21</v>
      </c>
      <c r="M1" s="147"/>
      <c r="N1" s="147"/>
      <c r="O1" s="147"/>
      <c r="P1" s="84" t="s">
        <v>22</v>
      </c>
      <c r="Q1" s="84" t="s">
        <v>22</v>
      </c>
      <c r="R1" s="84" t="s">
        <v>22</v>
      </c>
      <c r="S1" s="151" t="s">
        <v>257</v>
      </c>
      <c r="T1" s="85"/>
      <c r="U1" s="85"/>
    </row>
    <row r="2" spans="1:21">
      <c r="A2" s="85"/>
      <c r="B2" s="145"/>
      <c r="C2" s="145"/>
      <c r="D2" s="86" t="s">
        <v>19</v>
      </c>
      <c r="E2" s="86" t="s">
        <v>68</v>
      </c>
      <c r="F2" s="86" t="s">
        <v>69</v>
      </c>
      <c r="G2" s="86" t="s">
        <v>70</v>
      </c>
      <c r="H2" s="86" t="s">
        <v>19</v>
      </c>
      <c r="I2" s="86" t="s">
        <v>68</v>
      </c>
      <c r="J2" s="86" t="s">
        <v>69</v>
      </c>
      <c r="K2" s="86" t="s">
        <v>70</v>
      </c>
      <c r="L2" s="86" t="s">
        <v>19</v>
      </c>
      <c r="M2" s="86" t="s">
        <v>68</v>
      </c>
      <c r="N2" s="86" t="s">
        <v>69</v>
      </c>
      <c r="O2" s="86" t="s">
        <v>71</v>
      </c>
      <c r="P2" s="87" t="s">
        <v>70</v>
      </c>
      <c r="Q2" s="87" t="s">
        <v>23</v>
      </c>
      <c r="R2" s="87" t="s">
        <v>72</v>
      </c>
      <c r="S2" s="152"/>
      <c r="T2" s="85"/>
      <c r="U2" s="85"/>
    </row>
    <row r="3" spans="1:21">
      <c r="A3" s="85"/>
      <c r="B3" s="88"/>
      <c r="C3" s="88"/>
      <c r="D3" s="89"/>
      <c r="E3" s="89"/>
      <c r="F3" s="89"/>
      <c r="G3" s="90"/>
      <c r="H3" s="89"/>
      <c r="I3" s="89"/>
      <c r="J3" s="89"/>
      <c r="K3" s="90"/>
      <c r="L3" s="89"/>
      <c r="M3" s="89"/>
      <c r="N3" s="89"/>
      <c r="O3" s="90"/>
      <c r="P3" s="141"/>
      <c r="Q3" s="142"/>
      <c r="R3" s="143"/>
      <c r="S3" s="85"/>
      <c r="T3" s="85"/>
      <c r="U3" s="85"/>
    </row>
    <row r="4" spans="1:21">
      <c r="A4" s="85"/>
      <c r="B4" s="91" t="s">
        <v>186</v>
      </c>
      <c r="C4" s="92">
        <v>500</v>
      </c>
      <c r="D4" s="92">
        <v>2</v>
      </c>
      <c r="E4" s="92">
        <v>26960</v>
      </c>
      <c r="F4" s="92">
        <v>7</v>
      </c>
      <c r="G4" s="90">
        <f t="shared" ref="G4:G19" si="0">(E4/F4)*(10.2)*POWER(10,D4+2)</f>
        <v>392845714.28571427</v>
      </c>
      <c r="H4" s="92">
        <v>2</v>
      </c>
      <c r="I4" s="92">
        <v>28998</v>
      </c>
      <c r="J4" s="92">
        <v>7</v>
      </c>
      <c r="K4" s="90">
        <f t="shared" ref="K4:K19" si="1">(I4/J4)*(10.2)*POWER(10,H4+2)</f>
        <v>422542285.71428567</v>
      </c>
      <c r="L4" s="92">
        <v>2</v>
      </c>
      <c r="M4" s="92">
        <v>29053</v>
      </c>
      <c r="N4" s="92">
        <v>7</v>
      </c>
      <c r="O4" s="90">
        <f t="shared" ref="O4:O19" si="2">(M4/N4)*(10.2)*POWER(10,L4+2)</f>
        <v>423343714.28571433</v>
      </c>
      <c r="P4" s="93">
        <f t="shared" ref="P4:P19" si="3">AVERAGE(O4,K4,G4)</f>
        <v>412910571.4285714</v>
      </c>
      <c r="Q4" s="93">
        <f t="shared" ref="Q4:Q19" si="4">STDEV(O4,K4,G4)</f>
        <v>17381295.724462688</v>
      </c>
      <c r="R4" s="94">
        <f>LOG(P4)</f>
        <v>8.6158560019212569</v>
      </c>
      <c r="S4" s="85"/>
      <c r="T4" s="85"/>
      <c r="U4" s="85"/>
    </row>
    <row r="5" spans="1:21">
      <c r="A5" s="85"/>
      <c r="B5" s="91" t="s">
        <v>187</v>
      </c>
      <c r="C5" s="92">
        <v>500</v>
      </c>
      <c r="D5" s="92">
        <v>1</v>
      </c>
      <c r="E5" s="92">
        <v>25770</v>
      </c>
      <c r="F5" s="92">
        <v>7</v>
      </c>
      <c r="G5" s="90">
        <f t="shared" si="0"/>
        <v>37550571.428571425</v>
      </c>
      <c r="H5" s="92">
        <v>1</v>
      </c>
      <c r="I5" s="92">
        <v>24760</v>
      </c>
      <c r="J5" s="92">
        <v>7</v>
      </c>
      <c r="K5" s="90">
        <f t="shared" si="1"/>
        <v>36078857.142857142</v>
      </c>
      <c r="L5" s="92">
        <v>1</v>
      </c>
      <c r="M5" s="92">
        <v>27526</v>
      </c>
      <c r="N5" s="92">
        <v>7</v>
      </c>
      <c r="O5" s="90">
        <f t="shared" si="2"/>
        <v>40109314.285714284</v>
      </c>
      <c r="P5" s="93">
        <f t="shared" si="3"/>
        <v>37912914.285714291</v>
      </c>
      <c r="Q5" s="93">
        <f t="shared" si="4"/>
        <v>2039513.5338344474</v>
      </c>
      <c r="R5" s="94">
        <f t="shared" ref="R5:R19" si="5">LOG(P5)</f>
        <v>7.5787871690098934</v>
      </c>
      <c r="S5" s="85"/>
      <c r="T5" s="85"/>
      <c r="U5" s="85"/>
    </row>
    <row r="6" spans="1:21">
      <c r="A6" s="85"/>
      <c r="B6" s="91" t="s">
        <v>188</v>
      </c>
      <c r="C6" s="92">
        <v>500</v>
      </c>
      <c r="D6" s="92">
        <v>0</v>
      </c>
      <c r="E6" s="92">
        <v>2493</v>
      </c>
      <c r="F6" s="92">
        <v>7</v>
      </c>
      <c r="G6" s="90">
        <f t="shared" si="0"/>
        <v>363265.71428571426</v>
      </c>
      <c r="H6" s="92">
        <v>0</v>
      </c>
      <c r="I6" s="92">
        <v>2459</v>
      </c>
      <c r="J6" s="92">
        <v>7</v>
      </c>
      <c r="K6" s="90">
        <f t="shared" si="1"/>
        <v>358311.42857142852</v>
      </c>
      <c r="L6" s="92">
        <v>0</v>
      </c>
      <c r="M6" s="92">
        <v>2550</v>
      </c>
      <c r="N6" s="92">
        <v>7</v>
      </c>
      <c r="O6" s="90">
        <f t="shared" si="2"/>
        <v>371571.42857142852</v>
      </c>
      <c r="P6" s="93">
        <f t="shared" si="3"/>
        <v>364382.8571428571</v>
      </c>
      <c r="Q6" s="93">
        <f t="shared" si="4"/>
        <v>6700.2168712996863</v>
      </c>
      <c r="R6" s="94">
        <f t="shared" si="5"/>
        <v>5.5615579368427026</v>
      </c>
      <c r="S6" s="98" t="s">
        <v>129</v>
      </c>
      <c r="T6" s="85"/>
      <c r="U6" s="85"/>
    </row>
    <row r="7" spans="1:21">
      <c r="A7" s="85"/>
      <c r="B7" s="91" t="s">
        <v>189</v>
      </c>
      <c r="C7" s="92">
        <v>500</v>
      </c>
      <c r="D7" s="92">
        <f>LOG(705/250)</f>
        <v>0.45024910831936105</v>
      </c>
      <c r="E7" s="92">
        <v>946</v>
      </c>
      <c r="F7" s="92">
        <v>7</v>
      </c>
      <c r="G7" s="90">
        <f>(E7/F7)*(1)*POWER(10,D7+2)</f>
        <v>38110.285714285717</v>
      </c>
      <c r="H7" s="92">
        <f>LOG(705/250)</f>
        <v>0.45024910831936105</v>
      </c>
      <c r="I7" s="92">
        <v>885</v>
      </c>
      <c r="J7" s="92">
        <v>7</v>
      </c>
      <c r="K7" s="90">
        <f t="shared" si="1"/>
        <v>363659.1428571429</v>
      </c>
      <c r="L7" s="92">
        <f>LOG(705/250)</f>
        <v>0.45024910831936105</v>
      </c>
      <c r="M7" s="92">
        <v>947</v>
      </c>
      <c r="N7" s="92">
        <v>7</v>
      </c>
      <c r="O7" s="90">
        <f>(M7/N7)*(1)*POWER(10,L7+2)</f>
        <v>38150.571428571435</v>
      </c>
      <c r="P7" s="93">
        <f t="shared" si="3"/>
        <v>146640.00000000003</v>
      </c>
      <c r="Q7" s="93">
        <f t="shared" si="4"/>
        <v>187944.09190121258</v>
      </c>
      <c r="R7" s="94">
        <f t="shared" si="5"/>
        <v>5.1662524519541604</v>
      </c>
      <c r="S7" s="85"/>
      <c r="T7" s="85"/>
      <c r="U7" s="85"/>
    </row>
    <row r="8" spans="1:21">
      <c r="A8" s="85"/>
      <c r="B8" s="91" t="s">
        <v>190</v>
      </c>
      <c r="C8" s="92">
        <v>500</v>
      </c>
      <c r="D8" s="92">
        <f>LOG(705/250)</f>
        <v>0.45024910831936105</v>
      </c>
      <c r="E8" s="92">
        <v>1248</v>
      </c>
      <c r="F8" s="92">
        <v>70</v>
      </c>
      <c r="G8" s="90">
        <f>(E8/F8)*(1)*POWER(10,D8+2)</f>
        <v>5027.6571428571442</v>
      </c>
      <c r="H8" s="92">
        <f>LOG(705/250)</f>
        <v>0.45024910831936105</v>
      </c>
      <c r="I8" s="92">
        <v>1303</v>
      </c>
      <c r="J8" s="92">
        <v>70</v>
      </c>
      <c r="K8" s="90">
        <f t="shared" si="1"/>
        <v>53542.131428571432</v>
      </c>
      <c r="L8" s="92">
        <f>LOG(705/250)</f>
        <v>0.45024910831936105</v>
      </c>
      <c r="M8" s="92">
        <v>1278</v>
      </c>
      <c r="N8" s="92">
        <v>70</v>
      </c>
      <c r="O8" s="90">
        <f>(M8/N8)*(1)*POWER(10,L8+2)</f>
        <v>5148.5142857142864</v>
      </c>
      <c r="P8" s="93">
        <f t="shared" si="3"/>
        <v>21239.434285714287</v>
      </c>
      <c r="Q8" s="93">
        <f t="shared" si="4"/>
        <v>27975.021602129429</v>
      </c>
      <c r="R8" s="94">
        <f t="shared" si="5"/>
        <v>4.3271429450900092</v>
      </c>
      <c r="S8" s="85"/>
      <c r="T8" s="85"/>
      <c r="U8" s="85"/>
    </row>
    <row r="9" spans="1:21">
      <c r="A9" s="85"/>
      <c r="B9" s="91" t="s">
        <v>191</v>
      </c>
      <c r="C9" s="92">
        <v>900</v>
      </c>
      <c r="D9" s="92">
        <v>2</v>
      </c>
      <c r="E9" s="92">
        <v>26822</v>
      </c>
      <c r="F9" s="92">
        <v>7</v>
      </c>
      <c r="G9" s="90">
        <f t="shared" si="0"/>
        <v>390834857.14285713</v>
      </c>
      <c r="H9" s="92">
        <v>2</v>
      </c>
      <c r="I9" s="92">
        <v>25452</v>
      </c>
      <c r="J9" s="92">
        <v>7</v>
      </c>
      <c r="K9" s="90">
        <f t="shared" si="1"/>
        <v>370872000</v>
      </c>
      <c r="L9" s="92">
        <v>2</v>
      </c>
      <c r="M9" s="92">
        <v>29126</v>
      </c>
      <c r="N9" s="92">
        <v>7</v>
      </c>
      <c r="O9" s="90">
        <f t="shared" si="2"/>
        <v>424407428.57142854</v>
      </c>
      <c r="P9" s="93">
        <f t="shared" si="3"/>
        <v>395371428.57142854</v>
      </c>
      <c r="Q9" s="93">
        <f t="shared" si="4"/>
        <v>27054498.485954784</v>
      </c>
      <c r="R9" s="94">
        <f t="shared" si="5"/>
        <v>8.5970052819172</v>
      </c>
      <c r="S9" s="85"/>
      <c r="T9" s="85"/>
      <c r="U9" s="85"/>
    </row>
    <row r="10" spans="1:21">
      <c r="A10" s="85"/>
      <c r="B10" s="91" t="s">
        <v>192</v>
      </c>
      <c r="C10" s="92">
        <v>900</v>
      </c>
      <c r="D10" s="92">
        <v>1</v>
      </c>
      <c r="E10" s="92">
        <v>11669</v>
      </c>
      <c r="F10" s="92">
        <v>7</v>
      </c>
      <c r="G10" s="90">
        <f t="shared" si="0"/>
        <v>17003399.999999996</v>
      </c>
      <c r="H10" s="92">
        <v>1</v>
      </c>
      <c r="I10" s="92">
        <v>13970</v>
      </c>
      <c r="J10" s="92">
        <v>20</v>
      </c>
      <c r="K10" s="90">
        <f t="shared" si="1"/>
        <v>7124700</v>
      </c>
      <c r="L10" s="92">
        <v>1</v>
      </c>
      <c r="M10" s="92">
        <v>12995</v>
      </c>
      <c r="N10" s="92">
        <v>7</v>
      </c>
      <c r="O10" s="90">
        <f t="shared" si="2"/>
        <v>18935571.428571429</v>
      </c>
      <c r="P10" s="93">
        <f t="shared" si="3"/>
        <v>14354557.142857142</v>
      </c>
      <c r="Q10" s="93">
        <f t="shared" si="4"/>
        <v>6335333.2459262749</v>
      </c>
      <c r="R10" s="94">
        <f t="shared" si="5"/>
        <v>7.1569897984779303</v>
      </c>
      <c r="S10" s="98" t="s">
        <v>129</v>
      </c>
      <c r="T10" s="85"/>
      <c r="U10" s="85"/>
    </row>
    <row r="11" spans="1:21">
      <c r="A11" s="85"/>
      <c r="B11" s="91" t="s">
        <v>193</v>
      </c>
      <c r="C11" s="92">
        <v>900</v>
      </c>
      <c r="D11" s="92">
        <v>1</v>
      </c>
      <c r="E11" s="92">
        <v>6123</v>
      </c>
      <c r="F11" s="92">
        <v>7</v>
      </c>
      <c r="G11" s="90">
        <f t="shared" si="0"/>
        <v>8922085.7142857127</v>
      </c>
      <c r="H11" s="92">
        <v>1</v>
      </c>
      <c r="I11" s="92">
        <v>6639</v>
      </c>
      <c r="J11" s="92">
        <v>7</v>
      </c>
      <c r="K11" s="90">
        <f t="shared" si="1"/>
        <v>9673971.4285714272</v>
      </c>
      <c r="L11" s="92">
        <v>1</v>
      </c>
      <c r="M11" s="92">
        <v>7021</v>
      </c>
      <c r="N11" s="92">
        <v>7</v>
      </c>
      <c r="O11" s="90">
        <f t="shared" si="2"/>
        <v>10230599.999999998</v>
      </c>
      <c r="P11" s="93">
        <f t="shared" si="3"/>
        <v>9608885.7142857127</v>
      </c>
      <c r="Q11" s="93">
        <f t="shared" si="4"/>
        <v>656680.68468065432</v>
      </c>
      <c r="R11" s="94">
        <f t="shared" si="5"/>
        <v>6.9826730280228597</v>
      </c>
      <c r="S11" s="98" t="s">
        <v>129</v>
      </c>
      <c r="T11" s="85"/>
      <c r="U11" s="85"/>
    </row>
    <row r="12" spans="1:21">
      <c r="A12" s="85"/>
      <c r="B12" s="91" t="s">
        <v>194</v>
      </c>
      <c r="C12" s="92">
        <v>900</v>
      </c>
      <c r="D12" s="92">
        <v>1</v>
      </c>
      <c r="E12" s="92">
        <v>29009</v>
      </c>
      <c r="F12" s="92">
        <v>7</v>
      </c>
      <c r="G12" s="90">
        <f t="shared" si="0"/>
        <v>42270257.142857142</v>
      </c>
      <c r="H12" s="92">
        <v>1</v>
      </c>
      <c r="I12" s="92">
        <v>29016</v>
      </c>
      <c r="J12" s="92">
        <v>7</v>
      </c>
      <c r="K12" s="90">
        <f t="shared" si="1"/>
        <v>42280457.142857134</v>
      </c>
      <c r="L12" s="92">
        <v>1</v>
      </c>
      <c r="M12" s="92">
        <v>31568</v>
      </c>
      <c r="N12" s="92">
        <v>7</v>
      </c>
      <c r="O12" s="90">
        <f t="shared" si="2"/>
        <v>45999085.714285709</v>
      </c>
      <c r="P12" s="93">
        <f t="shared" si="3"/>
        <v>43516599.999999993</v>
      </c>
      <c r="Q12" s="93">
        <f t="shared" si="4"/>
        <v>2149901.7422255576</v>
      </c>
      <c r="R12" s="94">
        <f t="shared" si="5"/>
        <v>7.6386549561082937</v>
      </c>
      <c r="S12" s="85"/>
      <c r="T12" s="85"/>
      <c r="U12" s="85"/>
    </row>
    <row r="13" spans="1:21">
      <c r="A13" s="85"/>
      <c r="B13" s="91" t="s">
        <v>195</v>
      </c>
      <c r="C13" s="92">
        <v>900</v>
      </c>
      <c r="D13" s="92">
        <v>1</v>
      </c>
      <c r="E13" s="92">
        <v>13542</v>
      </c>
      <c r="F13" s="92">
        <v>7</v>
      </c>
      <c r="G13" s="90">
        <f t="shared" si="0"/>
        <v>19732628.571428571</v>
      </c>
      <c r="H13" s="92">
        <v>1</v>
      </c>
      <c r="I13" s="92">
        <v>14070</v>
      </c>
      <c r="J13" s="92">
        <v>7</v>
      </c>
      <c r="K13" s="90">
        <f t="shared" si="1"/>
        <v>20502000</v>
      </c>
      <c r="L13" s="92">
        <v>1</v>
      </c>
      <c r="M13" s="92">
        <v>15197</v>
      </c>
      <c r="N13" s="92">
        <v>7</v>
      </c>
      <c r="O13" s="90">
        <f t="shared" si="2"/>
        <v>22144199.999999996</v>
      </c>
      <c r="P13" s="93">
        <f t="shared" si="3"/>
        <v>20792942.857142854</v>
      </c>
      <c r="Q13" s="93">
        <f t="shared" si="4"/>
        <v>1231829.938898768</v>
      </c>
      <c r="R13" s="94">
        <f t="shared" si="5"/>
        <v>7.3179159600467427</v>
      </c>
      <c r="S13" s="85"/>
      <c r="T13" s="85"/>
      <c r="U13" s="85"/>
    </row>
    <row r="14" spans="1:21">
      <c r="A14" s="85"/>
      <c r="B14" s="91" t="s">
        <v>196</v>
      </c>
      <c r="C14" s="92">
        <v>900</v>
      </c>
      <c r="D14" s="92">
        <v>1</v>
      </c>
      <c r="E14" s="92">
        <v>6282</v>
      </c>
      <c r="F14" s="92">
        <v>7</v>
      </c>
      <c r="G14" s="90">
        <f t="shared" si="0"/>
        <v>9153771.4285714291</v>
      </c>
      <c r="H14" s="92">
        <v>1</v>
      </c>
      <c r="I14" s="92">
        <v>6343</v>
      </c>
      <c r="J14" s="92">
        <v>7</v>
      </c>
      <c r="K14" s="90">
        <f t="shared" si="1"/>
        <v>9242657.1428571418</v>
      </c>
      <c r="L14" s="92">
        <v>1</v>
      </c>
      <c r="M14" s="92">
        <v>7014</v>
      </c>
      <c r="N14" s="92">
        <v>7</v>
      </c>
      <c r="O14" s="90">
        <f t="shared" si="2"/>
        <v>10220400</v>
      </c>
      <c r="P14" s="93">
        <f t="shared" si="3"/>
        <v>9538942.8571428563</v>
      </c>
      <c r="Q14" s="93">
        <f t="shared" si="4"/>
        <v>591830.25075969705</v>
      </c>
      <c r="R14" s="94">
        <f t="shared" si="5"/>
        <v>6.9795002471622967</v>
      </c>
      <c r="S14" s="85"/>
      <c r="T14" s="85"/>
      <c r="U14" s="85"/>
    </row>
    <row r="15" spans="1:21">
      <c r="A15" s="85"/>
      <c r="B15" s="91" t="s">
        <v>197</v>
      </c>
      <c r="C15" s="92">
        <v>900</v>
      </c>
      <c r="D15" s="92">
        <v>1</v>
      </c>
      <c r="E15" s="92">
        <v>3249</v>
      </c>
      <c r="F15" s="92">
        <v>7</v>
      </c>
      <c r="G15" s="90">
        <f t="shared" si="0"/>
        <v>4734257.1428571427</v>
      </c>
      <c r="H15" s="92">
        <v>1</v>
      </c>
      <c r="I15" s="92">
        <v>3902</v>
      </c>
      <c r="J15" s="92">
        <v>7</v>
      </c>
      <c r="K15" s="90">
        <f t="shared" si="1"/>
        <v>5685771.4285714282</v>
      </c>
      <c r="L15" s="92">
        <v>1</v>
      </c>
      <c r="M15" s="92">
        <v>3833</v>
      </c>
      <c r="N15" s="92">
        <v>7</v>
      </c>
      <c r="O15" s="90">
        <f t="shared" si="2"/>
        <v>5585228.5714285709</v>
      </c>
      <c r="P15" s="93">
        <f t="shared" si="3"/>
        <v>5335085.7142857136</v>
      </c>
      <c r="Q15" s="93">
        <f t="shared" si="4"/>
        <v>522755.62714741344</v>
      </c>
      <c r="R15" s="94">
        <f t="shared" si="5"/>
        <v>6.7271414012566968</v>
      </c>
      <c r="S15" s="85"/>
      <c r="T15" s="85"/>
      <c r="U15" s="85"/>
    </row>
    <row r="16" spans="1:21">
      <c r="A16" s="85"/>
      <c r="B16" s="91" t="s">
        <v>198</v>
      </c>
      <c r="C16" s="92">
        <v>900</v>
      </c>
      <c r="D16" s="92">
        <v>0</v>
      </c>
      <c r="E16" s="92">
        <v>12331</v>
      </c>
      <c r="F16" s="92">
        <v>7</v>
      </c>
      <c r="G16" s="90">
        <f t="shared" si="0"/>
        <v>1796802.857142857</v>
      </c>
      <c r="H16" s="92">
        <v>0</v>
      </c>
      <c r="I16" s="92">
        <v>13246</v>
      </c>
      <c r="J16" s="92">
        <v>7</v>
      </c>
      <c r="K16" s="90">
        <f t="shared" si="1"/>
        <v>1930131.4285714284</v>
      </c>
      <c r="L16" s="92">
        <v>0</v>
      </c>
      <c r="M16" s="92">
        <v>11745</v>
      </c>
      <c r="N16" s="92">
        <v>7</v>
      </c>
      <c r="O16" s="90">
        <f t="shared" si="2"/>
        <v>1711414.2857142854</v>
      </c>
      <c r="P16" s="93">
        <f t="shared" si="3"/>
        <v>1812782.857142857</v>
      </c>
      <c r="Q16" s="93">
        <f t="shared" si="4"/>
        <v>110230.74636823416</v>
      </c>
      <c r="R16" s="94">
        <f t="shared" si="5"/>
        <v>6.2583457855668376</v>
      </c>
      <c r="S16" s="85"/>
      <c r="T16" s="85"/>
      <c r="U16" s="85"/>
    </row>
    <row r="17" spans="1:21">
      <c r="A17" s="85"/>
      <c r="B17" s="91" t="s">
        <v>199</v>
      </c>
      <c r="C17" s="92">
        <v>900</v>
      </c>
      <c r="D17" s="92">
        <v>0</v>
      </c>
      <c r="E17" s="92">
        <v>6389</v>
      </c>
      <c r="F17" s="92">
        <v>7</v>
      </c>
      <c r="G17" s="90">
        <f t="shared" si="0"/>
        <v>930968.57142857136</v>
      </c>
      <c r="H17" s="92">
        <v>0</v>
      </c>
      <c r="I17" s="92">
        <v>4586</v>
      </c>
      <c r="J17" s="92">
        <v>7</v>
      </c>
      <c r="K17" s="90">
        <f t="shared" si="1"/>
        <v>668245.7142857142</v>
      </c>
      <c r="L17" s="92">
        <v>0</v>
      </c>
      <c r="M17" s="92">
        <v>5332</v>
      </c>
      <c r="N17" s="92">
        <v>7</v>
      </c>
      <c r="O17" s="90">
        <f t="shared" si="2"/>
        <v>776948.57142857136</v>
      </c>
      <c r="P17" s="93">
        <f t="shared" si="3"/>
        <v>792054.28571428556</v>
      </c>
      <c r="Q17" s="93">
        <f t="shared" si="4"/>
        <v>132011.21872548491</v>
      </c>
      <c r="R17" s="94">
        <f t="shared" si="5"/>
        <v>5.8987549482286576</v>
      </c>
      <c r="S17" s="85"/>
      <c r="T17" s="85"/>
      <c r="U17" s="85"/>
    </row>
    <row r="18" spans="1:21">
      <c r="A18" s="85"/>
      <c r="B18" s="91" t="s">
        <v>200</v>
      </c>
      <c r="C18" s="92">
        <v>900</v>
      </c>
      <c r="D18" s="92">
        <v>0</v>
      </c>
      <c r="E18" s="92">
        <v>2453</v>
      </c>
      <c r="F18" s="92">
        <v>7</v>
      </c>
      <c r="G18" s="90">
        <f t="shared" si="0"/>
        <v>357437.14285714284</v>
      </c>
      <c r="H18" s="92">
        <v>0</v>
      </c>
      <c r="I18" s="92">
        <v>2433</v>
      </c>
      <c r="J18" s="92">
        <v>7</v>
      </c>
      <c r="K18" s="90">
        <f t="shared" si="1"/>
        <v>354522.8571428571</v>
      </c>
      <c r="L18" s="92">
        <v>0</v>
      </c>
      <c r="M18" s="92">
        <v>1833</v>
      </c>
      <c r="N18" s="92">
        <v>7</v>
      </c>
      <c r="O18" s="90">
        <f t="shared" si="2"/>
        <v>267094.28571428568</v>
      </c>
      <c r="P18" s="93">
        <f t="shared" si="3"/>
        <v>326351.42857142852</v>
      </c>
      <c r="Q18" s="93">
        <f t="shared" si="4"/>
        <v>51338.874159841398</v>
      </c>
      <c r="R18" s="94">
        <f t="shared" si="5"/>
        <v>5.5136855181177333</v>
      </c>
      <c r="S18" s="85"/>
      <c r="T18" s="85"/>
      <c r="U18" s="85"/>
    </row>
    <row r="19" spans="1:21">
      <c r="A19" s="85"/>
      <c r="B19" s="91" t="s">
        <v>201</v>
      </c>
      <c r="C19" s="92">
        <v>900</v>
      </c>
      <c r="D19" s="92">
        <v>0</v>
      </c>
      <c r="E19" s="92">
        <v>2574</v>
      </c>
      <c r="F19" s="92">
        <v>14</v>
      </c>
      <c r="G19" s="90">
        <f t="shared" si="0"/>
        <v>187534.28571428571</v>
      </c>
      <c r="H19" s="92">
        <v>0</v>
      </c>
      <c r="I19" s="92">
        <v>1997</v>
      </c>
      <c r="J19" s="92">
        <v>14</v>
      </c>
      <c r="K19" s="90">
        <f t="shared" si="1"/>
        <v>145495.71428571429</v>
      </c>
      <c r="L19" s="92">
        <v>0</v>
      </c>
      <c r="M19" s="92">
        <v>1974</v>
      </c>
      <c r="N19" s="92">
        <v>14</v>
      </c>
      <c r="O19" s="90">
        <f t="shared" si="2"/>
        <v>143819.99999999997</v>
      </c>
      <c r="P19" s="93">
        <f t="shared" si="3"/>
        <v>158950</v>
      </c>
      <c r="Q19" s="93">
        <f t="shared" si="4"/>
        <v>24768.892727345858</v>
      </c>
      <c r="R19" s="94">
        <f t="shared" si="5"/>
        <v>5.2012605322507914</v>
      </c>
      <c r="S19" s="85"/>
      <c r="T19" s="85"/>
      <c r="U19" s="85"/>
    </row>
    <row r="20" spans="1:21" ht="15" thickBot="1">
      <c r="A20" s="85"/>
      <c r="B20" s="85"/>
      <c r="C20" s="85"/>
      <c r="D20" s="85"/>
      <c r="E20" s="85"/>
      <c r="F20" s="85"/>
      <c r="G20" s="85"/>
      <c r="H20" s="99"/>
      <c r="I20" s="99"/>
      <c r="J20" s="99"/>
      <c r="K20" s="85"/>
      <c r="L20" s="85"/>
      <c r="M20" s="85"/>
      <c r="N20" s="85"/>
      <c r="O20" s="85"/>
      <c r="P20" s="85"/>
      <c r="Q20" s="85"/>
      <c r="R20" s="85"/>
      <c r="S20" s="85"/>
      <c r="T20" s="85"/>
      <c r="U20" s="85"/>
    </row>
    <row r="21" spans="1:21" ht="43" thickBot="1">
      <c r="A21" s="85"/>
      <c r="B21" s="95" t="s">
        <v>4</v>
      </c>
      <c r="C21" s="95" t="s">
        <v>202</v>
      </c>
      <c r="D21" s="95" t="s">
        <v>203</v>
      </c>
      <c r="E21" s="95" t="s">
        <v>204</v>
      </c>
      <c r="F21" s="95" t="s">
        <v>205</v>
      </c>
      <c r="G21" s="96" t="s">
        <v>206</v>
      </c>
      <c r="H21" s="97" t="s">
        <v>207</v>
      </c>
      <c r="I21" s="97" t="s">
        <v>258</v>
      </c>
      <c r="J21" s="97" t="s">
        <v>259</v>
      </c>
      <c r="K21" s="97" t="s">
        <v>260</v>
      </c>
      <c r="L21" s="97" t="s">
        <v>261</v>
      </c>
      <c r="M21" s="98" t="s">
        <v>212</v>
      </c>
      <c r="N21" s="85"/>
      <c r="O21" s="85"/>
      <c r="P21" s="85"/>
      <c r="Q21" s="85"/>
      <c r="R21" s="85"/>
      <c r="S21" s="85"/>
      <c r="T21" s="85"/>
      <c r="U21" s="85"/>
    </row>
    <row r="22" spans="1:21">
      <c r="A22" s="85"/>
      <c r="B22" s="85"/>
      <c r="C22" s="85"/>
      <c r="D22" s="85"/>
      <c r="E22" s="85"/>
      <c r="F22" s="85"/>
      <c r="G22" s="85"/>
      <c r="H22" s="85"/>
      <c r="I22" s="85"/>
      <c r="J22" s="85"/>
      <c r="K22" s="85"/>
      <c r="L22" s="85"/>
      <c r="M22" s="85"/>
      <c r="N22" s="85"/>
      <c r="O22" s="85"/>
      <c r="P22" s="85"/>
      <c r="Q22" s="85"/>
      <c r="R22" s="85"/>
      <c r="S22" s="85"/>
      <c r="T22" s="85"/>
      <c r="U22" s="85"/>
    </row>
    <row r="23" spans="1:21">
      <c r="A23" s="85"/>
      <c r="B23" s="91" t="s">
        <v>186</v>
      </c>
      <c r="C23" s="99">
        <v>13.733217239379883</v>
      </c>
      <c r="D23" s="99">
        <v>13.964070320129395</v>
      </c>
      <c r="E23" s="99">
        <v>13.836982727050781</v>
      </c>
      <c r="F23" s="104">
        <f>AVERAGE(C23:E23)</f>
        <v>13.844756762186686</v>
      </c>
      <c r="G23" s="85">
        <f>150/100*180/4*1000/900</f>
        <v>75</v>
      </c>
      <c r="H23" s="113">
        <f>LOG(G23)/LOG(2)</f>
        <v>6.2288186904958813</v>
      </c>
      <c r="I23" s="99">
        <f>C23-H23</f>
        <v>7.5043985488840015</v>
      </c>
      <c r="J23" s="99">
        <f>D23-H23</f>
        <v>7.7352516296335132</v>
      </c>
      <c r="K23" s="99">
        <f>E23-H23</f>
        <v>7.6081640365548999</v>
      </c>
      <c r="L23" s="104">
        <f>AVERAGE(I23:K23)</f>
        <v>7.6159380716908052</v>
      </c>
      <c r="M23" s="85"/>
      <c r="N23" s="85"/>
      <c r="O23" s="85"/>
      <c r="P23" s="85"/>
      <c r="Q23" s="85"/>
      <c r="R23" s="85"/>
      <c r="S23" s="85"/>
      <c r="T23" s="85"/>
      <c r="U23" s="85"/>
    </row>
    <row r="24" spans="1:21">
      <c r="A24" s="85"/>
      <c r="B24" s="91" t="s">
        <v>187</v>
      </c>
      <c r="C24" s="99">
        <v>17.19072151184082</v>
      </c>
      <c r="D24" s="99">
        <v>17.22271728515625</v>
      </c>
      <c r="E24" s="99">
        <v>17.264667510986328</v>
      </c>
      <c r="F24" s="104">
        <f t="shared" ref="F24:F38" si="6">AVERAGE(C24:E24)</f>
        <v>17.226035435994465</v>
      </c>
      <c r="G24" s="85">
        <f t="shared" ref="G24:G27" si="7">150/100*180/4*1000/900</f>
        <v>75</v>
      </c>
      <c r="H24" s="113">
        <f t="shared" ref="H24:H37" si="8">LOG(G24)/LOG(2)</f>
        <v>6.2288186904958813</v>
      </c>
      <c r="I24" s="99">
        <f t="shared" ref="I24:I38" si="9">C24-H24</f>
        <v>10.961902821344939</v>
      </c>
      <c r="J24" s="99">
        <f t="shared" ref="J24:J38" si="10">D24-H24</f>
        <v>10.993898594660369</v>
      </c>
      <c r="K24" s="99">
        <f t="shared" ref="K24:K38" si="11">E24-H24</f>
        <v>11.035848820490447</v>
      </c>
      <c r="L24" s="104">
        <f t="shared" ref="L24:L38" si="12">AVERAGE(I24:K24)</f>
        <v>10.997216745498585</v>
      </c>
      <c r="M24" s="85"/>
      <c r="N24" s="85"/>
      <c r="O24" s="85"/>
      <c r="P24" s="85"/>
      <c r="Q24" s="85"/>
      <c r="R24" s="85"/>
      <c r="S24" s="85"/>
      <c r="T24" s="85"/>
      <c r="U24" s="85"/>
    </row>
    <row r="25" spans="1:21">
      <c r="A25" s="85"/>
      <c r="B25" s="91" t="s">
        <v>188</v>
      </c>
      <c r="C25" s="99">
        <v>20.897546768188477</v>
      </c>
      <c r="D25" s="99">
        <v>20.622665405273438</v>
      </c>
      <c r="E25" s="99">
        <v>20.75037956237793</v>
      </c>
      <c r="F25" s="104">
        <f t="shared" si="6"/>
        <v>20.756863911946613</v>
      </c>
      <c r="G25" s="85">
        <f t="shared" si="7"/>
        <v>75</v>
      </c>
      <c r="H25" s="113">
        <f t="shared" si="8"/>
        <v>6.2288186904958813</v>
      </c>
      <c r="I25" s="99">
        <f t="shared" si="9"/>
        <v>14.668728077692595</v>
      </c>
      <c r="J25" s="99">
        <f t="shared" si="10"/>
        <v>14.393846714777556</v>
      </c>
      <c r="K25" s="99">
        <f t="shared" si="11"/>
        <v>14.521560871882048</v>
      </c>
      <c r="L25" s="104">
        <f t="shared" si="12"/>
        <v>14.528045221450734</v>
      </c>
      <c r="M25" s="98" t="s">
        <v>129</v>
      </c>
      <c r="N25" s="85"/>
      <c r="O25" s="85"/>
      <c r="P25" s="85"/>
      <c r="Q25" s="85"/>
      <c r="R25" s="85"/>
      <c r="S25" s="85"/>
      <c r="T25" s="85"/>
      <c r="U25" s="85"/>
    </row>
    <row r="26" spans="1:21">
      <c r="A26" s="85"/>
      <c r="B26" s="91" t="s">
        <v>189</v>
      </c>
      <c r="C26" s="99">
        <v>25.132444381713867</v>
      </c>
      <c r="D26" s="99">
        <v>25.147838592529297</v>
      </c>
      <c r="E26" s="99">
        <v>25.181661605834961</v>
      </c>
      <c r="F26" s="104">
        <f t="shared" si="6"/>
        <v>25.153981526692707</v>
      </c>
      <c r="G26" s="85">
        <f t="shared" si="7"/>
        <v>75</v>
      </c>
      <c r="H26" s="113">
        <f t="shared" si="8"/>
        <v>6.2288186904958813</v>
      </c>
      <c r="I26" s="99">
        <f t="shared" si="9"/>
        <v>18.903625691217986</v>
      </c>
      <c r="J26" s="99">
        <f t="shared" si="10"/>
        <v>18.919019902033416</v>
      </c>
      <c r="K26" s="99">
        <f t="shared" si="11"/>
        <v>18.95284291533908</v>
      </c>
      <c r="L26" s="104">
        <f t="shared" si="12"/>
        <v>18.925162836196829</v>
      </c>
      <c r="M26" s="85"/>
      <c r="N26" s="85"/>
      <c r="O26" s="85"/>
      <c r="P26" s="85"/>
      <c r="Q26" s="85"/>
      <c r="R26" s="85"/>
      <c r="S26" s="85"/>
      <c r="T26" s="85"/>
      <c r="U26" s="85"/>
    </row>
    <row r="27" spans="1:21">
      <c r="A27" s="85"/>
      <c r="B27" s="91" t="s">
        <v>190</v>
      </c>
      <c r="C27" s="99">
        <v>28.415132522583008</v>
      </c>
      <c r="D27" s="99">
        <v>28.359806060791016</v>
      </c>
      <c r="E27" s="99">
        <v>28.363668441772461</v>
      </c>
      <c r="F27" s="104">
        <f t="shared" si="6"/>
        <v>28.379535675048828</v>
      </c>
      <c r="G27" s="85">
        <f t="shared" si="7"/>
        <v>75</v>
      </c>
      <c r="H27" s="113">
        <f t="shared" si="8"/>
        <v>6.2288186904958813</v>
      </c>
      <c r="I27" s="99">
        <f t="shared" si="9"/>
        <v>22.186313832087126</v>
      </c>
      <c r="J27" s="99">
        <f t="shared" si="10"/>
        <v>22.130987370295134</v>
      </c>
      <c r="K27" s="99">
        <f t="shared" si="11"/>
        <v>22.13484975127658</v>
      </c>
      <c r="L27" s="104">
        <f t="shared" si="12"/>
        <v>22.150716984552947</v>
      </c>
      <c r="M27" s="85"/>
      <c r="N27" s="85"/>
      <c r="O27" s="85"/>
      <c r="P27" s="85"/>
      <c r="Q27" s="85"/>
      <c r="R27" s="85"/>
      <c r="S27" s="85"/>
      <c r="T27" s="85"/>
      <c r="U27" s="85"/>
    </row>
    <row r="28" spans="1:21">
      <c r="A28" s="85"/>
      <c r="B28" s="91" t="s">
        <v>191</v>
      </c>
      <c r="C28" s="99">
        <v>14.936457633972168</v>
      </c>
      <c r="D28" s="99">
        <v>14.999619483947754</v>
      </c>
      <c r="E28" s="99">
        <v>15.074687957763672</v>
      </c>
      <c r="F28" s="104">
        <f t="shared" si="6"/>
        <v>15.003588358561197</v>
      </c>
      <c r="G28" s="85">
        <f>150/100*180/4*1000/500</f>
        <v>135</v>
      </c>
      <c r="H28" s="113">
        <f t="shared" si="8"/>
        <v>7.0768155970508309</v>
      </c>
      <c r="I28" s="99">
        <f t="shared" si="9"/>
        <v>7.8596420369213371</v>
      </c>
      <c r="J28" s="99">
        <f t="shared" si="10"/>
        <v>7.9228038868969231</v>
      </c>
      <c r="K28" s="99">
        <f t="shared" si="11"/>
        <v>7.997872360712841</v>
      </c>
      <c r="L28" s="104">
        <f t="shared" si="12"/>
        <v>7.9267727615103674</v>
      </c>
      <c r="M28" s="85"/>
      <c r="N28" s="85"/>
      <c r="O28" s="85"/>
      <c r="P28" s="85"/>
      <c r="Q28" s="85"/>
      <c r="R28" s="85"/>
      <c r="S28" s="85"/>
      <c r="T28" s="85"/>
      <c r="U28" s="85"/>
    </row>
    <row r="29" spans="1:21">
      <c r="A29" s="85"/>
      <c r="B29" s="91" t="s">
        <v>192</v>
      </c>
      <c r="C29" s="99">
        <v>16.18989372253418</v>
      </c>
      <c r="D29" s="99">
        <v>15.8782958984375</v>
      </c>
      <c r="E29" s="99">
        <v>15.960098266601562</v>
      </c>
      <c r="F29" s="104">
        <f t="shared" si="6"/>
        <v>16.009429295857746</v>
      </c>
      <c r="G29" s="85">
        <f t="shared" ref="G29:G37" si="13">150/100*180/4*1000/500</f>
        <v>135</v>
      </c>
      <c r="H29" s="113">
        <f t="shared" si="8"/>
        <v>7.0768155970508309</v>
      </c>
      <c r="I29" s="99">
        <f t="shared" si="9"/>
        <v>9.1130781254833479</v>
      </c>
      <c r="J29" s="99">
        <f t="shared" si="10"/>
        <v>8.8014803013866683</v>
      </c>
      <c r="K29" s="99">
        <f t="shared" si="11"/>
        <v>8.8832826695507308</v>
      </c>
      <c r="L29" s="104">
        <f t="shared" si="12"/>
        <v>8.9326136988069162</v>
      </c>
      <c r="M29" s="98" t="s">
        <v>129</v>
      </c>
      <c r="N29" s="85"/>
      <c r="O29" s="85"/>
      <c r="P29" s="85"/>
      <c r="Q29" s="85"/>
      <c r="R29" s="85"/>
      <c r="S29" s="85"/>
      <c r="T29" s="85"/>
      <c r="U29" s="85"/>
    </row>
    <row r="30" spans="1:21">
      <c r="A30" s="85"/>
      <c r="B30" s="91" t="s">
        <v>193</v>
      </c>
      <c r="C30" s="99">
        <v>16.854721069335938</v>
      </c>
      <c r="D30" s="99">
        <v>16.93126106262207</v>
      </c>
      <c r="E30" s="99">
        <v>17.05010986328125</v>
      </c>
      <c r="F30" s="104">
        <f t="shared" si="6"/>
        <v>16.945363998413086</v>
      </c>
      <c r="G30" s="85">
        <f t="shared" si="13"/>
        <v>135</v>
      </c>
      <c r="H30" s="113">
        <f t="shared" si="8"/>
        <v>7.0768155970508309</v>
      </c>
      <c r="I30" s="99">
        <f t="shared" si="9"/>
        <v>9.7779054722851058</v>
      </c>
      <c r="J30" s="99">
        <f t="shared" si="10"/>
        <v>9.8544454655712386</v>
      </c>
      <c r="K30" s="99">
        <f t="shared" si="11"/>
        <v>9.9732942662304183</v>
      </c>
      <c r="L30" s="104">
        <f t="shared" si="12"/>
        <v>9.8685484013622542</v>
      </c>
      <c r="M30" s="98" t="s">
        <v>129</v>
      </c>
      <c r="N30" s="85"/>
      <c r="O30" s="85"/>
      <c r="P30" s="85"/>
      <c r="Q30" s="85"/>
      <c r="R30" s="85"/>
      <c r="S30" s="85"/>
      <c r="T30" s="85"/>
      <c r="U30" s="85"/>
    </row>
    <row r="31" spans="1:21">
      <c r="A31" s="85"/>
      <c r="B31" s="91" t="s">
        <v>194</v>
      </c>
      <c r="C31" s="99">
        <v>18.072385787963867</v>
      </c>
      <c r="D31" s="99">
        <v>18.182058334350586</v>
      </c>
      <c r="E31" s="99">
        <v>18.225353240966797</v>
      </c>
      <c r="F31" s="104">
        <f t="shared" si="6"/>
        <v>18.159932454427082</v>
      </c>
      <c r="G31" s="85">
        <f t="shared" si="13"/>
        <v>135</v>
      </c>
      <c r="H31" s="113">
        <f t="shared" si="8"/>
        <v>7.0768155970508309</v>
      </c>
      <c r="I31" s="99">
        <f t="shared" si="9"/>
        <v>10.995570190913035</v>
      </c>
      <c r="J31" s="99">
        <f t="shared" si="10"/>
        <v>11.105242737299754</v>
      </c>
      <c r="K31" s="99">
        <f t="shared" si="11"/>
        <v>11.148537643915965</v>
      </c>
      <c r="L31" s="104">
        <f t="shared" si="12"/>
        <v>11.083116857376252</v>
      </c>
      <c r="M31" s="85"/>
      <c r="N31" s="85"/>
      <c r="O31" s="85"/>
      <c r="P31" s="85"/>
      <c r="Q31" s="85"/>
      <c r="R31" s="85"/>
      <c r="S31" s="85"/>
      <c r="T31" s="85"/>
      <c r="U31" s="85"/>
    </row>
    <row r="32" spans="1:21">
      <c r="A32" s="85"/>
      <c r="B32" s="91" t="s">
        <v>195</v>
      </c>
      <c r="C32" s="99">
        <v>20.280126571655273</v>
      </c>
      <c r="D32" s="99">
        <v>20.968669891357422</v>
      </c>
      <c r="E32" s="99">
        <v>20.306863784790039</v>
      </c>
      <c r="F32" s="104">
        <f t="shared" si="6"/>
        <v>20.518553415934246</v>
      </c>
      <c r="G32" s="85">
        <f t="shared" si="13"/>
        <v>135</v>
      </c>
      <c r="H32" s="113">
        <f t="shared" si="8"/>
        <v>7.0768155970508309</v>
      </c>
      <c r="I32" s="99">
        <f t="shared" si="9"/>
        <v>13.203310974604442</v>
      </c>
      <c r="J32" s="99">
        <f t="shared" si="10"/>
        <v>13.89185429430659</v>
      </c>
      <c r="K32" s="99">
        <f t="shared" si="11"/>
        <v>13.230048187739207</v>
      </c>
      <c r="L32" s="104">
        <f t="shared" si="12"/>
        <v>13.441737818883412</v>
      </c>
      <c r="M32" s="85"/>
      <c r="N32" s="85"/>
      <c r="O32" s="85"/>
      <c r="P32" s="85"/>
      <c r="Q32" s="85"/>
      <c r="R32" s="85"/>
      <c r="S32" s="85"/>
      <c r="T32" s="85"/>
      <c r="U32" s="85"/>
    </row>
    <row r="33" spans="1:21">
      <c r="A33" s="85"/>
      <c r="B33" s="91" t="s">
        <v>196</v>
      </c>
      <c r="C33" s="99">
        <v>21.049312591552734</v>
      </c>
      <c r="D33" s="99">
        <v>21.128349304199219</v>
      </c>
      <c r="E33" s="99">
        <v>21.15723991394043</v>
      </c>
      <c r="F33" s="104">
        <f t="shared" si="6"/>
        <v>21.111633936564129</v>
      </c>
      <c r="G33" s="85">
        <f t="shared" si="13"/>
        <v>135</v>
      </c>
      <c r="H33" s="113">
        <f t="shared" si="8"/>
        <v>7.0768155970508309</v>
      </c>
      <c r="I33" s="99">
        <f t="shared" si="9"/>
        <v>13.972496994501903</v>
      </c>
      <c r="J33" s="99">
        <f t="shared" si="10"/>
        <v>14.051533707148387</v>
      </c>
      <c r="K33" s="99">
        <f t="shared" si="11"/>
        <v>14.080424316889598</v>
      </c>
      <c r="L33" s="104">
        <f t="shared" si="12"/>
        <v>14.034818339513295</v>
      </c>
      <c r="M33" s="85"/>
      <c r="N33" s="85"/>
      <c r="O33" s="85"/>
      <c r="P33" s="85"/>
      <c r="Q33" s="85"/>
      <c r="R33" s="85"/>
      <c r="S33" s="85"/>
      <c r="T33" s="85"/>
      <c r="U33" s="85"/>
    </row>
    <row r="34" spans="1:21">
      <c r="A34" s="85"/>
      <c r="B34" s="91" t="s">
        <v>197</v>
      </c>
      <c r="C34" s="99">
        <v>21.142179489135742</v>
      </c>
      <c r="D34" s="99">
        <v>21.006193161010742</v>
      </c>
      <c r="E34" s="99">
        <v>21.079441070556641</v>
      </c>
      <c r="F34" s="104">
        <f t="shared" si="6"/>
        <v>21.075937906901043</v>
      </c>
      <c r="G34" s="85">
        <f t="shared" si="13"/>
        <v>135</v>
      </c>
      <c r="H34" s="113">
        <f t="shared" si="8"/>
        <v>7.0768155970508309</v>
      </c>
      <c r="I34" s="99">
        <f t="shared" si="9"/>
        <v>14.06536389208491</v>
      </c>
      <c r="J34" s="99">
        <f t="shared" si="10"/>
        <v>13.92937756395991</v>
      </c>
      <c r="K34" s="99">
        <f t="shared" si="11"/>
        <v>14.002625473505809</v>
      </c>
      <c r="L34" s="104">
        <f t="shared" si="12"/>
        <v>13.999122309850209</v>
      </c>
      <c r="M34" s="85"/>
      <c r="N34" s="85"/>
      <c r="O34" s="85"/>
      <c r="P34" s="85"/>
      <c r="Q34" s="85"/>
      <c r="R34" s="85"/>
      <c r="S34" s="85"/>
      <c r="T34" s="85"/>
      <c r="U34" s="85"/>
    </row>
    <row r="35" spans="1:21">
      <c r="A35" s="85"/>
      <c r="B35" s="91" t="s">
        <v>198</v>
      </c>
      <c r="C35" s="99">
        <v>22.919816970825195</v>
      </c>
      <c r="D35" s="99">
        <v>22.845848083496094</v>
      </c>
      <c r="E35" s="99">
        <v>22.840835571289062</v>
      </c>
      <c r="F35" s="104">
        <f t="shared" si="6"/>
        <v>22.868833541870117</v>
      </c>
      <c r="G35" s="85">
        <f t="shared" si="13"/>
        <v>135</v>
      </c>
      <c r="H35" s="113">
        <f t="shared" si="8"/>
        <v>7.0768155970508309</v>
      </c>
      <c r="I35" s="99">
        <f t="shared" si="9"/>
        <v>15.843001373774364</v>
      </c>
      <c r="J35" s="99">
        <f t="shared" si="10"/>
        <v>15.769032486445262</v>
      </c>
      <c r="K35" s="99">
        <f t="shared" si="11"/>
        <v>15.764019974238231</v>
      </c>
      <c r="L35" s="104">
        <f t="shared" si="12"/>
        <v>15.792017944819285</v>
      </c>
      <c r="M35" s="85"/>
      <c r="N35" s="85"/>
      <c r="O35" s="85"/>
      <c r="P35" s="85"/>
      <c r="Q35" s="85"/>
      <c r="R35" s="85"/>
      <c r="S35" s="85"/>
      <c r="T35" s="85"/>
      <c r="U35" s="85"/>
    </row>
    <row r="36" spans="1:21">
      <c r="A36" s="85"/>
      <c r="B36" s="91" t="s">
        <v>198</v>
      </c>
      <c r="C36" s="99">
        <v>22.919816970825195</v>
      </c>
      <c r="D36" s="99">
        <v>24.184415817260742</v>
      </c>
      <c r="E36" s="99">
        <v>24.005857467651367</v>
      </c>
      <c r="F36" s="104">
        <f t="shared" si="6"/>
        <v>23.703363418579102</v>
      </c>
      <c r="G36" s="85">
        <f t="shared" si="13"/>
        <v>135</v>
      </c>
      <c r="H36" s="113">
        <f t="shared" si="8"/>
        <v>7.0768155970508309</v>
      </c>
      <c r="I36" s="99">
        <f t="shared" si="9"/>
        <v>15.843001373774364</v>
      </c>
      <c r="J36" s="99">
        <f t="shared" si="10"/>
        <v>17.10760022020991</v>
      </c>
      <c r="K36" s="99">
        <f t="shared" si="11"/>
        <v>16.929041870600535</v>
      </c>
      <c r="L36" s="104">
        <f t="shared" si="12"/>
        <v>16.62654782152827</v>
      </c>
      <c r="M36" s="85"/>
      <c r="N36" s="85"/>
      <c r="O36" s="85"/>
      <c r="P36" s="85"/>
      <c r="Q36" s="85"/>
      <c r="R36" s="85"/>
      <c r="S36" s="85"/>
      <c r="T36" s="85"/>
      <c r="U36" s="85"/>
    </row>
    <row r="37" spans="1:21">
      <c r="A37" s="85"/>
      <c r="B37" s="91" t="s">
        <v>200</v>
      </c>
      <c r="C37" s="99">
        <v>24.632528305053711</v>
      </c>
      <c r="D37" s="99">
        <v>24.451812744140625</v>
      </c>
      <c r="E37" s="99">
        <v>24.549453735351562</v>
      </c>
      <c r="F37" s="104">
        <f t="shared" si="6"/>
        <v>24.544598261515301</v>
      </c>
      <c r="G37" s="85">
        <f t="shared" si="13"/>
        <v>135</v>
      </c>
      <c r="H37" s="113">
        <f t="shared" si="8"/>
        <v>7.0768155970508309</v>
      </c>
      <c r="I37" s="99">
        <f t="shared" si="9"/>
        <v>17.555712708002879</v>
      </c>
      <c r="J37" s="99">
        <f t="shared" si="10"/>
        <v>17.374997147089793</v>
      </c>
      <c r="K37" s="99">
        <f t="shared" si="11"/>
        <v>17.472638138300731</v>
      </c>
      <c r="L37" s="104">
        <f t="shared" si="12"/>
        <v>17.467782664464469</v>
      </c>
      <c r="M37" s="85"/>
      <c r="N37" s="85"/>
      <c r="O37" s="85"/>
      <c r="P37" s="85"/>
      <c r="Q37" s="85"/>
      <c r="R37" s="85"/>
      <c r="S37" s="85"/>
      <c r="T37" s="85"/>
      <c r="U37" s="85"/>
    </row>
    <row r="38" spans="1:21">
      <c r="A38" s="85"/>
      <c r="B38" s="91" t="s">
        <v>201</v>
      </c>
      <c r="C38" s="92"/>
      <c r="D38" s="92"/>
      <c r="E38" s="92"/>
      <c r="F38" s="104" t="e">
        <f t="shared" si="6"/>
        <v>#DIV/0!</v>
      </c>
      <c r="G38" s="85">
        <v>0</v>
      </c>
      <c r="H38" s="113">
        <f>AVERAGE(H27:H36)</f>
        <v>6.992015906395336</v>
      </c>
      <c r="I38" s="99">
        <f t="shared" si="9"/>
        <v>-6.992015906395336</v>
      </c>
      <c r="J38" s="99">
        <f t="shared" si="10"/>
        <v>-6.992015906395336</v>
      </c>
      <c r="K38" s="99">
        <f t="shared" si="11"/>
        <v>-6.992015906395336</v>
      </c>
      <c r="L38" s="104">
        <f t="shared" si="12"/>
        <v>-6.9920159063953351</v>
      </c>
      <c r="M38" s="85"/>
      <c r="N38" s="85"/>
      <c r="O38" s="85"/>
      <c r="P38" s="85"/>
      <c r="Q38" s="85"/>
      <c r="R38" s="85"/>
      <c r="S38" s="85"/>
      <c r="T38" s="85"/>
      <c r="U38" s="85"/>
    </row>
    <row r="39" spans="1:21">
      <c r="A39" s="85"/>
      <c r="B39" s="85"/>
      <c r="C39" s="85"/>
      <c r="D39" s="85"/>
      <c r="E39" s="85"/>
      <c r="F39" s="113"/>
      <c r="G39" s="85"/>
      <c r="H39" s="85"/>
      <c r="I39" s="85"/>
      <c r="J39" s="85"/>
      <c r="K39" s="85"/>
      <c r="L39" s="85"/>
      <c r="M39" s="85"/>
      <c r="N39" s="85"/>
      <c r="O39" s="85"/>
      <c r="P39" s="85"/>
      <c r="Q39" s="85"/>
      <c r="R39" s="85"/>
      <c r="S39" s="85"/>
      <c r="T39" s="85"/>
      <c r="U39" s="85"/>
    </row>
    <row r="40" spans="1:21">
      <c r="A40" s="85"/>
      <c r="B40" s="91" t="s">
        <v>278</v>
      </c>
      <c r="C40" s="99">
        <v>14.390941619873047</v>
      </c>
      <c r="D40" s="99">
        <v>14.411395072937012</v>
      </c>
      <c r="E40" s="99">
        <v>14.301624298095703</v>
      </c>
      <c r="F40" s="104">
        <f>AVERAGE(C40:E40)</f>
        <v>14.367986996968588</v>
      </c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5"/>
    </row>
    <row r="41" spans="1:21">
      <c r="A41" s="85"/>
      <c r="B41" s="85"/>
      <c r="C41" s="85"/>
      <c r="D41" s="85"/>
      <c r="E41" s="85"/>
      <c r="F41" s="85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5"/>
    </row>
    <row r="42" spans="1:21">
      <c r="A42" s="85"/>
      <c r="B42" s="98" t="s">
        <v>214</v>
      </c>
      <c r="C42" s="85" t="s">
        <v>215</v>
      </c>
      <c r="D42" s="85"/>
      <c r="E42" s="85"/>
      <c r="F42" t="s">
        <v>263</v>
      </c>
      <c r="G42" s="85"/>
      <c r="H42" s="85"/>
      <c r="I42" s="85"/>
      <c r="J42" s="85"/>
      <c r="K42" s="85"/>
      <c r="L42" s="85"/>
      <c r="M42" s="85"/>
      <c r="N42" s="85"/>
      <c r="O42" s="85"/>
      <c r="P42" s="85"/>
      <c r="Q42" s="85"/>
      <c r="R42" s="85"/>
      <c r="S42" s="85"/>
      <c r="T42" s="85"/>
      <c r="U42" s="85"/>
    </row>
    <row r="43" spans="1:21">
      <c r="A43" s="85"/>
      <c r="B43" s="85" t="s">
        <v>264</v>
      </c>
      <c r="C43" s="85" t="s">
        <v>215</v>
      </c>
      <c r="D43" s="85"/>
      <c r="E43" s="85"/>
      <c r="F43">
        <v>0.35990572856564834</v>
      </c>
      <c r="G43" s="85"/>
      <c r="H43" s="85"/>
      <c r="I43" s="85"/>
      <c r="J43" s="85"/>
      <c r="K43" s="85"/>
      <c r="L43" s="85"/>
      <c r="M43" s="85"/>
      <c r="N43" s="85"/>
      <c r="O43" s="85"/>
      <c r="P43" s="85"/>
      <c r="Q43" s="85"/>
      <c r="R43" s="85"/>
      <c r="S43" s="85"/>
      <c r="T43" s="85"/>
      <c r="U43" s="85"/>
    </row>
    <row r="44" spans="1:21">
      <c r="A44" s="85"/>
      <c r="B44" s="85"/>
      <c r="C44" s="102" t="s">
        <v>217</v>
      </c>
      <c r="D44" s="123">
        <v>-3.2483</v>
      </c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85"/>
      <c r="U44" s="85"/>
    </row>
    <row r="45" spans="1:21">
      <c r="A45" s="85"/>
      <c r="B45" s="85"/>
      <c r="C45" s="102" t="s">
        <v>218</v>
      </c>
      <c r="D45" s="100">
        <v>36.023000000000003</v>
      </c>
      <c r="E45" s="85"/>
      <c r="F45" s="85"/>
      <c r="G45" s="85"/>
      <c r="H45" s="85"/>
      <c r="I45" s="85"/>
      <c r="J45" s="85"/>
      <c r="K45" s="85"/>
      <c r="L45" s="85"/>
      <c r="M45" s="85"/>
      <c r="N45" s="85"/>
      <c r="O45" s="85"/>
      <c r="P45" s="85"/>
      <c r="Q45" s="85"/>
      <c r="R45" s="85"/>
      <c r="S45" s="85"/>
      <c r="T45" s="85"/>
      <c r="U45" s="85"/>
    </row>
    <row r="46" spans="1:21">
      <c r="A46" s="85"/>
      <c r="B46" s="85"/>
      <c r="C46" s="85"/>
      <c r="D46" s="85"/>
      <c r="E46" s="85"/>
      <c r="F46" s="85"/>
      <c r="G46" s="85"/>
      <c r="H46" s="85"/>
      <c r="I46" s="85"/>
      <c r="J46" s="85"/>
      <c r="K46" s="85"/>
      <c r="L46" s="85"/>
      <c r="M46" s="85"/>
      <c r="N46" s="85"/>
      <c r="O46" s="85"/>
      <c r="P46" s="85"/>
      <c r="Q46" s="85"/>
      <c r="R46" s="85"/>
      <c r="S46" s="85"/>
      <c r="T46" s="85"/>
      <c r="U46" s="85"/>
    </row>
    <row r="47" spans="1:21">
      <c r="A47" s="85"/>
      <c r="B47" s="85"/>
      <c r="C47" s="85"/>
      <c r="D47" s="85"/>
      <c r="E47" s="85"/>
      <c r="F47" s="85"/>
      <c r="G47" s="85"/>
      <c r="H47" s="85"/>
      <c r="I47" s="85"/>
      <c r="J47" s="85"/>
      <c r="K47" s="85"/>
      <c r="L47" s="85"/>
      <c r="M47" s="85"/>
      <c r="N47" s="85"/>
      <c r="O47" s="85"/>
      <c r="P47" s="85"/>
      <c r="Q47" s="85"/>
      <c r="R47" s="85"/>
      <c r="S47" s="85"/>
      <c r="T47" s="85"/>
      <c r="U47" s="85"/>
    </row>
    <row r="48" spans="1:21">
      <c r="A48" s="85"/>
      <c r="B48" s="98" t="s">
        <v>219</v>
      </c>
      <c r="C48" s="85"/>
      <c r="D48" s="85">
        <f>-1+ POWER(10,-(1/D44))</f>
        <v>1.0316707994539165</v>
      </c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85"/>
      <c r="U48" s="85"/>
    </row>
    <row r="49" spans="1:21">
      <c r="A49" s="85"/>
      <c r="B49" s="85"/>
      <c r="C49" s="85"/>
      <c r="D49" s="85"/>
      <c r="E49" s="85"/>
      <c r="F49" s="85"/>
      <c r="G49" s="85"/>
      <c r="H49" s="85"/>
      <c r="I49" s="85"/>
      <c r="J49" s="85"/>
      <c r="K49" s="85"/>
      <c r="L49" s="85"/>
      <c r="M49" s="85"/>
      <c r="N49" s="85"/>
      <c r="O49" s="85"/>
      <c r="P49" s="85"/>
      <c r="Q49" s="85"/>
      <c r="R49" s="85"/>
      <c r="S49" s="85"/>
      <c r="T49" s="85"/>
      <c r="U49" s="85"/>
    </row>
    <row r="50" spans="1:21">
      <c r="A50" s="85"/>
      <c r="B50" s="85"/>
      <c r="C50" s="85"/>
      <c r="D50" s="85"/>
      <c r="E50" s="85"/>
      <c r="F50" s="85"/>
      <c r="G50" s="85"/>
      <c r="H50" s="85"/>
      <c r="I50" s="85"/>
      <c r="J50" s="85"/>
      <c r="K50" s="85"/>
      <c r="L50" s="85"/>
      <c r="M50" s="85"/>
      <c r="N50" s="85"/>
      <c r="O50" s="85"/>
      <c r="P50" s="85"/>
      <c r="Q50" s="85"/>
      <c r="R50" s="85"/>
      <c r="S50" s="85"/>
      <c r="T50" s="85"/>
      <c r="U50" s="85"/>
    </row>
    <row r="51" spans="1:21">
      <c r="A51" s="85"/>
      <c r="B51" s="85"/>
      <c r="C51" s="85"/>
      <c r="D51" s="85"/>
      <c r="E51" s="85"/>
      <c r="F51" s="85"/>
      <c r="G51" s="85"/>
      <c r="H51" s="85"/>
      <c r="I51" s="85"/>
      <c r="J51" s="85"/>
      <c r="K51" s="85"/>
      <c r="L51" s="85"/>
      <c r="M51" s="85"/>
      <c r="N51" s="85"/>
      <c r="O51" s="85"/>
      <c r="P51" s="85"/>
      <c r="Q51" s="85"/>
      <c r="R51" s="85"/>
      <c r="S51" s="85"/>
      <c r="T51" s="85"/>
      <c r="U51" s="85"/>
    </row>
    <row r="52" spans="1:21">
      <c r="A52" s="85"/>
      <c r="B52" s="85"/>
      <c r="C52" s="85"/>
      <c r="D52" s="85"/>
      <c r="E52" s="85"/>
      <c r="F52" s="85"/>
      <c r="G52" s="85"/>
      <c r="H52" s="85"/>
      <c r="I52" s="85"/>
      <c r="J52" s="85"/>
      <c r="K52" s="85"/>
      <c r="L52" s="85"/>
      <c r="M52" s="85"/>
      <c r="N52" s="85"/>
      <c r="O52" s="85"/>
      <c r="P52" s="85"/>
      <c r="Q52" s="85"/>
      <c r="R52" s="85"/>
      <c r="S52" s="85"/>
      <c r="T52" s="85"/>
      <c r="U52" s="85"/>
    </row>
    <row r="53" spans="1:21">
      <c r="A53" s="85"/>
      <c r="B53" s="85"/>
      <c r="C53" s="85"/>
      <c r="D53" s="85"/>
      <c r="E53" s="85"/>
      <c r="F53" s="85"/>
      <c r="G53" s="85"/>
      <c r="H53" s="85"/>
      <c r="I53" s="85"/>
      <c r="J53" s="85"/>
      <c r="K53" s="85"/>
      <c r="L53" s="85"/>
      <c r="M53" s="85"/>
      <c r="N53" s="85"/>
      <c r="O53" s="85"/>
      <c r="P53" s="85"/>
      <c r="Q53" s="85"/>
      <c r="R53" s="85"/>
      <c r="S53" s="85"/>
      <c r="T53" s="85"/>
      <c r="U53" s="85"/>
    </row>
    <row r="54" spans="1:21">
      <c r="A54" s="85"/>
    </row>
  </sheetData>
  <mergeCells count="7">
    <mergeCell ref="S1:S2"/>
    <mergeCell ref="P3:R3"/>
    <mergeCell ref="B1:B2"/>
    <mergeCell ref="C1:C2"/>
    <mergeCell ref="D1:G1"/>
    <mergeCell ref="H1:K1"/>
    <mergeCell ref="L1:O1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8"/>
  <sheetViews>
    <sheetView topLeftCell="A58" workbookViewId="0">
      <selection activeCell="I9" sqref="I9"/>
    </sheetView>
  </sheetViews>
  <sheetFormatPr baseColWidth="10" defaultRowHeight="14" x14ac:dyDescent="0"/>
  <cols>
    <col min="16" max="16" width="13.5" customWidth="1"/>
    <col min="17" max="17" width="11.33203125" customWidth="1"/>
    <col min="19" max="19" width="15.33203125" customWidth="1"/>
  </cols>
  <sheetData>
    <row r="1" spans="1:19">
      <c r="A1" s="103" t="s">
        <v>279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</row>
    <row r="2" spans="1:19">
      <c r="A2" s="132" t="s">
        <v>4</v>
      </c>
      <c r="B2" s="132" t="s">
        <v>117</v>
      </c>
      <c r="C2" s="132" t="s">
        <v>117</v>
      </c>
      <c r="D2" s="132" t="s">
        <v>5</v>
      </c>
      <c r="E2" s="144" t="s">
        <v>221</v>
      </c>
      <c r="F2" s="144" t="s">
        <v>222</v>
      </c>
      <c r="G2" s="144" t="s">
        <v>223</v>
      </c>
      <c r="H2" s="146" t="s">
        <v>224</v>
      </c>
      <c r="I2" s="146" t="s">
        <v>225</v>
      </c>
      <c r="J2" s="146" t="s">
        <v>226</v>
      </c>
      <c r="K2" s="144" t="s">
        <v>227</v>
      </c>
      <c r="L2" s="144" t="s">
        <v>228</v>
      </c>
      <c r="M2" s="144" t="s">
        <v>229</v>
      </c>
      <c r="N2" s="144" t="s">
        <v>230</v>
      </c>
      <c r="O2" s="144" t="s">
        <v>231</v>
      </c>
      <c r="P2" s="146" t="s">
        <v>232</v>
      </c>
      <c r="Q2" s="146" t="s">
        <v>267</v>
      </c>
      <c r="R2" s="146" t="s">
        <v>234</v>
      </c>
      <c r="S2" s="146" t="s">
        <v>235</v>
      </c>
    </row>
    <row r="3" spans="1:19">
      <c r="A3" s="133"/>
      <c r="B3" s="133"/>
      <c r="C3" s="133"/>
      <c r="D3" s="133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</row>
    <row r="4" spans="1:19">
      <c r="A4" s="40">
        <v>0</v>
      </c>
      <c r="B4" s="32">
        <v>10</v>
      </c>
      <c r="C4" s="32">
        <f>B4</f>
        <v>10</v>
      </c>
      <c r="D4" s="13">
        <f t="shared" ref="D4:D20" si="0">C4/60</f>
        <v>0.16666666666666666</v>
      </c>
      <c r="E4" s="99">
        <v>25.281694412231445</v>
      </c>
      <c r="F4" s="99">
        <v>25.250923156738281</v>
      </c>
      <c r="G4" s="104">
        <v>25.003190994262695</v>
      </c>
      <c r="H4" s="110">
        <f>E4-$H$71+$H$78</f>
        <v>25.169704164974927</v>
      </c>
      <c r="I4" s="110">
        <f>F4-$H$71+$H$78</f>
        <v>25.138932909481763</v>
      </c>
      <c r="J4" s="110">
        <f>G4-$H$71+$H$78</f>
        <v>24.891200747006177</v>
      </c>
      <c r="K4" s="104">
        <f>((H4-'Calibration F. prausnitzii'!$D$45)/'Calibration F. prausnitzii'!$D$44)+$B$27</f>
        <v>6.994435872155135</v>
      </c>
      <c r="L4" s="104">
        <f>((I4-'Calibration F. prausnitzii'!$D$45)/'Calibration F. prausnitzii'!$D$44)+$B$27</f>
        <v>7.0039089058937556</v>
      </c>
      <c r="M4" s="104">
        <f>((J4-'Calibration F. prausnitzii'!$D$45)/'Calibration F. prausnitzii'!$D$44)+$B$27</f>
        <v>7.0801740792076702</v>
      </c>
      <c r="N4" s="105">
        <f>AVERAGE(K4:M4)</f>
        <v>7.0261729524188539</v>
      </c>
      <c r="O4" s="105">
        <f>STDEV(K4:M4)</f>
        <v>4.7005593953269489E-2</v>
      </c>
      <c r="P4" s="106">
        <f>(AVERAGE(POWER(10,K4),POWER(10,L4),POWER(10,M4)))*Calculation!$I4/Calculation!$K3</f>
        <v>10682544.359905062</v>
      </c>
      <c r="Q4" s="106">
        <f>(STDEV(POWER(10,K4),POWER(10,L4),POWER(10,M4))*Calculation!$I4/Calculation!$K3)</f>
        <v>1188327.245596691</v>
      </c>
      <c r="R4" s="105">
        <f>LOG(P4)</f>
        <v>7.0286747049268179</v>
      </c>
      <c r="S4" s="105">
        <f>O4*Calculation!$I4/Calculation!$K3</f>
        <v>4.7089432705861523E-2</v>
      </c>
    </row>
    <row r="5" spans="1:19">
      <c r="A5" s="40">
        <v>1</v>
      </c>
      <c r="B5" s="32">
        <v>110</v>
      </c>
      <c r="C5" s="32">
        <f>C4+B5</f>
        <v>120</v>
      </c>
      <c r="D5" s="13">
        <f t="shared" si="0"/>
        <v>2</v>
      </c>
      <c r="E5" s="99">
        <v>24.27525520324707</v>
      </c>
      <c r="F5" s="99">
        <v>24.478677749633789</v>
      </c>
      <c r="G5" s="104">
        <v>24.628807067871094</v>
      </c>
      <c r="H5" s="110">
        <f>E5-$H$71+$H$78</f>
        <v>24.163264955990552</v>
      </c>
      <c r="I5" s="110">
        <f>F5-$H$71+$H$78</f>
        <v>24.366687502377271</v>
      </c>
      <c r="J5" s="110">
        <f>G5-$H$71+$H$78</f>
        <v>24.516816820614576</v>
      </c>
      <c r="K5" s="104">
        <f>((H5-'Calibration F. prausnitzii'!$D$45)/'Calibration F. prausnitzii'!$D$44)+$B$27</f>
        <v>7.3042715428088227</v>
      </c>
      <c r="L5" s="104">
        <f>((I5-'Calibration F. prausnitzii'!$D$45)/'Calibration F. prausnitzii'!$D$44)+$B$27</f>
        <v>7.2416472327430288</v>
      </c>
      <c r="M5" s="104">
        <f>((J5-'Calibration F. prausnitzii'!$D$45)/'Calibration F. prausnitzii'!$D$44)+$B$27</f>
        <v>7.1954294208915055</v>
      </c>
      <c r="N5" s="105">
        <f t="shared" ref="N5:N17" si="1">AVERAGE(K5:M5)</f>
        <v>7.2471160654811184</v>
      </c>
      <c r="O5" s="105">
        <f t="shared" ref="O5:O17" si="2">STDEV(K5:M5)</f>
        <v>5.4626760607818792E-2</v>
      </c>
      <c r="P5" s="106">
        <f>(AVERAGE(POWER(10,K5),POWER(10,L5),POWER(10,M5)))*Calculation!$I5/Calculation!$K4</f>
        <v>17812374.95447199</v>
      </c>
      <c r="Q5" s="106">
        <f>(STDEV(POWER(10,K5),POWER(10,L5),POWER(10,M5))*Calculation!$I5/Calculation!$K4)</f>
        <v>2256770.5702511431</v>
      </c>
      <c r="R5" s="105">
        <f t="shared" ref="R5:R20" si="3">LOG(P5)</f>
        <v>7.2507218285512707</v>
      </c>
      <c r="S5" s="105">
        <f>O5*Calculation!$I5/Calculation!$K4</f>
        <v>5.4791051527664107E-2</v>
      </c>
    </row>
    <row r="6" spans="1:19">
      <c r="A6" s="40">
        <v>2</v>
      </c>
      <c r="B6" s="32">
        <v>80</v>
      </c>
      <c r="C6" s="32">
        <f>C5+B6</f>
        <v>200</v>
      </c>
      <c r="D6" s="13">
        <f t="shared" si="0"/>
        <v>3.3333333333333335</v>
      </c>
      <c r="E6" s="99">
        <v>22.960411071777344</v>
      </c>
      <c r="F6" s="99">
        <v>22.579435348510742</v>
      </c>
      <c r="G6" s="104">
        <v>23.060287475585938</v>
      </c>
      <c r="H6" s="110">
        <f>E6-$H$71+$H$78</f>
        <v>22.848420824520826</v>
      </c>
      <c r="I6" s="110">
        <f>F6-$H$71+$H$78</f>
        <v>22.467445101254224</v>
      </c>
      <c r="J6" s="110">
        <f>G6-$H$71+$H$78</f>
        <v>22.94829722832942</v>
      </c>
      <c r="K6" s="104">
        <f>((H6-'Calibration F. prausnitzii'!$D$45)/'Calibration F. prausnitzii'!$D$44)+$B$27</f>
        <v>7.7090506985117226</v>
      </c>
      <c r="L6" s="104">
        <f>((I6-'Calibration F. prausnitzii'!$D$45)/'Calibration F. prausnitzii'!$D$44)+$B$27</f>
        <v>7.8263353468713568</v>
      </c>
      <c r="M6" s="104">
        <f>((J6-'Calibration F. prausnitzii'!$D$45)/'Calibration F. prausnitzii'!$D$44)+$B$27</f>
        <v>7.6783034141449473</v>
      </c>
      <c r="N6" s="105">
        <f t="shared" si="1"/>
        <v>7.7378964865093423</v>
      </c>
      <c r="O6" s="105">
        <f t="shared" si="2"/>
        <v>7.8118006186677386E-2</v>
      </c>
      <c r="P6" s="106">
        <f>(AVERAGE(POWER(10,K6),POWER(10,L6),POWER(10,M6)))*Calculation!$I6/Calculation!$K5</f>
        <v>55532772.712359831</v>
      </c>
      <c r="Q6" s="106">
        <f>(STDEV(POWER(10,K6),POWER(10,L6),POWER(10,M6))*Calculation!$I6/Calculation!$K5)</f>
        <v>10363276.290115343</v>
      </c>
      <c r="R6" s="105">
        <f t="shared" si="3"/>
        <v>7.7445493580325433</v>
      </c>
      <c r="S6" s="105">
        <f>O6*Calculation!$I6/Calculation!$K5</f>
        <v>7.8451195640621793E-2</v>
      </c>
    </row>
    <row r="7" spans="1:19">
      <c r="A7" s="40">
        <v>3</v>
      </c>
      <c r="B7" s="32">
        <v>80</v>
      </c>
      <c r="C7" s="32">
        <f>C6+B7</f>
        <v>280</v>
      </c>
      <c r="D7" s="13">
        <f t="shared" si="0"/>
        <v>4.666666666666667</v>
      </c>
      <c r="E7" s="99">
        <v>21.20512580871582</v>
      </c>
      <c r="F7" s="99">
        <v>21.261146545410156</v>
      </c>
      <c r="G7" s="104">
        <v>21.410995483398438</v>
      </c>
      <c r="H7" s="110">
        <f>E7-$H$71+$H$78</f>
        <v>21.093135561459302</v>
      </c>
      <c r="I7" s="110">
        <f>F7-$H$71+$H$78</f>
        <v>21.149156298153638</v>
      </c>
      <c r="J7" s="110">
        <f>G7-$H$71+$H$78</f>
        <v>21.29900523614192</v>
      </c>
      <c r="K7" s="104">
        <f>((H7-'Calibration F. prausnitzii'!$D$45)/'Calibration F. prausnitzii'!$D$44)+$B$27</f>
        <v>8.2494211270625097</v>
      </c>
      <c r="L7" s="104">
        <f>((I7-'Calibration F. prausnitzii'!$D$45)/'Calibration F. prausnitzii'!$D$44)+$B$27</f>
        <v>8.2321749562364364</v>
      </c>
      <c r="M7" s="104">
        <f>((J7-'Calibration F. prausnitzii'!$D$45)/'Calibration F. prausnitzii'!$D$44)+$B$27</f>
        <v>8.1860434603806702</v>
      </c>
      <c r="N7" s="105">
        <f t="shared" si="1"/>
        <v>8.2225465145598715</v>
      </c>
      <c r="O7" s="105">
        <f t="shared" si="2"/>
        <v>3.2767549883197522E-2</v>
      </c>
      <c r="P7" s="106">
        <f>(AVERAGE(POWER(10,K7),POWER(10,L7),POWER(10,M7)))*Calculation!$I7/Calculation!$K6</f>
        <v>168503530.88490486</v>
      </c>
      <c r="Q7" s="106">
        <f>(STDEV(POWER(10,K7),POWER(10,L7),POWER(10,M7))*Calculation!$I7/Calculation!$K6)</f>
        <v>12510433.44015618</v>
      </c>
      <c r="R7" s="105">
        <f t="shared" si="3"/>
        <v>8.2266090056688661</v>
      </c>
      <c r="S7" s="105">
        <f>O7*Calculation!$I7/Calculation!$K6</f>
        <v>3.3013462874679059E-2</v>
      </c>
    </row>
    <row r="8" spans="1:19">
      <c r="A8" s="40">
        <v>4</v>
      </c>
      <c r="B8" s="32">
        <v>80</v>
      </c>
      <c r="C8" s="32">
        <f t="shared" ref="C8:C18" si="4">C7+B8</f>
        <v>360</v>
      </c>
      <c r="D8" s="13">
        <f t="shared" si="0"/>
        <v>6</v>
      </c>
      <c r="E8" s="99">
        <v>20.655954360961914</v>
      </c>
      <c r="F8" s="99">
        <v>20.995979309082031</v>
      </c>
      <c r="G8" s="104">
        <v>21.423868179321289</v>
      </c>
      <c r="H8" s="110">
        <f>E8-$H$71+$H$78</f>
        <v>20.543964113705396</v>
      </c>
      <c r="I8" s="110">
        <f>F8-$H$71+$H$78</f>
        <v>20.883989061825513</v>
      </c>
      <c r="J8" s="110">
        <f>G8-$H$71+$H$78</f>
        <v>21.311877932064771</v>
      </c>
      <c r="K8" s="104">
        <f>((H8-'Calibration F. prausnitzii'!$D$45)/'Calibration F. prausnitzii'!$D$44)+$B$27</f>
        <v>8.4184853907554889</v>
      </c>
      <c r="L8" s="104">
        <f>((I8-'Calibration F. prausnitzii'!$D$45)/'Calibration F. prausnitzii'!$D$44)+$B$27</f>
        <v>8.3138075752458018</v>
      </c>
      <c r="M8" s="104">
        <f>((J8-'Calibration F. prausnitzii'!$D$45)/'Calibration F. prausnitzii'!$D$44)+$B$27</f>
        <v>8.1820805579631433</v>
      </c>
      <c r="N8" s="105">
        <f t="shared" si="1"/>
        <v>8.3047911746548113</v>
      </c>
      <c r="O8" s="105">
        <f t="shared" si="2"/>
        <v>0.11846004749115682</v>
      </c>
      <c r="P8" s="106">
        <f>(AVERAGE(POWER(10,K8),POWER(10,L8),POWER(10,M8)))*Calculation!$I8/Calculation!$K7</f>
        <v>209377486.03009471</v>
      </c>
      <c r="Q8" s="106">
        <f>(STDEV(POWER(10,K8),POWER(10,L8),POWER(10,M8))*Calculation!$I8/Calculation!$K7)</f>
        <v>55724663.790341936</v>
      </c>
      <c r="R8" s="105">
        <f t="shared" si="3"/>
        <v>8.3209299809790931</v>
      </c>
      <c r="S8" s="105">
        <f>O8*Calculation!$I8/Calculation!$K7</f>
        <v>0.11998179508597154</v>
      </c>
    </row>
    <row r="9" spans="1:19">
      <c r="A9" s="40">
        <v>5</v>
      </c>
      <c r="B9" s="32">
        <v>80</v>
      </c>
      <c r="C9" s="32">
        <f t="shared" si="4"/>
        <v>440</v>
      </c>
      <c r="D9" s="13">
        <f t="shared" si="0"/>
        <v>7.333333333333333</v>
      </c>
      <c r="E9" s="99">
        <v>19.565996170043945</v>
      </c>
      <c r="F9" s="99">
        <v>19.877494812011719</v>
      </c>
      <c r="G9" s="104">
        <v>19.824718475341797</v>
      </c>
      <c r="H9" s="110">
        <f>E9-$H$71+$H$78</f>
        <v>19.454005922787427</v>
      </c>
      <c r="I9" s="110">
        <f>F9-$H$71+$H$78</f>
        <v>19.765504564755201</v>
      </c>
      <c r="J9" s="110">
        <f>G9-$H$71+$H$78</f>
        <v>19.712728228085279</v>
      </c>
      <c r="K9" s="104">
        <f>((H9-'Calibration F. prausnitzii'!$D$45)/'Calibration F. prausnitzii'!$D$44)+$B$27</f>
        <v>8.7540326588397086</v>
      </c>
      <c r="L9" s="104">
        <f>((I9-'Calibration F. prausnitzii'!$D$45)/'Calibration F. prausnitzii'!$D$44)+$B$27</f>
        <v>8.6581367619189269</v>
      </c>
      <c r="M9" s="104">
        <f>((J9-'Calibration F. prausnitzii'!$D$45)/'Calibration F. prausnitzii'!$D$44)+$B$27</f>
        <v>8.6743841333655052</v>
      </c>
      <c r="N9" s="105">
        <f t="shared" si="1"/>
        <v>8.6955178513747153</v>
      </c>
      <c r="O9" s="105">
        <f t="shared" si="2"/>
        <v>5.1322327394905345E-2</v>
      </c>
      <c r="P9" s="106">
        <f>(AVERAGE(POWER(10,K9),POWER(10,L9),POWER(10,M9)))*Calculation!$I9/Calculation!$K8</f>
        <v>508920323.19384915</v>
      </c>
      <c r="Q9" s="106">
        <f>(STDEV(POWER(10,K9),POWER(10,L9),POWER(10,M9))*Calculation!$I9/Calculation!$K8)</f>
        <v>61820778.116166733</v>
      </c>
      <c r="R9" s="105">
        <f t="shared" si="3"/>
        <v>8.7066497943095449</v>
      </c>
      <c r="S9" s="105">
        <f>O9*Calculation!$I9/Calculation!$K8</f>
        <v>5.2405669539870317E-2</v>
      </c>
    </row>
    <row r="10" spans="1:19">
      <c r="A10" s="40">
        <v>6</v>
      </c>
      <c r="B10" s="32">
        <v>80</v>
      </c>
      <c r="C10" s="32">
        <f t="shared" si="4"/>
        <v>520</v>
      </c>
      <c r="D10" s="13">
        <f t="shared" si="0"/>
        <v>8.6666666666666661</v>
      </c>
      <c r="E10" s="99">
        <v>19.008749008178711</v>
      </c>
      <c r="F10" s="99">
        <v>19.651035308837891</v>
      </c>
      <c r="G10" s="104">
        <v>19.263456344604492</v>
      </c>
      <c r="H10" s="110">
        <f>E10-$H$71+$H$78</f>
        <v>18.896758760922193</v>
      </c>
      <c r="I10" s="110">
        <f>F10-$H$71+$H$78</f>
        <v>19.539045061581373</v>
      </c>
      <c r="J10" s="110">
        <f>G10-$H$71+$H$78</f>
        <v>19.151466097347974</v>
      </c>
      <c r="K10" s="104">
        <f>((H10-'Calibration F. prausnitzii'!$D$45)/'Calibration F. prausnitzii'!$D$44)+$B$27</f>
        <v>8.9255830580840012</v>
      </c>
      <c r="L10" s="104">
        <f>((I10-'Calibration F. prausnitzii'!$D$45)/'Calibration F. prausnitzii'!$D$44)+$B$27</f>
        <v>8.7278530760444166</v>
      </c>
      <c r="M10" s="104">
        <f>((J10-'Calibration F. prausnitzii'!$D$45)/'Calibration F. prausnitzii'!$D$44)+$B$27</f>
        <v>8.8471705541817194</v>
      </c>
      <c r="N10" s="105">
        <f t="shared" si="1"/>
        <v>8.8335355627700469</v>
      </c>
      <c r="O10" s="105">
        <f t="shared" si="2"/>
        <v>9.9567671422208737E-2</v>
      </c>
      <c r="P10" s="106">
        <f>(AVERAGE(POWER(10,K10),POWER(10,L10),POWER(10,M10)))*Calculation!$I10/Calculation!$K9</f>
        <v>716409478.24987543</v>
      </c>
      <c r="Q10" s="106">
        <f>(STDEV(POWER(10,K10),POWER(10,L10),POWER(10,M10))*Calculation!$I10/Calculation!$K9)</f>
        <v>159426930.66151872</v>
      </c>
      <c r="R10" s="105">
        <f t="shared" si="3"/>
        <v>8.8551613230234327</v>
      </c>
      <c r="S10" s="105">
        <f>O10*Calculation!$I10/Calculation!$K9</f>
        <v>0.10286883579110725</v>
      </c>
    </row>
    <row r="11" spans="1:19">
      <c r="A11" s="40">
        <v>7</v>
      </c>
      <c r="B11" s="32">
        <v>80</v>
      </c>
      <c r="C11" s="32">
        <f t="shared" si="4"/>
        <v>600</v>
      </c>
      <c r="D11" s="13">
        <f t="shared" si="0"/>
        <v>10</v>
      </c>
      <c r="E11" s="99">
        <v>18.91717529296875</v>
      </c>
      <c r="F11" s="99">
        <v>18.919370651245117</v>
      </c>
      <c r="G11" s="104">
        <v>18.887886047363281</v>
      </c>
      <c r="H11" s="110">
        <f>E11-$H$71+$H$78</f>
        <v>18.805185045712232</v>
      </c>
      <c r="I11" s="110">
        <f>F11-$H$71+$H$78</f>
        <v>18.807380403988599</v>
      </c>
      <c r="J11" s="110">
        <f>G11-$H$71+$H$78</f>
        <v>18.775895800106763</v>
      </c>
      <c r="K11" s="104">
        <f>((H11-'Calibration F. prausnitzii'!$D$45)/'Calibration F. prausnitzii'!$D$44)+$B$27</f>
        <v>8.9537743320457537</v>
      </c>
      <c r="L11" s="104">
        <f>((I11-'Calibration F. prausnitzii'!$D$45)/'Calibration F. prausnitzii'!$D$44)+$B$27</f>
        <v>8.9530984836707983</v>
      </c>
      <c r="M11" s="104">
        <f>((J11-'Calibration F. prausnitzii'!$D$45)/'Calibration F. prausnitzii'!$D$44)+$B$27</f>
        <v>8.9627911240925062</v>
      </c>
      <c r="N11" s="105">
        <f t="shared" si="1"/>
        <v>8.9565546466030188</v>
      </c>
      <c r="O11" s="105">
        <f t="shared" si="2"/>
        <v>5.4115091577247969E-3</v>
      </c>
      <c r="P11" s="106">
        <f>(AVERAGE(POWER(10,K11),POWER(10,L11),POWER(10,M11)))*Calculation!$I11/Calculation!$K10</f>
        <v>948083697.30950105</v>
      </c>
      <c r="Q11" s="106">
        <f>(STDEV(POWER(10,K11),POWER(10,L11),POWER(10,M11))*Calculation!$I11/Calculation!$K10)</f>
        <v>11855002.761343785</v>
      </c>
      <c r="R11" s="105">
        <f t="shared" si="3"/>
        <v>8.9768466787675525</v>
      </c>
      <c r="S11" s="105">
        <f>O11*Calculation!$I11/Calculation!$K10</f>
        <v>5.6700632119805082E-3</v>
      </c>
    </row>
    <row r="12" spans="1:19">
      <c r="A12" s="40">
        <v>8</v>
      </c>
      <c r="B12" s="32">
        <v>80</v>
      </c>
      <c r="C12" s="32">
        <f t="shared" si="4"/>
        <v>680</v>
      </c>
      <c r="D12" s="13">
        <f t="shared" si="0"/>
        <v>11.333333333333334</v>
      </c>
      <c r="E12" s="99">
        <v>18.698385238647461</v>
      </c>
      <c r="F12" s="99">
        <v>18.852069854736328</v>
      </c>
      <c r="G12" s="104">
        <v>18.983232498168945</v>
      </c>
      <c r="H12" s="110">
        <f>E12-$H$71+$H$78</f>
        <v>18.586394991390943</v>
      </c>
      <c r="I12" s="110">
        <f>F12-$H$71+$H$78</f>
        <v>18.74007960747981</v>
      </c>
      <c r="J12" s="110">
        <f>G12-$H$71+$H$78</f>
        <v>18.871242250912427</v>
      </c>
      <c r="K12" s="104">
        <f>((H12-'Calibration F. prausnitzii'!$D$45)/'Calibration F. prausnitzii'!$D$44)+$B$27</f>
        <v>9.0211295807362344</v>
      </c>
      <c r="L12" s="104">
        <f>((I12-'Calibration F. prausnitzii'!$D$45)/'Calibration F. prausnitzii'!$D$44)+$B$27</f>
        <v>8.9738172585711418</v>
      </c>
      <c r="M12" s="104">
        <f>((J12-'Calibration F. prausnitzii'!$D$45)/'Calibration F. prausnitzii'!$D$44)+$B$27</f>
        <v>8.9334384008817</v>
      </c>
      <c r="N12" s="105">
        <f t="shared" si="1"/>
        <v>8.9761284133963581</v>
      </c>
      <c r="O12" s="105">
        <f t="shared" si="2"/>
        <v>4.3891250079482413E-2</v>
      </c>
      <c r="P12" s="106">
        <f>(AVERAGE(POWER(10,K12),POWER(10,L12),POWER(10,M12)))*Calculation!$I12/Calculation!$K11</f>
        <v>1005906081.9334017</v>
      </c>
      <c r="Q12" s="106">
        <f>(STDEV(POWER(10,K12),POWER(10,L12),POWER(10,M12))*Calculation!$I12/Calculation!$K11)</f>
        <v>101932594.4406898</v>
      </c>
      <c r="R12" s="105">
        <f t="shared" si="3"/>
        <v>9.0025574339981009</v>
      </c>
      <c r="S12" s="105">
        <f>O12*Calculation!$I12/Calculation!$K11</f>
        <v>4.6486378655071464E-2</v>
      </c>
    </row>
    <row r="13" spans="1:19">
      <c r="A13" s="40">
        <v>9</v>
      </c>
      <c r="B13" s="32">
        <v>80</v>
      </c>
      <c r="C13" s="32">
        <f t="shared" si="4"/>
        <v>760</v>
      </c>
      <c r="D13" s="13">
        <f t="shared" si="0"/>
        <v>12.666666666666666</v>
      </c>
      <c r="E13" s="99">
        <v>18.600984573364258</v>
      </c>
      <c r="F13" s="99">
        <v>18.775629043579102</v>
      </c>
      <c r="G13" s="104">
        <v>18.647548675537109</v>
      </c>
      <c r="H13" s="110">
        <f>E13-$H$71+$H$78</f>
        <v>18.48899432610774</v>
      </c>
      <c r="I13" s="110">
        <f>F13-$H$71+$H$78</f>
        <v>18.663638796322584</v>
      </c>
      <c r="J13" s="110">
        <f>G13-$H$71+$H$78</f>
        <v>18.535558428280591</v>
      </c>
      <c r="K13" s="104">
        <f>((H13-'Calibration F. prausnitzii'!$D$45)/'Calibration F. prausnitzii'!$D$44)+$B$27</f>
        <v>9.0511147007322936</v>
      </c>
      <c r="L13" s="104">
        <f>((I13-'Calibration F. prausnitzii'!$D$45)/'Calibration F. prausnitzii'!$D$44)+$B$27</f>
        <v>8.9973498174964952</v>
      </c>
      <c r="M13" s="104">
        <f>((J13-'Calibration F. prausnitzii'!$D$45)/'Calibration F. prausnitzii'!$D$44)+$B$27</f>
        <v>9.0367797864162362</v>
      </c>
      <c r="N13" s="105">
        <f t="shared" si="1"/>
        <v>9.0284147682150095</v>
      </c>
      <c r="O13" s="105">
        <f t="shared" si="2"/>
        <v>2.784144059616734E-2</v>
      </c>
      <c r="P13" s="106">
        <f>(AVERAGE(POWER(10,K13),POWER(10,L13),POWER(10,M13)))*Calculation!$I13/Calculation!$K12</f>
        <v>1133950356.1176469</v>
      </c>
      <c r="Q13" s="106">
        <f>(STDEV(POWER(10,K13),POWER(10,L13),POWER(10,M13))*Calculation!$I13/Calculation!$K12)</f>
        <v>71697260.98729606</v>
      </c>
      <c r="R13" s="105">
        <f t="shared" si="3"/>
        <v>9.0545940417384525</v>
      </c>
      <c r="S13" s="105">
        <f>O13*Calculation!$I13/Calculation!$K12</f>
        <v>2.953122353968508E-2</v>
      </c>
    </row>
    <row r="14" spans="1:19">
      <c r="A14" s="40">
        <v>10</v>
      </c>
      <c r="B14" s="32">
        <v>80</v>
      </c>
      <c r="C14" s="32">
        <f t="shared" si="4"/>
        <v>840</v>
      </c>
      <c r="D14" s="13">
        <f t="shared" si="0"/>
        <v>14</v>
      </c>
      <c r="E14" s="99">
        <v>18.961185455322266</v>
      </c>
      <c r="F14" s="99">
        <v>18.852336883544922</v>
      </c>
      <c r="G14" s="104">
        <v>18.72035026550293</v>
      </c>
      <c r="H14" s="110">
        <f>E14-$H$71+$H$78</f>
        <v>18.849195208065748</v>
      </c>
      <c r="I14" s="110">
        <f>F14-$H$71+$H$78</f>
        <v>18.740346636288404</v>
      </c>
      <c r="J14" s="110">
        <f>G14-$H$71+$H$78</f>
        <v>18.608360018246412</v>
      </c>
      <c r="K14" s="104">
        <f>((H14-'Calibration F. prausnitzii'!$D$45)/'Calibration F. prausnitzii'!$D$44)+$B$27</f>
        <v>8.9402256566298384</v>
      </c>
      <c r="L14" s="104">
        <f>((I14-'Calibration F. prausnitzii'!$D$45)/'Calibration F. prausnitzii'!$D$44)+$B$27</f>
        <v>8.9737350528608957</v>
      </c>
      <c r="M14" s="104">
        <f>((J14-'Calibration F. prausnitzii'!$D$45)/'Calibration F. prausnitzii'!$D$44)+$B$27</f>
        <v>9.0143675738848135</v>
      </c>
      <c r="N14" s="105">
        <f t="shared" si="1"/>
        <v>8.9761094277918492</v>
      </c>
      <c r="O14" s="105">
        <f t="shared" si="2"/>
        <v>3.7127943867058526E-2</v>
      </c>
      <c r="P14" s="106">
        <f>(AVERAGE(POWER(10,K14),POWER(10,L14),POWER(10,M14)))*Calculation!$I14/Calculation!$K13</f>
        <v>1007910483.0429368</v>
      </c>
      <c r="Q14" s="106">
        <f>(STDEV(POWER(10,K14),POWER(10,L14),POWER(10,M14))*Calculation!$I14/Calculation!$K13)</f>
        <v>86437879.068678707</v>
      </c>
      <c r="R14" s="105">
        <f t="shared" si="3"/>
        <v>9.0034219622217648</v>
      </c>
      <c r="S14" s="105">
        <f>O14*Calculation!$I14/Calculation!$K13</f>
        <v>3.9441477554173571E-2</v>
      </c>
    </row>
    <row r="15" spans="1:19">
      <c r="A15" s="40">
        <v>11</v>
      </c>
      <c r="B15" s="32">
        <v>80</v>
      </c>
      <c r="C15" s="32">
        <f t="shared" si="4"/>
        <v>920</v>
      </c>
      <c r="D15" s="13">
        <f t="shared" si="0"/>
        <v>15.333333333333334</v>
      </c>
      <c r="E15" s="99">
        <v>18.643379211425781</v>
      </c>
      <c r="F15" s="99">
        <v>18.906330108642578</v>
      </c>
      <c r="G15" s="104">
        <v>18.829465866088867</v>
      </c>
      <c r="H15" s="110">
        <f>E15-$H$71+$H$78</f>
        <v>18.531388964169263</v>
      </c>
      <c r="I15" s="110">
        <f>F15-$H$71+$H$78</f>
        <v>18.79433986138606</v>
      </c>
      <c r="J15" s="110">
        <f>G15-$H$71+$H$78</f>
        <v>18.717475618832349</v>
      </c>
      <c r="K15" s="104">
        <f>((H15-'Calibration F. prausnitzii'!$D$45)/'Calibration F. prausnitzii'!$D$44)+$B$27</f>
        <v>9.0380633698633712</v>
      </c>
      <c r="L15" s="104">
        <f>((I15-'Calibration F. prausnitzii'!$D$45)/'Calibration F. prausnitzii'!$D$44)+$B$27</f>
        <v>8.9571130582490515</v>
      </c>
      <c r="M15" s="104">
        <f>((J15-'Calibration F. prausnitzii'!$D$45)/'Calibration F. prausnitzii'!$D$44)+$B$27</f>
        <v>8.9807759719435101</v>
      </c>
      <c r="N15" s="105">
        <f t="shared" si="1"/>
        <v>8.991984133351977</v>
      </c>
      <c r="O15" s="105">
        <f t="shared" si="2"/>
        <v>4.1622775006389993E-2</v>
      </c>
      <c r="P15" s="106">
        <f>(AVERAGE(POWER(10,K15),POWER(10,L15),POWER(10,M15)))*Calculation!$I15/Calculation!$K14</f>
        <v>1047777924.9183537</v>
      </c>
      <c r="Q15" s="106">
        <f>(STDEV(POWER(10,K15),POWER(10,L15),POWER(10,M15))*Calculation!$I15/Calculation!$K14)</f>
        <v>102083194.30123071</v>
      </c>
      <c r="R15" s="105">
        <f t="shared" si="3"/>
        <v>9.0202692442864461</v>
      </c>
      <c r="S15" s="105">
        <f>O15*Calculation!$I15/Calculation!$K14</f>
        <v>4.4286521791971331E-2</v>
      </c>
    </row>
    <row r="16" spans="1:19">
      <c r="A16" s="40">
        <v>12</v>
      </c>
      <c r="B16" s="32">
        <v>80</v>
      </c>
      <c r="C16" s="32">
        <f t="shared" si="4"/>
        <v>1000</v>
      </c>
      <c r="D16" s="13">
        <f t="shared" si="0"/>
        <v>16.666666666666668</v>
      </c>
      <c r="E16" s="99">
        <v>18.783638000488281</v>
      </c>
      <c r="F16" s="99">
        <v>18.862676620483398</v>
      </c>
      <c r="G16" s="104">
        <v>18.691574096679688</v>
      </c>
      <c r="H16" s="110">
        <f>E16-$H$71+$H$78</f>
        <v>18.671647753231763</v>
      </c>
      <c r="I16" s="110">
        <f>F16-$H$71+$H$78</f>
        <v>18.75068637322688</v>
      </c>
      <c r="J16" s="110">
        <f>G16-$H$71+$H$78</f>
        <v>18.57958384942317</v>
      </c>
      <c r="K16" s="104">
        <f>((H16-'Calibration F. prausnitzii'!$D$45)/'Calibration F. prausnitzii'!$D$44)+$B$27</f>
        <v>8.9948842333727459</v>
      </c>
      <c r="L16" s="104">
        <f>((I16-'Calibration F. prausnitzii'!$D$45)/'Calibration F. prausnitzii'!$D$44)+$B$27</f>
        <v>8.9705519303234222</v>
      </c>
      <c r="M16" s="104">
        <f>((J16-'Calibration F. prausnitzii'!$D$45)/'Calibration F. prausnitzii'!$D$44)+$B$27</f>
        <v>9.0232264135311642</v>
      </c>
      <c r="N16" s="105">
        <f t="shared" si="1"/>
        <v>8.9962208590757768</v>
      </c>
      <c r="O16" s="105">
        <f t="shared" si="2"/>
        <v>2.6362667192512505E-2</v>
      </c>
      <c r="P16" s="106">
        <f>(AVERAGE(POWER(10,K16),POWER(10,L16),POWER(10,M16)))*Calculation!$I16/Calculation!$K15</f>
        <v>1056950980.334975</v>
      </c>
      <c r="Q16" s="106">
        <f>(STDEV(POWER(10,K16),POWER(10,L16),POWER(10,M16))*Calculation!$I16/Calculation!$K15)</f>
        <v>64277103.786888227</v>
      </c>
      <c r="R16" s="105">
        <f t="shared" si="3"/>
        <v>9.0240548459037448</v>
      </c>
      <c r="S16" s="105">
        <f>O16*Calculation!$I16/Calculation!$K15</f>
        <v>2.8073027745403968E-2</v>
      </c>
    </row>
    <row r="17" spans="1:19">
      <c r="A17" s="40">
        <v>13</v>
      </c>
      <c r="B17" s="32">
        <v>80</v>
      </c>
      <c r="C17" s="32">
        <f t="shared" si="4"/>
        <v>1080</v>
      </c>
      <c r="D17" s="13">
        <f t="shared" si="0"/>
        <v>18</v>
      </c>
      <c r="E17" s="99">
        <v>18.564105987548828</v>
      </c>
      <c r="F17" s="99">
        <v>18.708301544189453</v>
      </c>
      <c r="G17" s="104">
        <v>18.693330764770508</v>
      </c>
      <c r="H17" s="110">
        <f>E17-$H$71+$H$78</f>
        <v>18.45211574029231</v>
      </c>
      <c r="I17" s="110">
        <f>F17-$H$71+$H$78</f>
        <v>18.596311296932935</v>
      </c>
      <c r="J17" s="110">
        <f>G17-$H$71+$H$78</f>
        <v>18.58134051751399</v>
      </c>
      <c r="K17" s="104">
        <f>((H17-'Calibration F. prausnitzii'!$D$45)/'Calibration F. prausnitzii'!$D$44)+$B$27</f>
        <v>9.0624678965009817</v>
      </c>
      <c r="L17" s="104">
        <f>((I17-'Calibration F. prausnitzii'!$D$45)/'Calibration F. prausnitzii'!$D$44)+$B$27</f>
        <v>9.0180768129678643</v>
      </c>
      <c r="M17" s="104">
        <f>((J17-'Calibration F. prausnitzii'!$D$45)/'Calibration F. prausnitzii'!$D$44)+$B$27</f>
        <v>9.0226856173944707</v>
      </c>
      <c r="N17" s="105">
        <f t="shared" si="1"/>
        <v>9.0344101089544395</v>
      </c>
      <c r="O17" s="105">
        <f t="shared" si="2"/>
        <v>2.4407782592154405E-2</v>
      </c>
      <c r="P17" s="106">
        <f>(AVERAGE(POWER(10,K17),POWER(10,L17),POWER(10,M17)))*Calculation!$I17/Calculation!$K16</f>
        <v>1153909869.293751</v>
      </c>
      <c r="Q17" s="106">
        <f>(STDEV(POWER(10,K17),POWER(10,L17),POWER(10,M17))*Calculation!$I17/Calculation!$K16)</f>
        <v>65826172.191749454</v>
      </c>
      <c r="R17" s="105">
        <f t="shared" si="3"/>
        <v>9.0621718878517274</v>
      </c>
      <c r="S17" s="105">
        <f>O17*Calculation!$I17/Calculation!$K16</f>
        <v>2.5991313887539738E-2</v>
      </c>
    </row>
    <row r="18" spans="1:19">
      <c r="A18" s="40">
        <v>14</v>
      </c>
      <c r="B18" s="32">
        <v>360</v>
      </c>
      <c r="C18" s="32">
        <f t="shared" si="4"/>
        <v>1440</v>
      </c>
      <c r="D18" s="13">
        <f t="shared" si="0"/>
        <v>24</v>
      </c>
      <c r="E18" s="99">
        <v>19.333248138427734</v>
      </c>
      <c r="F18" s="99">
        <v>19.036319732666016</v>
      </c>
      <c r="G18" s="104">
        <v>19.116983413696289</v>
      </c>
      <c r="H18" s="110">
        <f>E18-$H$71+$H$78</f>
        <v>19.221257891171216</v>
      </c>
      <c r="I18" s="110">
        <f>F18-$H$71+$H$78</f>
        <v>18.924329485409498</v>
      </c>
      <c r="J18" s="110">
        <f>G18-$H$71+$H$78</f>
        <v>19.004993166439771</v>
      </c>
      <c r="K18" s="104">
        <f>((H18-'Calibration F. prausnitzii'!$D$45)/'Calibration F. prausnitzii'!$D$44)+$B$27</f>
        <v>8.8256849174415031</v>
      </c>
      <c r="L18" s="104">
        <f>((I18-'Calibration F. prausnitzii'!$D$45)/'Calibration F. prausnitzii'!$D$44)+$B$27</f>
        <v>8.9170953185010475</v>
      </c>
      <c r="M18" s="104">
        <f>((J18-'Calibration F. prausnitzii'!$D$45)/'Calibration F. prausnitzii'!$D$44)+$B$27</f>
        <v>8.8922627349865095</v>
      </c>
      <c r="N18" s="105">
        <f>AVERAGE(K18:M18)</f>
        <v>8.878347656976354</v>
      </c>
      <c r="O18" s="105">
        <f>STDEV(K18:M18)</f>
        <v>4.7267191607797479E-2</v>
      </c>
      <c r="P18" s="106">
        <f>(AVERAGE(POWER(10,K18),POWER(10,L18),POWER(10,M18)))*Calculation!$I18/Calculation!$K17</f>
        <v>808582411.5927484</v>
      </c>
      <c r="Q18" s="106">
        <f>(STDEV(POWER(10,K18),POWER(10,L18),POWER(10,M18))*Calculation!$I18/Calculation!$K17)</f>
        <v>85930727.479977354</v>
      </c>
      <c r="R18" s="105">
        <f t="shared" si="3"/>
        <v>8.9077242902609601</v>
      </c>
      <c r="S18" s="105">
        <f>O18*Calculation!$I18/Calculation!$K17</f>
        <v>5.0378860208484831E-2</v>
      </c>
    </row>
    <row r="19" spans="1:19">
      <c r="A19" s="40">
        <v>15</v>
      </c>
      <c r="B19" s="32">
        <v>360</v>
      </c>
      <c r="C19" s="32">
        <f>C18+B19</f>
        <v>1800</v>
      </c>
      <c r="D19" s="13">
        <f t="shared" si="0"/>
        <v>30</v>
      </c>
      <c r="E19" s="99">
        <v>19.78425407409668</v>
      </c>
      <c r="F19" s="99">
        <v>19.932920455932617</v>
      </c>
      <c r="G19" s="104">
        <v>19.905359268188477</v>
      </c>
      <c r="H19" s="110">
        <f>E19-$H$71+$H$78</f>
        <v>19.672263826840162</v>
      </c>
      <c r="I19" s="110">
        <f>F19-$H$71+$H$78</f>
        <v>19.820930208676099</v>
      </c>
      <c r="J19" s="110">
        <f>G19-$H$71+$H$78</f>
        <v>19.793369020931959</v>
      </c>
      <c r="K19" s="104">
        <f>((H19-'Calibration F. prausnitzii'!$D$45)/'Calibration F. prausnitzii'!$D$44)+$B$27</f>
        <v>8.6868412343860761</v>
      </c>
      <c r="L19" s="104">
        <f>((I19-'Calibration F. prausnitzii'!$D$45)/'Calibration F. prausnitzii'!$D$44)+$B$27</f>
        <v>8.6410737923899745</v>
      </c>
      <c r="M19" s="104">
        <f>((J19-'Calibration F. prausnitzii'!$D$45)/'Calibration F. prausnitzii'!$D$44)+$B$27</f>
        <v>8.6495585960547032</v>
      </c>
      <c r="N19" s="105">
        <f t="shared" ref="N19:N20" si="5">AVERAGE(K19:M19)</f>
        <v>8.659157874276918</v>
      </c>
      <c r="O19" s="105">
        <f t="shared" ref="O19:O20" si="6">STDEV(K19:M19)</f>
        <v>2.4346956555332453E-2</v>
      </c>
      <c r="P19" s="106">
        <f>(AVERAGE(POWER(10,K19),POWER(10,L19),POWER(10,M19)))*Calculation!$I19/Calculation!$K18</f>
        <v>486749492.85519332</v>
      </c>
      <c r="Q19" s="106">
        <f>(STDEV(POWER(10,K19),POWER(10,L19),POWER(10,M19))*Calculation!$I19/Calculation!$K18)</f>
        <v>27655771.238291293</v>
      </c>
      <c r="R19" s="105">
        <f t="shared" si="3"/>
        <v>8.6873055077004295</v>
      </c>
      <c r="S19" s="105">
        <f>O19*Calculation!$I19/Calculation!$K18</f>
        <v>2.5949752440989203E-2</v>
      </c>
    </row>
    <row r="20" spans="1:19">
      <c r="A20" s="40">
        <v>16</v>
      </c>
      <c r="B20" s="32">
        <v>1080</v>
      </c>
      <c r="C20" s="32">
        <f>C19+B20</f>
        <v>2880</v>
      </c>
      <c r="D20" s="13">
        <f t="shared" si="0"/>
        <v>48</v>
      </c>
      <c r="E20" s="99">
        <v>20.849868774414062</v>
      </c>
      <c r="F20" s="99">
        <v>20.932430267333984</v>
      </c>
      <c r="G20" s="104">
        <v>21.53648567199707</v>
      </c>
      <c r="H20" s="110">
        <f>E20-$H$71+$H$78</f>
        <v>20.737878527157545</v>
      </c>
      <c r="I20" s="110">
        <f>F20-$H$71+$H$78</f>
        <v>20.820440020077466</v>
      </c>
      <c r="J20" s="110">
        <f>G20-$H$71+$H$78</f>
        <v>21.424495424740552</v>
      </c>
      <c r="K20" s="104">
        <f>((H20-'Calibration F. prausnitzii'!$D$45)/'Calibration F. prausnitzii'!$D$44)+$B$27</f>
        <v>8.3587881911581157</v>
      </c>
      <c r="L20" s="104">
        <f>((I20-'Calibration F. prausnitzii'!$D$45)/'Calibration F. prausnitzii'!$D$44)+$B$27</f>
        <v>8.3333713599171837</v>
      </c>
      <c r="M20" s="104">
        <f>((J20-'Calibration F. prausnitzii'!$D$45)/'Calibration F. prausnitzii'!$D$44)+$B$27</f>
        <v>8.1474108868503219</v>
      </c>
      <c r="N20" s="105">
        <f t="shared" si="5"/>
        <v>8.2798568126418743</v>
      </c>
      <c r="O20" s="105">
        <f t="shared" si="6"/>
        <v>0.11540340667271679</v>
      </c>
      <c r="P20" s="106">
        <f>(AVERAGE(POWER(10,K20),POWER(10,L20),POWER(10,M20)))*Calculation!$I20/Calculation!$K19</f>
        <v>207805937.89430165</v>
      </c>
      <c r="Q20" s="106">
        <f>(STDEV(POWER(10,K20),POWER(10,L20),POWER(10,M20))*Calculation!$I20/Calculation!$K19)</f>
        <v>50702957.599548094</v>
      </c>
      <c r="R20" s="105">
        <f t="shared" si="3"/>
        <v>8.3176579530281138</v>
      </c>
      <c r="S20" s="105">
        <f>O20*Calculation!$I20/Calculation!$K19</f>
        <v>0.12312420099480093</v>
      </c>
    </row>
    <row r="21" spans="1:19">
      <c r="A21" s="10"/>
      <c r="B21" s="10"/>
      <c r="C21" s="10"/>
      <c r="D21" s="108"/>
      <c r="E21" s="118"/>
      <c r="F21" s="118"/>
      <c r="G21" s="119"/>
      <c r="H21" s="112"/>
      <c r="I21" s="112"/>
      <c r="J21" s="112"/>
      <c r="K21" s="119"/>
      <c r="L21" s="119"/>
      <c r="M21" s="119"/>
      <c r="N21" s="120"/>
      <c r="O21" s="120"/>
      <c r="P21" s="121"/>
      <c r="Q21" s="121"/>
      <c r="R21" s="120"/>
      <c r="S21" s="120"/>
    </row>
    <row r="22" spans="1:19">
      <c r="E22" s="85"/>
      <c r="F22" s="85"/>
      <c r="G22" s="85"/>
      <c r="H22" s="85"/>
      <c r="I22" s="85"/>
      <c r="J22" s="85"/>
      <c r="K22" s="85"/>
      <c r="L22" s="85"/>
      <c r="M22" s="85"/>
      <c r="N22" s="85"/>
      <c r="O22" s="85"/>
      <c r="P22" s="85"/>
      <c r="Q22" s="85"/>
      <c r="R22" s="85"/>
      <c r="S22" s="85"/>
    </row>
    <row r="23" spans="1:19">
      <c r="E23" s="85"/>
      <c r="F23" s="85"/>
      <c r="G23" s="85"/>
      <c r="H23" s="85"/>
      <c r="I23" s="85"/>
      <c r="J23" s="85"/>
      <c r="K23" s="85"/>
      <c r="L23" s="85"/>
      <c r="M23" s="85"/>
      <c r="N23" s="85"/>
      <c r="O23" s="85"/>
      <c r="P23" s="85"/>
      <c r="Q23" s="85"/>
      <c r="R23" s="85"/>
      <c r="S23" s="85"/>
    </row>
    <row r="24" spans="1:19">
      <c r="E24" s="85"/>
      <c r="F24" s="85"/>
      <c r="G24" s="85"/>
      <c r="H24" s="85"/>
      <c r="I24" s="85"/>
      <c r="J24" s="85"/>
      <c r="K24" s="85"/>
      <c r="L24" s="85"/>
      <c r="M24" s="85"/>
      <c r="N24" s="85"/>
      <c r="O24" s="85"/>
      <c r="P24" s="85"/>
      <c r="Q24" s="85"/>
      <c r="R24" s="85"/>
      <c r="S24" s="85"/>
    </row>
    <row r="25" spans="1:19">
      <c r="E25" s="85"/>
      <c r="F25" s="85"/>
      <c r="G25" s="85"/>
      <c r="H25" s="85"/>
      <c r="I25" s="85"/>
      <c r="J25" s="85"/>
      <c r="K25" s="85"/>
      <c r="L25" s="85"/>
      <c r="M25" s="85"/>
      <c r="N25" s="85"/>
      <c r="O25" s="85"/>
      <c r="P25" s="85"/>
      <c r="Q25" s="85"/>
      <c r="R25" s="85"/>
      <c r="S25" s="85"/>
    </row>
    <row r="26" spans="1:19">
      <c r="A26" s="85"/>
      <c r="B26" s="85"/>
      <c r="C26" s="85"/>
      <c r="D26" s="85"/>
      <c r="E26" s="85"/>
      <c r="F26" s="85"/>
      <c r="G26" s="85"/>
      <c r="H26" s="85"/>
      <c r="I26" s="85"/>
      <c r="J26" s="85"/>
      <c r="K26" s="85"/>
      <c r="L26" s="85"/>
      <c r="M26" s="85"/>
      <c r="N26" s="85"/>
      <c r="O26" s="85"/>
      <c r="P26" s="85"/>
      <c r="Q26" s="85"/>
      <c r="R26" s="85"/>
      <c r="S26" s="85"/>
    </row>
    <row r="27" spans="1:19">
      <c r="A27" s="102" t="s">
        <v>236</v>
      </c>
      <c r="B27" s="109">
        <f>LOG(B28)</f>
        <v>3.6532125137753435</v>
      </c>
      <c r="C27" s="85"/>
      <c r="D27" s="85"/>
      <c r="E27" s="85"/>
      <c r="F27" s="85"/>
      <c r="G27" s="85"/>
      <c r="H27" s="85"/>
      <c r="I27" s="85"/>
      <c r="J27" s="85"/>
      <c r="K27" s="85"/>
      <c r="L27" s="85"/>
      <c r="M27" s="85"/>
      <c r="N27" s="85"/>
      <c r="O27" s="85"/>
      <c r="P27" s="85"/>
      <c r="Q27" s="85"/>
      <c r="R27" s="85"/>
      <c r="S27" s="85"/>
    </row>
    <row r="28" spans="1:19">
      <c r="A28" s="85" t="s">
        <v>237</v>
      </c>
      <c r="B28" s="85">
        <f>20*1800/4/2</f>
        <v>4500</v>
      </c>
      <c r="C28" s="85"/>
      <c r="D28" s="85"/>
      <c r="E28" s="85"/>
      <c r="F28" s="85"/>
      <c r="G28" s="85"/>
      <c r="H28" s="85"/>
      <c r="I28" s="85"/>
      <c r="J28" s="85"/>
      <c r="K28" s="85"/>
      <c r="L28" s="85"/>
      <c r="M28" s="85"/>
      <c r="N28" s="85"/>
      <c r="O28" s="85"/>
      <c r="P28" s="85"/>
      <c r="Q28" s="85"/>
      <c r="R28" s="85"/>
      <c r="S28" s="85"/>
    </row>
    <row r="29" spans="1:19">
      <c r="A29" s="85"/>
      <c r="B29" s="85"/>
      <c r="C29" s="85"/>
      <c r="D29" s="85"/>
      <c r="E29" s="85"/>
      <c r="F29" s="85"/>
      <c r="G29" s="85"/>
      <c r="H29" s="85"/>
      <c r="I29" s="85"/>
      <c r="J29" s="85"/>
      <c r="K29" s="85"/>
      <c r="L29" s="85"/>
      <c r="M29" s="85"/>
      <c r="N29" s="85"/>
      <c r="O29" s="85"/>
      <c r="P29" s="85"/>
      <c r="Q29" s="85"/>
      <c r="R29" s="85"/>
      <c r="S29" s="85"/>
    </row>
    <row r="30" spans="1:19">
      <c r="A30" s="98" t="s">
        <v>280</v>
      </c>
      <c r="B30" s="85"/>
      <c r="C30" s="85"/>
      <c r="D30" s="85"/>
      <c r="E30" s="111">
        <v>14.390941619873047</v>
      </c>
      <c r="F30" s="110">
        <v>14.411395072937012</v>
      </c>
      <c r="G30" s="110">
        <v>14.301624298095703</v>
      </c>
      <c r="H30" s="110">
        <f>AVERAGE(E30:G30)</f>
        <v>14.367986996968588</v>
      </c>
      <c r="I30" s="85"/>
      <c r="J30" s="85"/>
      <c r="K30" s="85"/>
      <c r="L30" s="85"/>
      <c r="M30" s="85"/>
      <c r="N30" s="85"/>
      <c r="O30" s="85"/>
      <c r="P30" s="85"/>
      <c r="Q30" s="85"/>
      <c r="R30" s="85"/>
      <c r="S30" s="85"/>
    </row>
    <row r="31" spans="1:19">
      <c r="A31" s="122" t="s">
        <v>281</v>
      </c>
      <c r="C31" s="85"/>
      <c r="D31" s="85"/>
      <c r="E31" s="111">
        <v>13.95859432220459</v>
      </c>
      <c r="F31" s="110">
        <v>13.837825775146484</v>
      </c>
      <c r="G31" s="110">
        <v>14.070391654968262</v>
      </c>
      <c r="H31" s="110">
        <f t="shared" ref="H31:H75" si="7">AVERAGE(E31:G31)</f>
        <v>13.955603917439779</v>
      </c>
    </row>
    <row r="32" spans="1:19">
      <c r="A32" s="122" t="s">
        <v>282</v>
      </c>
      <c r="E32" s="111">
        <v>14.085451126098633</v>
      </c>
      <c r="F32" s="110">
        <v>14.111333847045898</v>
      </c>
      <c r="G32" s="110">
        <v>14.077548980712891</v>
      </c>
      <c r="H32" s="110">
        <f t="shared" si="7"/>
        <v>14.091444651285807</v>
      </c>
    </row>
    <row r="33" spans="1:8">
      <c r="A33" s="122" t="s">
        <v>283</v>
      </c>
      <c r="E33" s="111">
        <v>13.838394165039062</v>
      </c>
      <c r="F33" s="110">
        <v>14.03663444519043</v>
      </c>
      <c r="G33" s="110">
        <v>13.97320556640625</v>
      </c>
      <c r="H33" s="110">
        <f t="shared" si="7"/>
        <v>13.949411392211914</v>
      </c>
    </row>
    <row r="34" spans="1:8">
      <c r="A34" s="122" t="s">
        <v>284</v>
      </c>
      <c r="E34" s="111">
        <v>11.618982315063477</v>
      </c>
      <c r="F34" s="110">
        <v>11.485271453857422</v>
      </c>
      <c r="G34" s="110">
        <v>11.470490455627441</v>
      </c>
      <c r="H34" s="110">
        <f t="shared" si="7"/>
        <v>11.524914741516113</v>
      </c>
    </row>
    <row r="35" spans="1:8">
      <c r="A35" s="122" t="s">
        <v>285</v>
      </c>
      <c r="E35" s="111">
        <v>14.489413261413574</v>
      </c>
      <c r="F35" s="110">
        <v>14.78773021697998</v>
      </c>
      <c r="G35" s="110">
        <v>14.708776473999023</v>
      </c>
      <c r="H35" s="110">
        <f t="shared" si="7"/>
        <v>14.661973317464193</v>
      </c>
    </row>
    <row r="36" spans="1:8">
      <c r="A36" s="122" t="s">
        <v>286</v>
      </c>
      <c r="E36" s="111">
        <v>14.322483062744141</v>
      </c>
      <c r="F36" s="110">
        <v>14.812288284301758</v>
      </c>
      <c r="G36" s="110">
        <v>14.651363372802734</v>
      </c>
      <c r="H36" s="110">
        <f t="shared" si="7"/>
        <v>14.595378239949545</v>
      </c>
    </row>
    <row r="37" spans="1:8">
      <c r="A37" s="122" t="s">
        <v>287</v>
      </c>
      <c r="E37" s="111">
        <v>13.079689025878906</v>
      </c>
      <c r="F37" s="110">
        <v>13.297797203063965</v>
      </c>
      <c r="G37" s="110">
        <v>14.48363208770752</v>
      </c>
      <c r="H37" s="110">
        <f t="shared" si="7"/>
        <v>13.620372772216797</v>
      </c>
    </row>
    <row r="38" spans="1:8">
      <c r="A38" s="122" t="s">
        <v>288</v>
      </c>
      <c r="B38" s="85"/>
      <c r="C38" s="85"/>
      <c r="D38" s="85"/>
      <c r="E38" s="111">
        <v>14.77447509765625</v>
      </c>
      <c r="F38" s="110">
        <v>15.046281814575195</v>
      </c>
      <c r="G38" s="110">
        <v>14.986320495605469</v>
      </c>
      <c r="H38" s="110">
        <f t="shared" si="7"/>
        <v>14.935692469278971</v>
      </c>
    </row>
    <row r="39" spans="1:8">
      <c r="A39" s="122" t="s">
        <v>288</v>
      </c>
      <c r="C39" s="85"/>
      <c r="D39" s="85"/>
      <c r="E39" s="111">
        <v>13.851560592651367</v>
      </c>
      <c r="F39" s="110">
        <v>14.262241363525391</v>
      </c>
      <c r="G39" s="110">
        <v>14.016228675842285</v>
      </c>
      <c r="H39" s="110">
        <f t="shared" si="7"/>
        <v>14.043343544006348</v>
      </c>
    </row>
    <row r="40" spans="1:8">
      <c r="A40" s="122" t="s">
        <v>289</v>
      </c>
      <c r="E40" s="111">
        <v>14.028319358825684</v>
      </c>
      <c r="F40" s="110">
        <v>14.285782814025879</v>
      </c>
      <c r="G40" s="110">
        <v>14.480982780456543</v>
      </c>
      <c r="H40" s="110">
        <f t="shared" si="7"/>
        <v>14.265028317769369</v>
      </c>
    </row>
    <row r="41" spans="1:8">
      <c r="A41" s="122" t="s">
        <v>289</v>
      </c>
      <c r="E41" s="111">
        <v>14.83289909362793</v>
      </c>
      <c r="F41" s="110">
        <v>14.839167594909668</v>
      </c>
      <c r="G41" s="110">
        <v>14.813106536865234</v>
      </c>
      <c r="H41" s="110">
        <f t="shared" si="7"/>
        <v>14.828391075134277</v>
      </c>
    </row>
    <row r="42" spans="1:8">
      <c r="A42" s="122" t="s">
        <v>290</v>
      </c>
      <c r="E42" s="111">
        <v>15.412906646728516</v>
      </c>
      <c r="F42" s="110">
        <v>15.433472633361816</v>
      </c>
      <c r="G42" s="110">
        <v>15.37113094329834</v>
      </c>
      <c r="H42" s="110">
        <f t="shared" si="7"/>
        <v>15.405836741129557</v>
      </c>
    </row>
    <row r="43" spans="1:8">
      <c r="A43" s="122" t="s">
        <v>290</v>
      </c>
      <c r="E43" s="111">
        <v>15.125240325927734</v>
      </c>
      <c r="F43" s="110">
        <v>15.287156105041504</v>
      </c>
      <c r="G43" s="110">
        <v>15.169957160949707</v>
      </c>
      <c r="H43" s="110">
        <f t="shared" si="7"/>
        <v>15.194117863972982</v>
      </c>
    </row>
    <row r="44" spans="1:8">
      <c r="A44" s="122" t="s">
        <v>291</v>
      </c>
      <c r="E44" s="111">
        <v>14.932897567749023</v>
      </c>
      <c r="F44" s="110">
        <v>14.934226036071777</v>
      </c>
      <c r="G44" s="110">
        <v>14.918047904968262</v>
      </c>
      <c r="H44" s="110">
        <f t="shared" si="7"/>
        <v>14.928390502929688</v>
      </c>
    </row>
    <row r="45" spans="1:8">
      <c r="A45" s="122" t="s">
        <v>291</v>
      </c>
      <c r="E45" s="111">
        <v>14.112751960754395</v>
      </c>
      <c r="F45" s="110">
        <v>14.298762321472168</v>
      </c>
      <c r="G45" s="110">
        <v>14.374398231506348</v>
      </c>
      <c r="H45" s="110">
        <f t="shared" si="7"/>
        <v>14.261970837910971</v>
      </c>
    </row>
    <row r="46" spans="1:8">
      <c r="A46" s="122" t="s">
        <v>292</v>
      </c>
      <c r="E46" s="111">
        <v>14.954710960388184</v>
      </c>
      <c r="F46" s="110">
        <v>14.841438293457031</v>
      </c>
      <c r="G46" s="110">
        <v>15.281417846679688</v>
      </c>
      <c r="H46" s="110">
        <f t="shared" si="7"/>
        <v>15.025855700174967</v>
      </c>
    </row>
    <row r="47" spans="1:8">
      <c r="A47" s="122" t="s">
        <v>293</v>
      </c>
      <c r="E47" s="111">
        <v>14.948505401611328</v>
      </c>
      <c r="F47" s="110">
        <v>15.147294044494629</v>
      </c>
      <c r="G47" s="110">
        <v>14.959335327148438</v>
      </c>
      <c r="H47" s="110">
        <f t="shared" si="7"/>
        <v>15.018378257751465</v>
      </c>
    </row>
    <row r="48" spans="1:8">
      <c r="A48" s="98" t="s">
        <v>294</v>
      </c>
      <c r="B48" s="85"/>
      <c r="C48" s="85"/>
      <c r="D48" s="85"/>
      <c r="E48" s="111">
        <v>15.064580917358398</v>
      </c>
      <c r="F48" s="110">
        <v>15.123675346374512</v>
      </c>
      <c r="G48" s="110">
        <v>15.059396743774414</v>
      </c>
      <c r="H48" s="110">
        <f t="shared" si="7"/>
        <v>15.082551002502441</v>
      </c>
    </row>
    <row r="49" spans="1:8">
      <c r="A49" s="98" t="s">
        <v>295</v>
      </c>
      <c r="B49" s="85"/>
      <c r="C49" s="85"/>
      <c r="D49" s="85"/>
      <c r="E49" s="111">
        <v>14.438828468322754</v>
      </c>
      <c r="F49" s="110">
        <v>14.371813774108887</v>
      </c>
      <c r="G49" s="110">
        <v>15.339963912963867</v>
      </c>
      <c r="H49" s="110">
        <f t="shared" si="7"/>
        <v>14.71686871846517</v>
      </c>
    </row>
    <row r="50" spans="1:8">
      <c r="A50" s="98" t="s">
        <v>298</v>
      </c>
      <c r="B50" s="85"/>
      <c r="C50" s="85"/>
      <c r="D50" s="85"/>
      <c r="E50" s="111">
        <v>14.56031322479248</v>
      </c>
      <c r="F50" s="110">
        <v>14.785432815551758</v>
      </c>
      <c r="G50" s="110">
        <v>14.991518974304199</v>
      </c>
      <c r="H50" s="110">
        <f t="shared" si="7"/>
        <v>14.779088338216146</v>
      </c>
    </row>
    <row r="51" spans="1:8">
      <c r="A51" s="98" t="s">
        <v>327</v>
      </c>
      <c r="B51" s="85"/>
      <c r="C51" s="85"/>
      <c r="D51" s="85"/>
      <c r="E51" s="111">
        <v>15.04175853729248</v>
      </c>
      <c r="F51" s="110">
        <v>15.037652969360352</v>
      </c>
      <c r="G51" s="110">
        <v>14.94129753112793</v>
      </c>
      <c r="H51" s="110">
        <f t="shared" si="7"/>
        <v>15.006903012593588</v>
      </c>
    </row>
    <row r="52" spans="1:8">
      <c r="A52" s="98" t="s">
        <v>328</v>
      </c>
      <c r="B52" s="85"/>
      <c r="C52" s="85"/>
      <c r="D52" s="85"/>
      <c r="E52" s="111">
        <v>15.191975593566895</v>
      </c>
      <c r="F52" s="110">
        <v>15.268773078918457</v>
      </c>
      <c r="G52" s="110">
        <v>15.282587051391602</v>
      </c>
      <c r="H52" s="110">
        <f t="shared" si="7"/>
        <v>15.24777857462565</v>
      </c>
    </row>
    <row r="53" spans="1:8">
      <c r="A53" s="98" t="s">
        <v>329</v>
      </c>
      <c r="B53" s="85"/>
      <c r="C53" s="85"/>
      <c r="D53" s="85"/>
      <c r="E53" s="111">
        <v>15.494284629821777</v>
      </c>
      <c r="F53" s="110">
        <v>15.500131607055664</v>
      </c>
      <c r="G53" s="110">
        <v>15.308513641357422</v>
      </c>
      <c r="H53" s="110">
        <f t="shared" si="7"/>
        <v>15.434309959411621</v>
      </c>
    </row>
    <row r="54" spans="1:8">
      <c r="A54" s="98" t="s">
        <v>330</v>
      </c>
      <c r="B54" s="85"/>
      <c r="C54" s="85"/>
      <c r="D54" s="85"/>
      <c r="E54" s="111">
        <v>15.209195137023926</v>
      </c>
      <c r="F54" s="110">
        <v>15.267397880554199</v>
      </c>
      <c r="G54" s="110">
        <v>15.118107795715332</v>
      </c>
      <c r="H54" s="110">
        <f t="shared" si="7"/>
        <v>15.198233604431152</v>
      </c>
    </row>
    <row r="55" spans="1:8">
      <c r="A55" s="98" t="s">
        <v>331</v>
      </c>
      <c r="B55" s="85"/>
      <c r="C55" s="85"/>
      <c r="D55" s="85"/>
      <c r="E55" s="111">
        <v>15.095216751098633</v>
      </c>
      <c r="F55" s="110">
        <v>15.058335304260254</v>
      </c>
      <c r="G55" s="110">
        <v>15.188286781311035</v>
      </c>
      <c r="H55" s="110">
        <f t="shared" si="7"/>
        <v>15.113946278889975</v>
      </c>
    </row>
    <row r="56" spans="1:8">
      <c r="A56" s="98" t="s">
        <v>332</v>
      </c>
      <c r="B56" s="85"/>
      <c r="C56" s="85"/>
      <c r="D56" s="85"/>
      <c r="E56" s="111">
        <v>14.974048614501953</v>
      </c>
      <c r="F56" s="110">
        <v>15.016510009765625</v>
      </c>
      <c r="G56" s="110">
        <v>14.949863433837891</v>
      </c>
      <c r="H56" s="110">
        <f t="shared" si="7"/>
        <v>14.980140686035156</v>
      </c>
    </row>
    <row r="57" spans="1:8">
      <c r="A57" s="98" t="s">
        <v>333</v>
      </c>
      <c r="E57" s="111">
        <v>15.325250625610352</v>
      </c>
      <c r="F57" s="110">
        <v>15.371528625488281</v>
      </c>
      <c r="G57" s="110">
        <v>15.399141311645508</v>
      </c>
      <c r="H57" s="110">
        <f t="shared" si="7"/>
        <v>15.365306854248047</v>
      </c>
    </row>
    <row r="58" spans="1:8">
      <c r="A58" s="98" t="s">
        <v>333</v>
      </c>
      <c r="E58" s="111">
        <v>15.129462242126465</v>
      </c>
      <c r="F58" s="110">
        <v>15.041775703430176</v>
      </c>
      <c r="G58" s="110">
        <v>15.221658706665039</v>
      </c>
      <c r="H58" s="110">
        <f t="shared" si="7"/>
        <v>15.13096555074056</v>
      </c>
    </row>
    <row r="59" spans="1:8">
      <c r="A59" s="98" t="s">
        <v>334</v>
      </c>
      <c r="E59" s="111">
        <v>15.064123153686523</v>
      </c>
      <c r="F59" s="110">
        <v>15.073297500610352</v>
      </c>
      <c r="G59" s="110">
        <v>15.109650611877441</v>
      </c>
      <c r="H59" s="110">
        <f t="shared" si="7"/>
        <v>15.082357088724772</v>
      </c>
    </row>
    <row r="60" spans="1:8">
      <c r="A60" s="98" t="s">
        <v>335</v>
      </c>
      <c r="E60" s="111">
        <v>15.271329879760742</v>
      </c>
      <c r="F60" s="110">
        <v>15.260854721069336</v>
      </c>
      <c r="G60" s="110">
        <v>15.188329696655273</v>
      </c>
      <c r="H60" s="110">
        <f t="shared" si="7"/>
        <v>15.240171432495117</v>
      </c>
    </row>
    <row r="61" spans="1:8">
      <c r="A61" s="98" t="s">
        <v>336</v>
      </c>
      <c r="E61" s="111">
        <v>14.958261489868164</v>
      </c>
      <c r="F61" s="110">
        <v>14.991987228393555</v>
      </c>
      <c r="G61" s="110">
        <v>15.025043487548828</v>
      </c>
      <c r="H61" s="110">
        <f t="shared" si="7"/>
        <v>14.991764068603516</v>
      </c>
    </row>
    <row r="62" spans="1:8">
      <c r="A62" s="98" t="s">
        <v>337</v>
      </c>
      <c r="E62" s="111">
        <v>15.201624870300293</v>
      </c>
      <c r="F62" s="110">
        <v>15.184474945068359</v>
      </c>
      <c r="G62" s="110">
        <v>15.128211975097656</v>
      </c>
      <c r="H62" s="110">
        <f t="shared" si="7"/>
        <v>15.17143726348877</v>
      </c>
    </row>
    <row r="63" spans="1:8">
      <c r="A63" s="98" t="s">
        <v>337</v>
      </c>
      <c r="E63" s="111">
        <v>15.056846618652344</v>
      </c>
      <c r="F63" s="110">
        <v>15.079096794128418</v>
      </c>
      <c r="G63" s="110">
        <v>14.947562217712402</v>
      </c>
      <c r="H63" s="110">
        <f t="shared" si="7"/>
        <v>15.027835210164389</v>
      </c>
    </row>
    <row r="64" spans="1:8">
      <c r="A64" s="98" t="s">
        <v>338</v>
      </c>
      <c r="E64" s="111">
        <v>15.4</v>
      </c>
      <c r="F64" s="110">
        <v>14.7</v>
      </c>
      <c r="G64" s="110">
        <v>14.2</v>
      </c>
      <c r="H64" s="110">
        <f t="shared" si="7"/>
        <v>14.766666666666666</v>
      </c>
    </row>
    <row r="65" spans="1:8">
      <c r="A65" s="98" t="s">
        <v>338</v>
      </c>
      <c r="E65" s="125">
        <v>14.4</v>
      </c>
      <c r="F65" s="126">
        <v>14.4</v>
      </c>
      <c r="G65" s="126">
        <v>14.5</v>
      </c>
      <c r="H65" s="110">
        <f t="shared" si="7"/>
        <v>14.433333333333332</v>
      </c>
    </row>
    <row r="66" spans="1:8">
      <c r="A66" s="98" t="s">
        <v>339</v>
      </c>
      <c r="E66" s="125">
        <v>15.11392879486084</v>
      </c>
      <c r="F66" s="126">
        <v>15.182292938232422</v>
      </c>
      <c r="G66" s="126">
        <v>15.373931884765625</v>
      </c>
      <c r="H66" s="110">
        <f t="shared" si="7"/>
        <v>15.223384539286295</v>
      </c>
    </row>
    <row r="67" spans="1:8">
      <c r="A67" s="98" t="s">
        <v>345</v>
      </c>
      <c r="B67" s="85"/>
      <c r="C67" s="85"/>
      <c r="D67" s="85"/>
      <c r="E67" s="125">
        <v>14.613919258117676</v>
      </c>
      <c r="F67" s="126">
        <v>14.544337272644043</v>
      </c>
      <c r="G67" s="126">
        <v>14.610519409179688</v>
      </c>
      <c r="H67" s="110">
        <f t="shared" si="7"/>
        <v>14.589591979980469</v>
      </c>
    </row>
    <row r="68" spans="1:8">
      <c r="A68" s="98" t="s">
        <v>346</v>
      </c>
      <c r="B68" s="85"/>
      <c r="C68" s="85"/>
      <c r="D68" s="85"/>
      <c r="E68" s="125">
        <v>14.970376014709473</v>
      </c>
      <c r="F68" s="126">
        <v>14.902167320251465</v>
      </c>
      <c r="G68" s="126">
        <v>14.964475631713867</v>
      </c>
      <c r="H68" s="110">
        <f t="shared" si="7"/>
        <v>14.945672988891602</v>
      </c>
    </row>
    <row r="69" spans="1:8">
      <c r="A69" s="98" t="s">
        <v>347</v>
      </c>
      <c r="B69" s="85"/>
      <c r="C69" s="85"/>
      <c r="D69" s="85"/>
      <c r="E69" s="125">
        <v>15.184457778930664</v>
      </c>
      <c r="F69" s="126">
        <v>15.273150444030762</v>
      </c>
      <c r="G69" s="126">
        <v>15.250771522521973</v>
      </c>
      <c r="H69" s="110">
        <f t="shared" si="7"/>
        <v>15.236126581827799</v>
      </c>
    </row>
    <row r="70" spans="1:8">
      <c r="A70" s="98" t="s">
        <v>348</v>
      </c>
      <c r="B70" s="85"/>
      <c r="C70" s="85"/>
      <c r="D70" s="85"/>
      <c r="E70" s="125">
        <v>15.047176361083984</v>
      </c>
      <c r="F70" s="126">
        <v>15.114773750305176</v>
      </c>
      <c r="G70" s="126">
        <v>15.180623054504395</v>
      </c>
      <c r="H70" s="110">
        <f t="shared" si="7"/>
        <v>15.114191055297852</v>
      </c>
    </row>
    <row r="71" spans="1:8">
      <c r="A71" s="98" t="s">
        <v>349</v>
      </c>
      <c r="B71" s="85"/>
      <c r="E71" s="125">
        <v>14.840383529663086</v>
      </c>
      <c r="F71" s="126">
        <v>14.916571617126465</v>
      </c>
      <c r="G71" s="126">
        <v>14.954231262207031</v>
      </c>
      <c r="H71" s="110">
        <f t="shared" si="7"/>
        <v>14.903728802998861</v>
      </c>
    </row>
    <row r="72" spans="1:8">
      <c r="A72" s="98" t="s">
        <v>358</v>
      </c>
      <c r="E72" s="125">
        <v>15.199845314025879</v>
      </c>
      <c r="F72" s="126">
        <v>15.533450126647949</v>
      </c>
      <c r="G72" s="126">
        <v>15.423110961914062</v>
      </c>
      <c r="H72" s="110">
        <f t="shared" si="7"/>
        <v>15.385468800862631</v>
      </c>
    </row>
    <row r="73" spans="1:8">
      <c r="A73" s="98" t="s">
        <v>359</v>
      </c>
      <c r="B73" s="85"/>
      <c r="E73" s="125">
        <v>15.120054244995117</v>
      </c>
      <c r="F73" s="126">
        <v>15.144433975219727</v>
      </c>
      <c r="G73" s="126">
        <v>15.071084976196289</v>
      </c>
      <c r="H73" s="110">
        <f t="shared" si="7"/>
        <v>15.111857732137045</v>
      </c>
    </row>
    <row r="74" spans="1:8">
      <c r="A74" s="98" t="s">
        <v>359</v>
      </c>
      <c r="E74" s="125">
        <v>15.292695999145508</v>
      </c>
      <c r="F74" s="126">
        <v>15.627285957336426</v>
      </c>
      <c r="G74" s="126">
        <v>15.304715156555176</v>
      </c>
      <c r="H74" s="110">
        <f t="shared" si="7"/>
        <v>15.408232371012369</v>
      </c>
    </row>
    <row r="75" spans="1:8">
      <c r="A75" s="98" t="s">
        <v>360</v>
      </c>
      <c r="E75" s="125">
        <v>15.044212341308594</v>
      </c>
      <c r="F75" s="126">
        <v>15.046442985534668</v>
      </c>
      <c r="G75" s="126">
        <v>15.083253860473633</v>
      </c>
      <c r="H75" s="110">
        <f t="shared" si="7"/>
        <v>15.057969729105631</v>
      </c>
    </row>
    <row r="76" spans="1:8">
      <c r="A76" s="98"/>
      <c r="E76" s="112"/>
      <c r="F76" s="112"/>
      <c r="G76" s="112"/>
      <c r="H76" s="112"/>
    </row>
    <row r="77" spans="1:8">
      <c r="A77" s="122"/>
    </row>
    <row r="78" spans="1:8">
      <c r="G78" t="s">
        <v>277</v>
      </c>
      <c r="H78" s="80">
        <f>AVERAGE(H30:H75)</f>
        <v>14.791738555742343</v>
      </c>
    </row>
  </sheetData>
  <mergeCells count="19">
    <mergeCell ref="L2:L3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S2:S3"/>
    <mergeCell ref="M2:M3"/>
    <mergeCell ref="N2:N3"/>
    <mergeCell ref="O2:O3"/>
    <mergeCell ref="P2:P3"/>
    <mergeCell ref="Q2:Q3"/>
    <mergeCell ref="R2:R3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5"/>
  <sheetViews>
    <sheetView topLeftCell="A17" workbookViewId="0">
      <selection activeCell="K43" sqref="K43"/>
    </sheetView>
  </sheetViews>
  <sheetFormatPr baseColWidth="10" defaultRowHeight="14" x14ac:dyDescent="0"/>
  <cols>
    <col min="7" max="7" width="11" bestFit="1" customWidth="1"/>
  </cols>
  <sheetData>
    <row r="1" spans="1:22">
      <c r="A1" s="85"/>
      <c r="B1" s="144" t="s">
        <v>4</v>
      </c>
      <c r="C1" s="146" t="s">
        <v>185</v>
      </c>
      <c r="D1" s="147" t="s">
        <v>18</v>
      </c>
      <c r="E1" s="147"/>
      <c r="F1" s="147"/>
      <c r="G1" s="147"/>
      <c r="H1" s="147" t="s">
        <v>20</v>
      </c>
      <c r="I1" s="147"/>
      <c r="J1" s="147"/>
      <c r="K1" s="147"/>
      <c r="L1" s="147" t="s">
        <v>21</v>
      </c>
      <c r="M1" s="147"/>
      <c r="N1" s="147"/>
      <c r="O1" s="147"/>
      <c r="P1" s="84" t="s">
        <v>22</v>
      </c>
      <c r="Q1" s="84" t="s">
        <v>22</v>
      </c>
      <c r="R1" s="84" t="s">
        <v>22</v>
      </c>
      <c r="S1" s="151" t="s">
        <v>257</v>
      </c>
      <c r="T1" s="85"/>
      <c r="U1" s="85"/>
      <c r="V1" s="85"/>
    </row>
    <row r="2" spans="1:22">
      <c r="A2" s="85"/>
      <c r="B2" s="145"/>
      <c r="C2" s="145"/>
      <c r="D2" s="86" t="s">
        <v>19</v>
      </c>
      <c r="E2" s="86" t="s">
        <v>68</v>
      </c>
      <c r="F2" s="86" t="s">
        <v>69</v>
      </c>
      <c r="G2" s="86" t="s">
        <v>70</v>
      </c>
      <c r="H2" s="86" t="s">
        <v>19</v>
      </c>
      <c r="I2" s="86" t="s">
        <v>68</v>
      </c>
      <c r="J2" s="86" t="s">
        <v>69</v>
      </c>
      <c r="K2" s="86" t="s">
        <v>70</v>
      </c>
      <c r="L2" s="86" t="s">
        <v>19</v>
      </c>
      <c r="M2" s="86" t="s">
        <v>68</v>
      </c>
      <c r="N2" s="86" t="s">
        <v>69</v>
      </c>
      <c r="O2" s="86" t="s">
        <v>71</v>
      </c>
      <c r="P2" s="87" t="s">
        <v>70</v>
      </c>
      <c r="Q2" s="87" t="s">
        <v>23</v>
      </c>
      <c r="R2" s="87" t="s">
        <v>72</v>
      </c>
      <c r="S2" s="152"/>
      <c r="T2" s="85"/>
      <c r="U2" s="85"/>
      <c r="V2" s="85"/>
    </row>
    <row r="3" spans="1:22">
      <c r="A3" s="85"/>
      <c r="B3" s="88"/>
      <c r="C3" s="88"/>
      <c r="D3" s="89"/>
      <c r="E3" s="89"/>
      <c r="F3" s="89"/>
      <c r="G3" s="90"/>
      <c r="H3" s="89"/>
      <c r="I3" s="89"/>
      <c r="J3" s="89"/>
      <c r="K3" s="90"/>
      <c r="L3" s="89"/>
      <c r="M3" s="89"/>
      <c r="N3" s="89"/>
      <c r="O3" s="90"/>
      <c r="P3" s="141"/>
      <c r="Q3" s="142"/>
      <c r="R3" s="143"/>
      <c r="S3" s="85"/>
      <c r="T3" s="85"/>
      <c r="U3" s="85"/>
      <c r="V3" s="85"/>
    </row>
    <row r="4" spans="1:22">
      <c r="A4" s="85"/>
      <c r="B4" s="91" t="s">
        <v>186</v>
      </c>
      <c r="C4" s="92">
        <v>500</v>
      </c>
      <c r="D4" s="92">
        <v>2</v>
      </c>
      <c r="E4" s="92">
        <v>11777</v>
      </c>
      <c r="F4" s="92">
        <v>6</v>
      </c>
      <c r="G4" s="90">
        <f>(E4/F4)*(10.2)*POWER(10,D4+2)</f>
        <v>200208999.99999997</v>
      </c>
      <c r="H4" s="92">
        <v>2</v>
      </c>
      <c r="I4" s="92">
        <v>12350</v>
      </c>
      <c r="J4" s="92">
        <v>6</v>
      </c>
      <c r="K4" s="90">
        <f>(I4/J4)*(10.2)*POWER(10,H4+2)</f>
        <v>209950000</v>
      </c>
      <c r="L4" s="92">
        <v>2</v>
      </c>
      <c r="M4" s="92">
        <v>12193</v>
      </c>
      <c r="N4" s="92">
        <v>6</v>
      </c>
      <c r="O4" s="90">
        <f t="shared" ref="O4:O19" si="0">(M4/N4)*(10.2)*POWER(10,L4+2)</f>
        <v>207281000</v>
      </c>
      <c r="P4" s="93">
        <f t="shared" ref="P4:P19" si="1">AVERAGE(O4,K4,G4)</f>
        <v>205813333.33333334</v>
      </c>
      <c r="Q4" s="93">
        <f t="shared" ref="Q4:Q19" si="2">STDEV(O4,K4,G4)</f>
        <v>5033617.4202389978</v>
      </c>
      <c r="R4" s="94">
        <f>LOG(P4)</f>
        <v>8.313473506507659</v>
      </c>
      <c r="S4" s="98"/>
      <c r="T4" s="85"/>
      <c r="U4" s="85"/>
      <c r="V4" s="85"/>
    </row>
    <row r="5" spans="1:22">
      <c r="A5" s="85"/>
      <c r="B5" s="91" t="s">
        <v>187</v>
      </c>
      <c r="C5" s="92">
        <v>500</v>
      </c>
      <c r="D5" s="92">
        <v>1</v>
      </c>
      <c r="E5" s="92">
        <v>10368</v>
      </c>
      <c r="F5" s="92">
        <v>6</v>
      </c>
      <c r="G5" s="90">
        <f t="shared" ref="G5:G19" si="3">(E5/F5)*(10.2)*POWER(10,D5+2)</f>
        <v>17625600</v>
      </c>
      <c r="H5" s="92">
        <v>1</v>
      </c>
      <c r="I5" s="92">
        <v>11649</v>
      </c>
      <c r="J5" s="92">
        <v>6</v>
      </c>
      <c r="K5" s="90">
        <f t="shared" ref="K5:K19" si="4">(I5/J5)*(10.2)*POWER(10,H5+2)</f>
        <v>19803300</v>
      </c>
      <c r="L5" s="92">
        <v>1</v>
      </c>
      <c r="M5" s="92">
        <v>11377</v>
      </c>
      <c r="N5" s="92">
        <v>6</v>
      </c>
      <c r="O5" s="90">
        <f t="shared" si="0"/>
        <v>19340899.999999996</v>
      </c>
      <c r="P5" s="93">
        <f t="shared" si="1"/>
        <v>18923266.666666668</v>
      </c>
      <c r="Q5" s="93">
        <f t="shared" si="2"/>
        <v>1147348.0393208207</v>
      </c>
      <c r="R5" s="94">
        <f t="shared" ref="R5:R19" si="5">LOG(P5)</f>
        <v>7.2769961094890272</v>
      </c>
      <c r="S5" s="85"/>
      <c r="T5" s="85"/>
      <c r="U5" s="85"/>
      <c r="V5" s="85"/>
    </row>
    <row r="6" spans="1:22">
      <c r="A6" s="85"/>
      <c r="B6" s="91" t="s">
        <v>188</v>
      </c>
      <c r="C6" s="92">
        <v>500</v>
      </c>
      <c r="D6" s="92">
        <v>1</v>
      </c>
      <c r="E6" s="92">
        <v>1368</v>
      </c>
      <c r="F6" s="92">
        <v>6</v>
      </c>
      <c r="G6" s="90">
        <f t="shared" si="3"/>
        <v>2325600</v>
      </c>
      <c r="H6" s="92">
        <v>1</v>
      </c>
      <c r="I6" s="92">
        <v>1169</v>
      </c>
      <c r="J6" s="92">
        <v>6</v>
      </c>
      <c r="K6" s="90">
        <f t="shared" si="4"/>
        <v>1987300</v>
      </c>
      <c r="L6" s="92">
        <v>1</v>
      </c>
      <c r="M6" s="92">
        <v>1324</v>
      </c>
      <c r="N6" s="92">
        <v>6</v>
      </c>
      <c r="O6" s="90">
        <f t="shared" si="0"/>
        <v>2250799.9999999995</v>
      </c>
      <c r="P6" s="93">
        <f t="shared" si="1"/>
        <v>2187900</v>
      </c>
      <c r="Q6" s="93">
        <f t="shared" si="2"/>
        <v>177704.89582451005</v>
      </c>
      <c r="R6" s="94">
        <f t="shared" si="5"/>
        <v>6.3400274682826607</v>
      </c>
      <c r="S6" s="85"/>
      <c r="T6" s="85"/>
      <c r="U6" s="85"/>
      <c r="V6" s="85"/>
    </row>
    <row r="7" spans="1:22">
      <c r="A7" s="85"/>
      <c r="B7" s="91" t="s">
        <v>189</v>
      </c>
      <c r="C7" s="92">
        <v>500</v>
      </c>
      <c r="D7" s="92">
        <v>1</v>
      </c>
      <c r="E7" s="92">
        <v>1657</v>
      </c>
      <c r="F7" s="92">
        <v>67</v>
      </c>
      <c r="G7" s="90">
        <f>(E7/F7)*(10.2)*POWER(10,D7+2)</f>
        <v>252259.70149253728</v>
      </c>
      <c r="H7" s="92">
        <v>1</v>
      </c>
      <c r="I7" s="92">
        <v>1712</v>
      </c>
      <c r="J7" s="92">
        <v>67</v>
      </c>
      <c r="K7" s="90">
        <f t="shared" si="4"/>
        <v>260632.83582089547</v>
      </c>
      <c r="L7" s="92">
        <v>1</v>
      </c>
      <c r="M7" s="92">
        <v>1701</v>
      </c>
      <c r="N7" s="92">
        <v>67</v>
      </c>
      <c r="O7" s="90">
        <f t="shared" si="0"/>
        <v>258958.20895522388</v>
      </c>
      <c r="P7" s="93">
        <f t="shared" si="1"/>
        <v>257283.58208955219</v>
      </c>
      <c r="Q7" s="93">
        <f t="shared" si="2"/>
        <v>4430.6462253947329</v>
      </c>
      <c r="R7" s="94">
        <f t="shared" si="5"/>
        <v>5.410412073674765</v>
      </c>
      <c r="S7" s="98"/>
      <c r="T7" s="85"/>
      <c r="U7" s="85"/>
      <c r="V7" s="85"/>
    </row>
    <row r="8" spans="1:22">
      <c r="A8" s="85"/>
      <c r="B8" s="91" t="s">
        <v>190</v>
      </c>
      <c r="C8" s="92">
        <v>500</v>
      </c>
      <c r="D8" s="92">
        <v>1</v>
      </c>
      <c r="E8" s="92">
        <v>1582</v>
      </c>
      <c r="F8" s="92">
        <v>334</v>
      </c>
      <c r="G8" s="90">
        <f t="shared" si="3"/>
        <v>48312.574850299396</v>
      </c>
      <c r="H8" s="92">
        <v>1</v>
      </c>
      <c r="I8" s="92">
        <v>1222</v>
      </c>
      <c r="J8" s="92">
        <v>334</v>
      </c>
      <c r="K8" s="90">
        <f t="shared" si="4"/>
        <v>37318.562874251496</v>
      </c>
      <c r="L8" s="92">
        <v>1</v>
      </c>
      <c r="M8" s="92">
        <v>1331</v>
      </c>
      <c r="N8" s="92">
        <v>334</v>
      </c>
      <c r="O8" s="90">
        <f t="shared" si="0"/>
        <v>40647.305389221554</v>
      </c>
      <c r="P8" s="93">
        <f t="shared" si="1"/>
        <v>42092.814371257482</v>
      </c>
      <c r="Q8" s="93">
        <f t="shared" si="2"/>
        <v>5637.7475107733544</v>
      </c>
      <c r="R8" s="94">
        <f t="shared" si="5"/>
        <v>4.6242079641192557</v>
      </c>
      <c r="S8" s="98"/>
      <c r="T8" s="85"/>
      <c r="U8" s="85"/>
      <c r="V8" s="85"/>
    </row>
    <row r="9" spans="1:22">
      <c r="A9" s="85"/>
      <c r="B9" s="91" t="s">
        <v>191</v>
      </c>
      <c r="C9" s="92">
        <v>900</v>
      </c>
      <c r="D9" s="92">
        <v>2</v>
      </c>
      <c r="E9" s="92">
        <v>14797</v>
      </c>
      <c r="F9" s="92">
        <v>6</v>
      </c>
      <c r="G9" s="90">
        <f t="shared" si="3"/>
        <v>251548999.99999997</v>
      </c>
      <c r="H9" s="92">
        <v>2</v>
      </c>
      <c r="I9" s="92">
        <v>12831</v>
      </c>
      <c r="J9" s="92">
        <v>6</v>
      </c>
      <c r="K9" s="90">
        <f t="shared" si="4"/>
        <v>218126999.99999997</v>
      </c>
      <c r="L9" s="92">
        <v>2</v>
      </c>
      <c r="M9" s="92">
        <v>13557</v>
      </c>
      <c r="N9" s="92">
        <v>6</v>
      </c>
      <c r="O9" s="90">
        <f t="shared" si="0"/>
        <v>230468999.99999997</v>
      </c>
      <c r="P9" s="93">
        <f t="shared" si="1"/>
        <v>233381666.66666663</v>
      </c>
      <c r="Q9" s="93">
        <f t="shared" si="2"/>
        <v>16900302.995311458</v>
      </c>
      <c r="R9" s="94">
        <f t="shared" si="5"/>
        <v>8.3680667369783137</v>
      </c>
      <c r="S9" s="85"/>
      <c r="T9" s="85"/>
      <c r="U9" s="85"/>
      <c r="V9" s="85"/>
    </row>
    <row r="10" spans="1:22">
      <c r="A10" s="85"/>
      <c r="B10" s="91" t="s">
        <v>192</v>
      </c>
      <c r="C10" s="92">
        <v>900</v>
      </c>
      <c r="D10" s="92">
        <v>2</v>
      </c>
      <c r="E10" s="92">
        <v>6167</v>
      </c>
      <c r="F10" s="92">
        <v>6</v>
      </c>
      <c r="G10" s="90">
        <f t="shared" si="3"/>
        <v>104838999.99999999</v>
      </c>
      <c r="H10" s="92">
        <v>2</v>
      </c>
      <c r="I10" s="92">
        <v>6132</v>
      </c>
      <c r="J10" s="92">
        <v>6</v>
      </c>
      <c r="K10" s="90">
        <f t="shared" si="4"/>
        <v>104244000</v>
      </c>
      <c r="L10" s="92">
        <v>2</v>
      </c>
      <c r="M10" s="92">
        <v>5412</v>
      </c>
      <c r="N10" s="92">
        <v>6</v>
      </c>
      <c r="O10" s="90">
        <f t="shared" si="0"/>
        <v>92004000</v>
      </c>
      <c r="P10" s="93">
        <f t="shared" si="1"/>
        <v>100362333.33333333</v>
      </c>
      <c r="Q10" s="93">
        <f t="shared" si="2"/>
        <v>7244639.9726510411</v>
      </c>
      <c r="R10" s="94">
        <f t="shared" si="5"/>
        <v>8.0015707497132311</v>
      </c>
      <c r="S10" s="85"/>
      <c r="T10" s="85"/>
      <c r="U10" s="85"/>
      <c r="V10" s="85"/>
    </row>
    <row r="11" spans="1:22">
      <c r="A11" s="85"/>
      <c r="B11" s="91" t="s">
        <v>193</v>
      </c>
      <c r="C11" s="92">
        <v>900</v>
      </c>
      <c r="D11" s="92">
        <v>2</v>
      </c>
      <c r="E11" s="92">
        <v>2783</v>
      </c>
      <c r="F11" s="92">
        <v>6</v>
      </c>
      <c r="G11" s="90">
        <f t="shared" si="3"/>
        <v>47310999.999999993</v>
      </c>
      <c r="H11" s="92">
        <v>2</v>
      </c>
      <c r="I11" s="92">
        <v>2791</v>
      </c>
      <c r="J11" s="92">
        <v>6</v>
      </c>
      <c r="K11" s="90">
        <f t="shared" si="4"/>
        <v>47447000</v>
      </c>
      <c r="L11" s="92">
        <v>2</v>
      </c>
      <c r="M11" s="92">
        <v>2844</v>
      </c>
      <c r="N11" s="92">
        <v>6</v>
      </c>
      <c r="O11" s="90">
        <f t="shared" si="0"/>
        <v>48347999.999999993</v>
      </c>
      <c r="P11" s="93">
        <f t="shared" si="1"/>
        <v>47702000</v>
      </c>
      <c r="Q11" s="93">
        <f t="shared" si="2"/>
        <v>563569.87144452473</v>
      </c>
      <c r="R11" s="94">
        <f t="shared" si="5"/>
        <v>7.6785365880706147</v>
      </c>
      <c r="S11" s="85"/>
      <c r="T11" s="85"/>
      <c r="U11" s="85"/>
      <c r="V11" s="85"/>
    </row>
    <row r="12" spans="1:22">
      <c r="A12" s="85"/>
      <c r="B12" s="91" t="s">
        <v>194</v>
      </c>
      <c r="C12" s="92">
        <v>900</v>
      </c>
      <c r="D12" s="92">
        <v>1</v>
      </c>
      <c r="E12" s="92">
        <v>14347</v>
      </c>
      <c r="F12" s="92">
        <v>6</v>
      </c>
      <c r="G12" s="90">
        <f t="shared" si="3"/>
        <v>24389899.999999996</v>
      </c>
      <c r="H12" s="92">
        <v>1</v>
      </c>
      <c r="I12" s="92">
        <v>13548</v>
      </c>
      <c r="J12" s="92">
        <v>6</v>
      </c>
      <c r="K12" s="90">
        <f t="shared" si="4"/>
        <v>23031600</v>
      </c>
      <c r="L12" s="92">
        <v>1</v>
      </c>
      <c r="M12" s="92">
        <v>14200</v>
      </c>
      <c r="N12" s="92">
        <v>6</v>
      </c>
      <c r="O12" s="90">
        <f t="shared" si="0"/>
        <v>24139999.999999996</v>
      </c>
      <c r="P12" s="93">
        <f t="shared" si="1"/>
        <v>23853833.333333332</v>
      </c>
      <c r="Q12" s="93">
        <f t="shared" si="2"/>
        <v>722954.52369656716</v>
      </c>
      <c r="R12" s="94">
        <f t="shared" si="5"/>
        <v>7.3775581805140655</v>
      </c>
      <c r="S12" s="85"/>
      <c r="T12" s="85"/>
      <c r="U12" s="85"/>
      <c r="V12" s="85"/>
    </row>
    <row r="13" spans="1:22">
      <c r="A13" s="85"/>
      <c r="B13" s="91" t="s">
        <v>195</v>
      </c>
      <c r="C13" s="92">
        <v>900</v>
      </c>
      <c r="D13" s="92">
        <v>1</v>
      </c>
      <c r="E13" s="92">
        <v>5210</v>
      </c>
      <c r="F13" s="92">
        <v>6</v>
      </c>
      <c r="G13" s="90">
        <f t="shared" si="3"/>
        <v>8857000</v>
      </c>
      <c r="H13" s="92">
        <v>1</v>
      </c>
      <c r="I13" s="92">
        <v>5214</v>
      </c>
      <c r="J13" s="92">
        <v>6</v>
      </c>
      <c r="K13" s="90">
        <f t="shared" si="4"/>
        <v>8863800</v>
      </c>
      <c r="L13" s="92">
        <v>1</v>
      </c>
      <c r="M13" s="92">
        <v>5752</v>
      </c>
      <c r="N13" s="92">
        <v>6</v>
      </c>
      <c r="O13" s="90">
        <f t="shared" si="0"/>
        <v>9778400</v>
      </c>
      <c r="P13" s="93">
        <f t="shared" si="1"/>
        <v>9166400</v>
      </c>
      <c r="Q13" s="93">
        <f t="shared" si="2"/>
        <v>530018.4525089669</v>
      </c>
      <c r="R13" s="94">
        <f t="shared" si="5"/>
        <v>6.9621988049055377</v>
      </c>
      <c r="S13" s="85"/>
      <c r="T13" s="85"/>
      <c r="U13" s="85"/>
      <c r="V13" s="85"/>
    </row>
    <row r="14" spans="1:22">
      <c r="A14" s="85"/>
      <c r="B14" s="91" t="s">
        <v>196</v>
      </c>
      <c r="C14" s="92">
        <v>900</v>
      </c>
      <c r="D14" s="92">
        <v>1</v>
      </c>
      <c r="E14" s="92">
        <v>2620</v>
      </c>
      <c r="F14" s="92">
        <v>6</v>
      </c>
      <c r="G14" s="90">
        <f t="shared" si="3"/>
        <v>4454000</v>
      </c>
      <c r="H14" s="92">
        <v>1</v>
      </c>
      <c r="I14" s="92">
        <v>2454</v>
      </c>
      <c r="J14" s="92">
        <v>6</v>
      </c>
      <c r="K14" s="90">
        <f t="shared" si="4"/>
        <v>4171799.9999999991</v>
      </c>
      <c r="L14" s="92">
        <v>1</v>
      </c>
      <c r="M14" s="92">
        <v>2673</v>
      </c>
      <c r="N14" s="92">
        <v>6</v>
      </c>
      <c r="O14" s="90">
        <f t="shared" si="0"/>
        <v>4544099.9999999991</v>
      </c>
      <c r="P14" s="93">
        <f t="shared" si="1"/>
        <v>4389966.666666666</v>
      </c>
      <c r="Q14" s="93">
        <f t="shared" si="2"/>
        <v>194234.45454741904</v>
      </c>
      <c r="R14" s="94">
        <f t="shared" si="5"/>
        <v>6.642461222625335</v>
      </c>
      <c r="S14" s="85"/>
      <c r="T14" s="85"/>
      <c r="U14" s="85"/>
      <c r="V14" s="85"/>
    </row>
    <row r="15" spans="1:22">
      <c r="A15" s="85"/>
      <c r="B15" s="91" t="s">
        <v>197</v>
      </c>
      <c r="C15" s="92">
        <v>900</v>
      </c>
      <c r="D15" s="92">
        <v>1</v>
      </c>
      <c r="E15" s="92">
        <v>1562</v>
      </c>
      <c r="F15" s="92">
        <v>6</v>
      </c>
      <c r="G15" s="90">
        <f t="shared" si="3"/>
        <v>2655399.9999999995</v>
      </c>
      <c r="H15" s="92">
        <v>1</v>
      </c>
      <c r="I15" s="92">
        <v>1614</v>
      </c>
      <c r="J15" s="92">
        <v>6</v>
      </c>
      <c r="K15" s="90">
        <f t="shared" si="4"/>
        <v>2743799.9999999995</v>
      </c>
      <c r="L15" s="92">
        <v>1</v>
      </c>
      <c r="M15" s="92">
        <v>1660</v>
      </c>
      <c r="N15" s="92">
        <v>6</v>
      </c>
      <c r="O15" s="90">
        <f t="shared" si="0"/>
        <v>2822000</v>
      </c>
      <c r="P15" s="93">
        <f t="shared" si="1"/>
        <v>2740400</v>
      </c>
      <c r="Q15" s="93">
        <f t="shared" si="2"/>
        <v>83352.024570492809</v>
      </c>
      <c r="R15" s="94">
        <f t="shared" si="5"/>
        <v>6.4378139588473458</v>
      </c>
      <c r="S15" s="85"/>
      <c r="T15" s="85"/>
      <c r="U15" s="85"/>
      <c r="V15" s="85"/>
    </row>
    <row r="16" spans="1:22">
      <c r="A16" s="85"/>
      <c r="B16" s="91" t="s">
        <v>198</v>
      </c>
      <c r="C16" s="92">
        <v>900</v>
      </c>
      <c r="D16" s="92">
        <v>1</v>
      </c>
      <c r="E16" s="92">
        <v>2084</v>
      </c>
      <c r="F16" s="92">
        <v>13</v>
      </c>
      <c r="G16" s="90">
        <f t="shared" si="3"/>
        <v>1635138.4615384615</v>
      </c>
      <c r="H16" s="92">
        <v>1</v>
      </c>
      <c r="I16" s="92">
        <v>2144</v>
      </c>
      <c r="J16" s="92">
        <v>13</v>
      </c>
      <c r="K16" s="90">
        <f t="shared" si="4"/>
        <v>1682215.3846153847</v>
      </c>
      <c r="L16" s="92">
        <v>1</v>
      </c>
      <c r="M16" s="92">
        <v>1740</v>
      </c>
      <c r="N16" s="92">
        <v>13</v>
      </c>
      <c r="O16" s="90">
        <f t="shared" si="0"/>
        <v>1365230.769230769</v>
      </c>
      <c r="P16" s="93">
        <f t="shared" si="1"/>
        <v>1560861.5384615387</v>
      </c>
      <c r="Q16" s="93">
        <f t="shared" si="2"/>
        <v>171048.55326475156</v>
      </c>
      <c r="R16" s="94">
        <f t="shared" si="5"/>
        <v>6.1933643792000312</v>
      </c>
      <c r="S16" s="85"/>
      <c r="T16" s="85"/>
      <c r="U16" s="85"/>
      <c r="V16" s="85"/>
    </row>
    <row r="17" spans="1:22">
      <c r="A17" s="85"/>
      <c r="B17" s="91" t="s">
        <v>199</v>
      </c>
      <c r="C17" s="92">
        <v>900</v>
      </c>
      <c r="D17" s="92">
        <v>1</v>
      </c>
      <c r="E17" s="92">
        <v>2200</v>
      </c>
      <c r="F17" s="92">
        <v>26</v>
      </c>
      <c r="G17" s="90">
        <f t="shared" si="3"/>
        <v>863076.92307692301</v>
      </c>
      <c r="H17" s="92">
        <v>1</v>
      </c>
      <c r="I17" s="92">
        <v>2389</v>
      </c>
      <c r="J17" s="92">
        <v>26</v>
      </c>
      <c r="K17" s="90">
        <f t="shared" si="4"/>
        <v>937223.07692307688</v>
      </c>
      <c r="L17" s="92">
        <v>1</v>
      </c>
      <c r="M17" s="92">
        <v>2163</v>
      </c>
      <c r="N17" s="92">
        <v>26</v>
      </c>
      <c r="O17" s="90">
        <f t="shared" si="0"/>
        <v>848561.53846153838</v>
      </c>
      <c r="P17" s="93">
        <f t="shared" si="1"/>
        <v>882953.84615384601</v>
      </c>
      <c r="Q17" s="93">
        <f t="shared" si="2"/>
        <v>47555.611170987548</v>
      </c>
      <c r="R17" s="94">
        <f t="shared" si="5"/>
        <v>5.9459380026890356</v>
      </c>
      <c r="S17" s="85"/>
      <c r="T17" s="85"/>
      <c r="U17" s="85"/>
      <c r="V17" s="85"/>
    </row>
    <row r="18" spans="1:22">
      <c r="A18" s="85"/>
      <c r="B18" s="91" t="s">
        <v>200</v>
      </c>
      <c r="C18" s="92">
        <v>900</v>
      </c>
      <c r="D18" s="92">
        <v>1</v>
      </c>
      <c r="E18" s="92">
        <v>2258</v>
      </c>
      <c r="F18" s="92">
        <v>53</v>
      </c>
      <c r="G18" s="90">
        <f t="shared" si="3"/>
        <v>434558.49056603765</v>
      </c>
      <c r="H18" s="92">
        <v>1</v>
      </c>
      <c r="I18" s="92">
        <v>2364</v>
      </c>
      <c r="J18" s="92">
        <v>53</v>
      </c>
      <c r="K18" s="90">
        <f t="shared" si="4"/>
        <v>454958.49056603771</v>
      </c>
      <c r="L18" s="92">
        <v>1</v>
      </c>
      <c r="M18" s="92">
        <v>2494</v>
      </c>
      <c r="N18" s="92">
        <v>53</v>
      </c>
      <c r="O18" s="90">
        <f t="shared" si="0"/>
        <v>479977.35849056597</v>
      </c>
      <c r="P18" s="93">
        <f t="shared" si="1"/>
        <v>456498.11320754705</v>
      </c>
      <c r="Q18" s="93">
        <f t="shared" si="2"/>
        <v>22748.543234570494</v>
      </c>
      <c r="R18" s="94">
        <f t="shared" si="5"/>
        <v>5.6594389868533534</v>
      </c>
      <c r="S18" s="85"/>
      <c r="T18" s="85"/>
      <c r="U18" s="85"/>
      <c r="V18" s="85"/>
    </row>
    <row r="19" spans="1:22">
      <c r="A19" s="85"/>
      <c r="B19" s="91" t="s">
        <v>201</v>
      </c>
      <c r="C19" s="92">
        <v>900</v>
      </c>
      <c r="D19" s="92">
        <v>1</v>
      </c>
      <c r="E19" s="92">
        <v>2389</v>
      </c>
      <c r="F19" s="92">
        <v>107</v>
      </c>
      <c r="G19" s="90">
        <f t="shared" si="3"/>
        <v>227736.44859813081</v>
      </c>
      <c r="H19" s="92">
        <v>1</v>
      </c>
      <c r="I19" s="92">
        <v>2798</v>
      </c>
      <c r="J19" s="92">
        <v>107</v>
      </c>
      <c r="K19" s="90">
        <f t="shared" si="4"/>
        <v>266725.23364485975</v>
      </c>
      <c r="L19" s="92">
        <v>1</v>
      </c>
      <c r="M19" s="92">
        <v>7437</v>
      </c>
      <c r="N19" s="92">
        <v>394</v>
      </c>
      <c r="O19" s="90">
        <f t="shared" si="0"/>
        <v>192531.47208121826</v>
      </c>
      <c r="P19" s="93">
        <f t="shared" si="1"/>
        <v>228997.71810806962</v>
      </c>
      <c r="Q19" s="93">
        <f t="shared" si="2"/>
        <v>37112.958172626859</v>
      </c>
      <c r="R19" s="94">
        <f t="shared" si="5"/>
        <v>5.359831154750319</v>
      </c>
      <c r="S19" s="85"/>
      <c r="T19" s="85"/>
      <c r="U19" s="85"/>
      <c r="V19" s="85"/>
    </row>
    <row r="20" spans="1:22" ht="15" thickBot="1">
      <c r="A20" s="85"/>
      <c r="B20" s="85"/>
      <c r="C20" s="85"/>
      <c r="D20" s="85"/>
      <c r="E20" s="85"/>
      <c r="F20" s="85"/>
      <c r="G20" s="85"/>
      <c r="H20" s="85"/>
      <c r="I20" s="85"/>
      <c r="J20" s="85"/>
      <c r="K20" s="85"/>
      <c r="L20" s="85"/>
      <c r="M20" s="85"/>
      <c r="N20" s="85"/>
      <c r="O20" s="85"/>
      <c r="P20" s="85"/>
      <c r="Q20" s="85"/>
      <c r="R20" s="85"/>
      <c r="S20" s="85"/>
      <c r="T20" s="85"/>
      <c r="U20" s="85"/>
      <c r="V20" s="85"/>
    </row>
    <row r="21" spans="1:22" ht="43" thickBot="1">
      <c r="A21" s="85"/>
      <c r="B21" s="95" t="s">
        <v>4</v>
      </c>
      <c r="C21" s="95" t="s">
        <v>202</v>
      </c>
      <c r="D21" s="95" t="s">
        <v>203</v>
      </c>
      <c r="E21" s="95" t="s">
        <v>204</v>
      </c>
      <c r="F21" s="95" t="s">
        <v>205</v>
      </c>
      <c r="G21" s="96" t="s">
        <v>206</v>
      </c>
      <c r="H21" s="97" t="s">
        <v>207</v>
      </c>
      <c r="I21" s="97" t="s">
        <v>258</v>
      </c>
      <c r="J21" s="97" t="s">
        <v>259</v>
      </c>
      <c r="K21" s="97" t="s">
        <v>260</v>
      </c>
      <c r="L21" s="97" t="s">
        <v>261</v>
      </c>
      <c r="M21" s="98" t="s">
        <v>257</v>
      </c>
      <c r="N21" s="85"/>
      <c r="O21" s="85"/>
      <c r="P21" s="85"/>
      <c r="Q21" s="85"/>
      <c r="R21" s="85"/>
      <c r="S21" s="85"/>
      <c r="T21" s="85"/>
      <c r="U21" s="85"/>
      <c r="V21" s="85"/>
    </row>
    <row r="22" spans="1:22">
      <c r="A22" s="85"/>
      <c r="B22" s="85"/>
      <c r="C22" s="85"/>
      <c r="D22" s="85"/>
      <c r="E22" s="85"/>
      <c r="F22" s="85"/>
      <c r="G22" s="85"/>
      <c r="H22" s="85"/>
      <c r="I22" s="85"/>
      <c r="J22" s="85"/>
      <c r="K22" s="85"/>
      <c r="L22" s="85"/>
      <c r="M22" s="85"/>
      <c r="N22" s="85"/>
      <c r="O22" s="85"/>
      <c r="P22" s="85"/>
      <c r="Q22" s="85"/>
      <c r="R22" s="85"/>
      <c r="S22" s="85"/>
      <c r="T22" s="85"/>
      <c r="U22" s="85"/>
      <c r="V22" s="85"/>
    </row>
    <row r="23" spans="1:22">
      <c r="A23" s="85"/>
      <c r="B23" s="91" t="s">
        <v>186</v>
      </c>
      <c r="C23" s="99">
        <v>12.024166107177734</v>
      </c>
      <c r="D23" s="99">
        <v>11.937971115112305</v>
      </c>
      <c r="E23" s="99">
        <v>12.113894462585449</v>
      </c>
      <c r="F23" s="104">
        <f>AVERAGE(C23:E23)</f>
        <v>12.025343894958496</v>
      </c>
      <c r="G23" s="114">
        <f>1000/1000*200/4*1000/900</f>
        <v>55.555555555555557</v>
      </c>
      <c r="H23" s="113">
        <f>LOG(G23)/LOG(2)</f>
        <v>5.7958592832197748</v>
      </c>
      <c r="I23" s="99">
        <f>C23-H23</f>
        <v>6.2283068239579595</v>
      </c>
      <c r="J23" s="99">
        <f>D23-H23</f>
        <v>6.1421118318925298</v>
      </c>
      <c r="K23" s="99">
        <f>E23-H23</f>
        <v>6.3180351793656744</v>
      </c>
      <c r="L23" s="104">
        <f>AVERAGE(I23:K23)</f>
        <v>6.2294846117387221</v>
      </c>
      <c r="M23" s="98"/>
      <c r="N23" s="85"/>
      <c r="O23" s="85"/>
      <c r="P23" s="85"/>
      <c r="Q23" s="85"/>
      <c r="R23" s="85"/>
      <c r="S23" s="85"/>
      <c r="T23" s="85"/>
      <c r="U23" s="85"/>
      <c r="V23" s="85"/>
    </row>
    <row r="24" spans="1:22">
      <c r="A24" s="85"/>
      <c r="B24" s="91" t="s">
        <v>187</v>
      </c>
      <c r="C24" s="99">
        <v>17.587196350097656</v>
      </c>
      <c r="D24" s="99">
        <v>17.463251113891602</v>
      </c>
      <c r="E24" s="99">
        <v>17.496953964233398</v>
      </c>
      <c r="F24" s="104">
        <f t="shared" ref="F24:F38" si="6">AVERAGE(C24:E24)</f>
        <v>17.515800476074219</v>
      </c>
      <c r="G24" s="114">
        <f t="shared" ref="G24:G27" si="7">1000/1000*200/4*1000/900</f>
        <v>55.555555555555557</v>
      </c>
      <c r="H24" s="113">
        <f t="shared" ref="H24:H38" si="8">LOG(G24)/LOG(2)</f>
        <v>5.7958592832197748</v>
      </c>
      <c r="I24" s="99">
        <f>C24-H24</f>
        <v>11.791337066877881</v>
      </c>
      <c r="J24" s="99">
        <f t="shared" ref="J24:J38" si="9">D24-H24</f>
        <v>11.667391830671827</v>
      </c>
      <c r="K24" s="99">
        <f t="shared" ref="K24:K38" si="10">E24-H24</f>
        <v>11.701094681013624</v>
      </c>
      <c r="L24" s="104">
        <f t="shared" ref="L24:L38" si="11">AVERAGE(I24:K24)</f>
        <v>11.719941192854444</v>
      </c>
      <c r="M24" s="85"/>
      <c r="N24" s="85"/>
      <c r="O24" s="85"/>
      <c r="P24" s="85"/>
      <c r="Q24" s="85"/>
      <c r="R24" s="85"/>
      <c r="S24" s="85"/>
      <c r="T24" s="85"/>
      <c r="U24" s="85"/>
      <c r="V24" s="85"/>
    </row>
    <row r="25" spans="1:22">
      <c r="A25" s="85"/>
      <c r="B25" s="91" t="s">
        <v>188</v>
      </c>
      <c r="C25" s="99">
        <v>20.035877227783203</v>
      </c>
      <c r="D25" s="99">
        <v>19.974271774291992</v>
      </c>
      <c r="E25" s="99">
        <v>19.944717407226562</v>
      </c>
      <c r="F25" s="104">
        <f t="shared" si="6"/>
        <v>19.984955469767254</v>
      </c>
      <c r="G25" s="114">
        <f t="shared" si="7"/>
        <v>55.555555555555557</v>
      </c>
      <c r="H25" s="113">
        <f t="shared" si="8"/>
        <v>5.7958592832197748</v>
      </c>
      <c r="I25" s="99">
        <f>C25-H25</f>
        <v>14.240017944563428</v>
      </c>
      <c r="J25" s="99">
        <f t="shared" si="9"/>
        <v>14.178412491072217</v>
      </c>
      <c r="K25" s="99">
        <f t="shared" si="10"/>
        <v>14.148858124006788</v>
      </c>
      <c r="L25" s="104">
        <f t="shared" si="11"/>
        <v>14.189096186547479</v>
      </c>
      <c r="M25" s="85"/>
      <c r="N25" s="85"/>
      <c r="O25" s="85"/>
      <c r="P25" s="85"/>
      <c r="Q25" s="85"/>
      <c r="R25" s="85"/>
      <c r="S25" s="85"/>
      <c r="T25" s="85"/>
      <c r="U25" s="85"/>
      <c r="V25" s="85"/>
    </row>
    <row r="26" spans="1:22">
      <c r="A26" s="85"/>
      <c r="B26" s="91" t="s">
        <v>189</v>
      </c>
      <c r="C26" s="99">
        <v>24.500289916992188</v>
      </c>
      <c r="D26" s="99">
        <v>24.458871841430664</v>
      </c>
      <c r="E26" s="99">
        <v>24.548263549804688</v>
      </c>
      <c r="F26" s="104">
        <f t="shared" si="6"/>
        <v>24.502475102742512</v>
      </c>
      <c r="G26" s="114">
        <f t="shared" si="7"/>
        <v>55.555555555555557</v>
      </c>
      <c r="H26" s="113">
        <f t="shared" si="8"/>
        <v>5.7958592832197748</v>
      </c>
      <c r="I26" s="99">
        <f>C26-H26</f>
        <v>18.704430633772411</v>
      </c>
      <c r="J26" s="99">
        <f t="shared" si="9"/>
        <v>18.663012558210887</v>
      </c>
      <c r="K26" s="99">
        <f t="shared" si="10"/>
        <v>18.752404266584911</v>
      </c>
      <c r="L26" s="104">
        <f t="shared" si="11"/>
        <v>18.706615819522735</v>
      </c>
      <c r="M26" s="98"/>
      <c r="N26" s="85"/>
      <c r="O26" s="85"/>
      <c r="P26" s="85"/>
      <c r="Q26" s="85"/>
      <c r="R26" s="85"/>
      <c r="S26" s="85"/>
      <c r="T26" s="85"/>
      <c r="U26" s="85"/>
      <c r="V26" s="85"/>
    </row>
    <row r="27" spans="1:22">
      <c r="A27" s="85"/>
      <c r="B27" s="91" t="s">
        <v>190</v>
      </c>
      <c r="C27" s="99">
        <v>27.966335296630859</v>
      </c>
      <c r="D27" s="99">
        <v>27.953102111816406</v>
      </c>
      <c r="E27" s="99">
        <v>27.858415603637695</v>
      </c>
      <c r="F27" s="104">
        <f>AVERAGE(C27:E27)</f>
        <v>27.92595100402832</v>
      </c>
      <c r="G27" s="114">
        <f t="shared" si="7"/>
        <v>55.555555555555557</v>
      </c>
      <c r="H27" s="113">
        <f t="shared" si="8"/>
        <v>5.7958592832197748</v>
      </c>
      <c r="I27" s="99">
        <f>C27-H27</f>
        <v>22.170476013411083</v>
      </c>
      <c r="J27" s="99">
        <f>D27-H27</f>
        <v>22.15724282859663</v>
      </c>
      <c r="K27" s="99">
        <f>E27-H27</f>
        <v>22.062556320417919</v>
      </c>
      <c r="L27" s="104">
        <f t="shared" si="11"/>
        <v>22.130091720808547</v>
      </c>
      <c r="M27" s="98"/>
      <c r="N27" s="85"/>
      <c r="O27" s="85"/>
      <c r="P27" s="85"/>
      <c r="Q27" s="85"/>
      <c r="R27" s="85"/>
      <c r="S27" s="85"/>
      <c r="T27" s="85"/>
      <c r="U27" s="85"/>
      <c r="V27" s="85"/>
    </row>
    <row r="28" spans="1:22">
      <c r="A28" s="85"/>
      <c r="B28" s="91" t="s">
        <v>191</v>
      </c>
      <c r="C28" s="99">
        <v>13.96388053894043</v>
      </c>
      <c r="D28" s="99">
        <v>13.646139144897461</v>
      </c>
      <c r="E28" s="99">
        <v>13.680848121643066</v>
      </c>
      <c r="F28" s="104">
        <f t="shared" si="6"/>
        <v>13.763622601826986</v>
      </c>
      <c r="G28" s="85">
        <f>1000/1000*200/4*1000/500</f>
        <v>100</v>
      </c>
      <c r="H28" s="113">
        <f t="shared" si="8"/>
        <v>6.6438561897747244</v>
      </c>
      <c r="I28" s="99">
        <f t="shared" ref="I28:I38" si="12">C28-H28</f>
        <v>7.3200243491657053</v>
      </c>
      <c r="J28" s="99">
        <f t="shared" si="9"/>
        <v>7.0022829551227366</v>
      </c>
      <c r="K28" s="99">
        <f t="shared" si="10"/>
        <v>7.036991931868342</v>
      </c>
      <c r="L28" s="104">
        <f t="shared" si="11"/>
        <v>7.119766412052261</v>
      </c>
      <c r="M28" s="85"/>
      <c r="N28" s="85"/>
      <c r="O28" s="85"/>
      <c r="P28" s="85"/>
      <c r="Q28" s="85"/>
      <c r="R28" s="85"/>
      <c r="S28" s="85"/>
      <c r="T28" s="85"/>
      <c r="U28" s="85"/>
      <c r="V28" s="85"/>
    </row>
    <row r="29" spans="1:22">
      <c r="A29" s="85"/>
      <c r="B29" s="91" t="s">
        <v>192</v>
      </c>
      <c r="C29" s="99">
        <v>15.15186882019043</v>
      </c>
      <c r="D29" s="99">
        <v>15.517631530761719</v>
      </c>
      <c r="E29" s="99">
        <v>15.663459777832031</v>
      </c>
      <c r="F29" s="104">
        <f t="shared" si="6"/>
        <v>15.44432004292806</v>
      </c>
      <c r="G29" s="85">
        <f t="shared" ref="G29:G38" si="13">1000/1000*200/4*1000/500</f>
        <v>100</v>
      </c>
      <c r="H29" s="113">
        <f t="shared" si="8"/>
        <v>6.6438561897747244</v>
      </c>
      <c r="I29" s="99">
        <f t="shared" si="12"/>
        <v>8.5080126304157062</v>
      </c>
      <c r="J29" s="99">
        <f t="shared" si="9"/>
        <v>8.8737753409869953</v>
      </c>
      <c r="K29" s="99">
        <f t="shared" si="10"/>
        <v>9.0196035880573078</v>
      </c>
      <c r="L29" s="104">
        <f t="shared" si="11"/>
        <v>8.800463853153337</v>
      </c>
      <c r="M29" s="85"/>
      <c r="N29" s="85"/>
      <c r="O29" s="85"/>
      <c r="P29" s="85"/>
      <c r="Q29" s="85"/>
      <c r="R29" s="85"/>
      <c r="S29" s="85"/>
      <c r="T29" s="85"/>
      <c r="U29" s="85"/>
      <c r="V29" s="85"/>
    </row>
    <row r="30" spans="1:22">
      <c r="A30" s="85"/>
      <c r="B30" s="91" t="s">
        <v>193</v>
      </c>
      <c r="C30" s="99">
        <v>16.251581192016602</v>
      </c>
      <c r="D30" s="99">
        <v>16.335042953491211</v>
      </c>
      <c r="E30" s="99">
        <v>16.212072372436523</v>
      </c>
      <c r="F30" s="104">
        <f t="shared" si="6"/>
        <v>16.266232172648113</v>
      </c>
      <c r="G30" s="85">
        <f t="shared" si="13"/>
        <v>100</v>
      </c>
      <c r="H30" s="113">
        <f t="shared" si="8"/>
        <v>6.6438561897747244</v>
      </c>
      <c r="I30" s="99">
        <f t="shared" si="12"/>
        <v>9.6077250022418781</v>
      </c>
      <c r="J30" s="99">
        <f t="shared" si="9"/>
        <v>9.6911867637164875</v>
      </c>
      <c r="K30" s="99">
        <f t="shared" si="10"/>
        <v>9.5682161826618</v>
      </c>
      <c r="L30" s="104">
        <f t="shared" si="11"/>
        <v>9.6223759828733879</v>
      </c>
      <c r="M30" s="85"/>
      <c r="N30" s="85"/>
      <c r="O30" s="85"/>
      <c r="P30" s="85"/>
      <c r="Q30" s="85"/>
      <c r="R30" s="85"/>
      <c r="S30" s="85"/>
      <c r="T30" s="85"/>
      <c r="U30" s="85"/>
      <c r="V30" s="85"/>
    </row>
    <row r="31" spans="1:22">
      <c r="A31" s="85"/>
      <c r="B31" s="91" t="s">
        <v>194</v>
      </c>
      <c r="C31" s="99">
        <v>18.410284042358398</v>
      </c>
      <c r="D31" s="99">
        <v>18.640316009521484</v>
      </c>
      <c r="E31" s="99">
        <v>18.454940795898438</v>
      </c>
      <c r="F31" s="104">
        <f t="shared" si="6"/>
        <v>18.501846949259441</v>
      </c>
      <c r="G31" s="85">
        <f t="shared" si="13"/>
        <v>100</v>
      </c>
      <c r="H31" s="113">
        <f t="shared" si="8"/>
        <v>6.6438561897747244</v>
      </c>
      <c r="I31" s="99">
        <f t="shared" si="12"/>
        <v>11.766427852583675</v>
      </c>
      <c r="J31" s="99">
        <f t="shared" si="9"/>
        <v>11.996459819746761</v>
      </c>
      <c r="K31" s="99">
        <f t="shared" si="10"/>
        <v>11.811084606123714</v>
      </c>
      <c r="L31" s="104">
        <f t="shared" si="11"/>
        <v>11.857990759484716</v>
      </c>
      <c r="M31" s="85"/>
      <c r="N31" s="85"/>
      <c r="O31" s="85"/>
      <c r="P31" s="85"/>
      <c r="Q31" s="85"/>
      <c r="R31" s="85"/>
      <c r="S31" s="85"/>
      <c r="T31" s="85"/>
      <c r="U31" s="85"/>
      <c r="V31" s="85"/>
    </row>
    <row r="32" spans="1:22">
      <c r="A32" s="85"/>
      <c r="B32" s="91" t="s">
        <v>195</v>
      </c>
      <c r="C32" s="99">
        <v>18.648725509643555</v>
      </c>
      <c r="D32" s="99">
        <v>18.836643218994141</v>
      </c>
      <c r="E32" s="99">
        <v>18.618749618530273</v>
      </c>
      <c r="F32" s="104">
        <f t="shared" si="6"/>
        <v>18.701372782389324</v>
      </c>
      <c r="G32" s="85">
        <f t="shared" si="13"/>
        <v>100</v>
      </c>
      <c r="H32" s="113">
        <f t="shared" si="8"/>
        <v>6.6438561897747244</v>
      </c>
      <c r="I32" s="99">
        <f t="shared" si="12"/>
        <v>12.004869319868831</v>
      </c>
      <c r="J32" s="99">
        <f t="shared" si="9"/>
        <v>12.192787029219417</v>
      </c>
      <c r="K32" s="99">
        <f t="shared" si="10"/>
        <v>11.97489342875555</v>
      </c>
      <c r="L32" s="104">
        <f t="shared" si="11"/>
        <v>12.057516592614599</v>
      </c>
      <c r="M32" s="85"/>
      <c r="N32" s="85"/>
      <c r="O32" s="85"/>
      <c r="P32" s="85"/>
      <c r="Q32" s="85"/>
      <c r="R32" s="85"/>
      <c r="S32" s="85"/>
      <c r="T32" s="85"/>
      <c r="U32" s="85"/>
      <c r="V32" s="85"/>
    </row>
    <row r="33" spans="1:22">
      <c r="A33" s="85"/>
      <c r="B33" s="91" t="s">
        <v>196</v>
      </c>
      <c r="C33" s="99">
        <v>19.173038482666016</v>
      </c>
      <c r="D33" s="99">
        <v>19.267778396606445</v>
      </c>
      <c r="E33" s="99">
        <v>19.15654182434082</v>
      </c>
      <c r="F33" s="104">
        <f t="shared" si="6"/>
        <v>19.199119567871094</v>
      </c>
      <c r="G33" s="85">
        <f t="shared" si="13"/>
        <v>100</v>
      </c>
      <c r="H33" s="113">
        <f t="shared" si="8"/>
        <v>6.6438561897747244</v>
      </c>
      <c r="I33" s="99">
        <f t="shared" si="12"/>
        <v>12.529182292891292</v>
      </c>
      <c r="J33" s="99">
        <f t="shared" si="9"/>
        <v>12.623922206831722</v>
      </c>
      <c r="K33" s="99">
        <f t="shared" si="10"/>
        <v>12.512685634566097</v>
      </c>
      <c r="L33" s="104">
        <f t="shared" si="11"/>
        <v>12.55526337809637</v>
      </c>
      <c r="M33" s="85"/>
      <c r="N33" s="85"/>
      <c r="O33" s="85"/>
      <c r="P33" s="85"/>
      <c r="Q33" s="85"/>
      <c r="R33" s="85"/>
      <c r="S33" s="85"/>
      <c r="T33" s="85"/>
      <c r="U33" s="85"/>
      <c r="V33" s="85"/>
    </row>
    <row r="34" spans="1:22">
      <c r="A34" s="85"/>
      <c r="B34" s="91" t="s">
        <v>197</v>
      </c>
      <c r="C34" s="99">
        <v>20.283313751220703</v>
      </c>
      <c r="D34" s="99">
        <v>20.449991226196289</v>
      </c>
      <c r="E34" s="99">
        <v>20.311237335205078</v>
      </c>
      <c r="F34" s="104">
        <f t="shared" si="6"/>
        <v>20.348180770874023</v>
      </c>
      <c r="G34" s="85">
        <f t="shared" si="13"/>
        <v>100</v>
      </c>
      <c r="H34" s="113">
        <f t="shared" si="8"/>
        <v>6.6438561897747244</v>
      </c>
      <c r="I34" s="99">
        <f t="shared" si="12"/>
        <v>13.63945756144598</v>
      </c>
      <c r="J34" s="99">
        <f t="shared" si="9"/>
        <v>13.806135036421566</v>
      </c>
      <c r="K34" s="99">
        <f t="shared" si="10"/>
        <v>13.667381145430355</v>
      </c>
      <c r="L34" s="104">
        <f t="shared" si="11"/>
        <v>13.7043245810993</v>
      </c>
      <c r="M34" s="85"/>
      <c r="N34" s="85"/>
      <c r="O34" s="85"/>
      <c r="P34" s="85"/>
      <c r="Q34" s="85"/>
      <c r="R34" s="85"/>
      <c r="S34" s="85"/>
      <c r="T34" s="85"/>
      <c r="U34" s="85"/>
      <c r="V34" s="85"/>
    </row>
    <row r="35" spans="1:22">
      <c r="A35" s="85"/>
      <c r="B35" s="91" t="s">
        <v>198</v>
      </c>
      <c r="C35" s="99">
        <v>21.243825912475586</v>
      </c>
      <c r="D35" s="99">
        <v>21.539775848388672</v>
      </c>
      <c r="E35" s="99">
        <v>21.392797470092773</v>
      </c>
      <c r="F35" s="104">
        <f t="shared" si="6"/>
        <v>21.392133076985676</v>
      </c>
      <c r="G35" s="85">
        <f t="shared" si="13"/>
        <v>100</v>
      </c>
      <c r="H35" s="113">
        <f t="shared" si="8"/>
        <v>6.6438561897747244</v>
      </c>
      <c r="I35" s="99">
        <f t="shared" si="12"/>
        <v>14.599969722700862</v>
      </c>
      <c r="J35" s="99">
        <f t="shared" si="9"/>
        <v>14.895919658613948</v>
      </c>
      <c r="K35" s="99">
        <f t="shared" si="10"/>
        <v>14.74894128031805</v>
      </c>
      <c r="L35" s="104">
        <f t="shared" si="11"/>
        <v>14.748276887210954</v>
      </c>
      <c r="M35" s="85"/>
      <c r="N35" s="85"/>
      <c r="O35" s="85"/>
      <c r="P35" s="85"/>
      <c r="Q35" s="85"/>
      <c r="R35" s="85"/>
      <c r="S35" s="85"/>
      <c r="T35" s="85"/>
      <c r="U35" s="85"/>
      <c r="V35" s="85"/>
    </row>
    <row r="36" spans="1:22">
      <c r="A36" s="85"/>
      <c r="B36" s="91" t="s">
        <v>199</v>
      </c>
      <c r="C36" s="99">
        <v>22.513101577758789</v>
      </c>
      <c r="D36" s="99">
        <v>22.496644973754883</v>
      </c>
      <c r="E36" s="99">
        <v>22.572574615478516</v>
      </c>
      <c r="F36" s="104">
        <f t="shared" si="6"/>
        <v>22.527440388997395</v>
      </c>
      <c r="G36" s="85">
        <f t="shared" si="13"/>
        <v>100</v>
      </c>
      <c r="H36" s="113">
        <f t="shared" si="8"/>
        <v>6.6438561897747244</v>
      </c>
      <c r="I36" s="99">
        <f t="shared" si="12"/>
        <v>15.869245387984066</v>
      </c>
      <c r="J36" s="99">
        <f t="shared" si="9"/>
        <v>15.852788783980159</v>
      </c>
      <c r="K36" s="99">
        <f t="shared" si="10"/>
        <v>15.928718425703792</v>
      </c>
      <c r="L36" s="104">
        <f t="shared" si="11"/>
        <v>15.883584199222673</v>
      </c>
      <c r="M36" s="85"/>
      <c r="N36" s="85"/>
      <c r="O36" s="85"/>
      <c r="P36" s="85"/>
      <c r="Q36" s="85"/>
      <c r="R36" s="85"/>
      <c r="S36" s="85"/>
      <c r="T36" s="85"/>
      <c r="U36" s="85"/>
      <c r="V36" s="85"/>
    </row>
    <row r="37" spans="1:22">
      <c r="A37" s="85"/>
      <c r="B37" s="91" t="s">
        <v>200</v>
      </c>
      <c r="C37" s="99">
        <v>25.11761474609375</v>
      </c>
      <c r="D37" s="99">
        <v>25.00200080871582</v>
      </c>
      <c r="E37" s="99">
        <v>25.069990158081055</v>
      </c>
      <c r="F37" s="104">
        <f t="shared" si="6"/>
        <v>25.063201904296875</v>
      </c>
      <c r="G37" s="85">
        <f t="shared" si="13"/>
        <v>100</v>
      </c>
      <c r="H37" s="113">
        <f t="shared" si="8"/>
        <v>6.6438561897747244</v>
      </c>
      <c r="I37" s="99">
        <f t="shared" si="12"/>
        <v>18.473758556319027</v>
      </c>
      <c r="J37" s="99">
        <f t="shared" si="9"/>
        <v>18.358144618941097</v>
      </c>
      <c r="K37" s="99">
        <f t="shared" si="10"/>
        <v>18.426133968306331</v>
      </c>
      <c r="L37" s="104">
        <f t="shared" si="11"/>
        <v>18.419345714522152</v>
      </c>
      <c r="M37" s="85"/>
      <c r="N37" s="85"/>
      <c r="O37" s="85"/>
      <c r="P37" s="85"/>
      <c r="Q37" s="85"/>
      <c r="R37" s="85"/>
      <c r="S37" s="85"/>
      <c r="T37" s="85"/>
      <c r="U37" s="85"/>
      <c r="V37" s="85"/>
    </row>
    <row r="38" spans="1:22">
      <c r="A38" s="85"/>
      <c r="B38" s="91" t="s">
        <v>201</v>
      </c>
      <c r="C38" s="99">
        <v>25.78911018371582</v>
      </c>
      <c r="D38" s="99">
        <v>25.811565399169922</v>
      </c>
      <c r="E38" s="99">
        <v>25.885698318481445</v>
      </c>
      <c r="F38" s="104">
        <f t="shared" si="6"/>
        <v>25.82879130045573</v>
      </c>
      <c r="G38" s="85">
        <f t="shared" si="13"/>
        <v>100</v>
      </c>
      <c r="H38" s="113">
        <f t="shared" si="8"/>
        <v>6.6438561897747244</v>
      </c>
      <c r="I38" s="99">
        <f t="shared" si="12"/>
        <v>19.145253993941097</v>
      </c>
      <c r="J38" s="99">
        <f t="shared" si="9"/>
        <v>19.167709209395198</v>
      </c>
      <c r="K38" s="99">
        <f t="shared" si="10"/>
        <v>19.241842128706722</v>
      </c>
      <c r="L38" s="104">
        <f t="shared" si="11"/>
        <v>19.184935110681007</v>
      </c>
      <c r="M38" s="85"/>
      <c r="N38" s="85"/>
      <c r="O38" s="85"/>
      <c r="P38" s="85"/>
      <c r="Q38" s="85"/>
      <c r="R38" s="85"/>
      <c r="S38" s="85"/>
      <c r="T38" s="85"/>
      <c r="U38" s="85"/>
      <c r="V38" s="85"/>
    </row>
    <row r="39" spans="1:22">
      <c r="A39" s="85"/>
      <c r="B39" s="85"/>
      <c r="C39" s="85"/>
      <c r="D39" s="85"/>
      <c r="E39" s="85"/>
      <c r="F39" s="113"/>
      <c r="G39" s="85"/>
      <c r="H39" s="85"/>
      <c r="I39" s="85"/>
      <c r="J39" s="85"/>
      <c r="K39" s="85"/>
      <c r="L39" s="85"/>
      <c r="M39" s="85"/>
      <c r="N39" s="85"/>
      <c r="O39" s="85"/>
      <c r="P39" s="85"/>
      <c r="Q39" s="85"/>
      <c r="R39" s="85"/>
      <c r="S39" s="85"/>
      <c r="T39" s="85"/>
      <c r="U39" s="85"/>
      <c r="V39" s="85"/>
    </row>
    <row r="40" spans="1:22">
      <c r="A40" s="85"/>
      <c r="B40" s="91" t="s">
        <v>262</v>
      </c>
      <c r="C40" s="99">
        <v>10.746070861816406</v>
      </c>
      <c r="D40" s="99">
        <v>10.822755813598633</v>
      </c>
      <c r="E40" s="99">
        <v>10.731834411621094</v>
      </c>
      <c r="F40" s="104">
        <f>AVERAGE(C40:E40)</f>
        <v>10.766887029012045</v>
      </c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5"/>
      <c r="V40" s="85"/>
    </row>
    <row r="41" spans="1:22">
      <c r="A41" s="85"/>
      <c r="B41" s="85"/>
      <c r="C41" s="85"/>
      <c r="D41" s="85"/>
      <c r="E41" s="85"/>
      <c r="F41" s="85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5"/>
      <c r="V41" s="85"/>
    </row>
    <row r="42" spans="1:22">
      <c r="A42" s="85"/>
      <c r="B42" s="98" t="s">
        <v>214</v>
      </c>
      <c r="C42" s="85" t="s">
        <v>215</v>
      </c>
      <c r="D42" s="85"/>
      <c r="E42" s="85"/>
      <c r="F42" t="s">
        <v>263</v>
      </c>
      <c r="G42" s="85"/>
      <c r="H42" s="85"/>
      <c r="I42" s="85"/>
      <c r="J42" s="85"/>
      <c r="K42" s="85"/>
      <c r="L42" s="85"/>
      <c r="M42" s="85"/>
      <c r="N42" s="85"/>
      <c r="O42" s="85"/>
      <c r="P42" s="85"/>
      <c r="Q42" s="85"/>
      <c r="R42" s="85"/>
      <c r="S42" s="85"/>
      <c r="T42" s="85"/>
      <c r="U42" s="85"/>
      <c r="V42" s="85"/>
    </row>
    <row r="43" spans="1:22">
      <c r="A43" s="85"/>
      <c r="B43" s="85" t="s">
        <v>264</v>
      </c>
      <c r="C43" s="85" t="s">
        <v>215</v>
      </c>
      <c r="D43" s="85"/>
      <c r="E43" s="85"/>
      <c r="F43">
        <v>0.34642903804779052</v>
      </c>
      <c r="G43" s="85"/>
      <c r="H43" s="85"/>
      <c r="I43" s="85"/>
      <c r="J43" s="85"/>
      <c r="K43" s="85"/>
      <c r="L43" s="85"/>
      <c r="M43" s="85"/>
      <c r="N43" s="85"/>
      <c r="O43" s="85"/>
      <c r="P43" s="85"/>
      <c r="Q43" s="85"/>
      <c r="R43" s="85"/>
      <c r="S43" s="85"/>
      <c r="T43" s="85"/>
      <c r="U43" s="85"/>
      <c r="V43" s="85"/>
    </row>
    <row r="44" spans="1:22">
      <c r="A44" s="85"/>
      <c r="B44" s="85"/>
      <c r="C44" s="102" t="s">
        <v>217</v>
      </c>
      <c r="D44" s="100">
        <v>-3.9893000000000001</v>
      </c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85"/>
      <c r="U44" s="85"/>
      <c r="V44" s="85"/>
    </row>
    <row r="45" spans="1:22">
      <c r="A45" s="85"/>
      <c r="B45" s="85"/>
      <c r="C45" s="102" t="s">
        <v>218</v>
      </c>
      <c r="D45" s="100">
        <v>40.134999999999998</v>
      </c>
      <c r="E45" s="85"/>
      <c r="F45" s="85"/>
      <c r="G45" s="85"/>
      <c r="H45" s="85"/>
      <c r="I45" s="85"/>
      <c r="J45" s="85"/>
      <c r="K45" s="85"/>
      <c r="L45" s="85"/>
      <c r="M45" s="85"/>
      <c r="N45" s="85"/>
      <c r="O45" s="85"/>
      <c r="P45" s="85"/>
      <c r="Q45" s="85"/>
      <c r="R45" s="85"/>
      <c r="S45" s="85"/>
      <c r="T45" s="85"/>
      <c r="U45" s="85"/>
      <c r="V45" s="85"/>
    </row>
    <row r="46" spans="1:22">
      <c r="A46" s="85"/>
      <c r="B46" s="85"/>
      <c r="C46" s="85"/>
      <c r="D46" s="85"/>
      <c r="E46" s="85"/>
      <c r="F46" s="85"/>
      <c r="G46" s="85"/>
      <c r="H46" s="85"/>
      <c r="I46" s="85"/>
      <c r="J46" s="85"/>
      <c r="K46" s="85"/>
      <c r="L46" s="85"/>
      <c r="M46" s="85"/>
      <c r="N46" s="85"/>
      <c r="O46" s="85"/>
      <c r="P46" s="85"/>
      <c r="Q46" s="85"/>
      <c r="R46" s="85"/>
      <c r="S46" s="85"/>
      <c r="T46" s="85"/>
      <c r="U46" s="85"/>
      <c r="V46" s="85"/>
    </row>
    <row r="47" spans="1:22">
      <c r="A47" s="85"/>
      <c r="B47" s="85"/>
      <c r="C47" s="85"/>
      <c r="D47" s="85"/>
      <c r="E47" s="85"/>
      <c r="F47" s="85"/>
      <c r="G47" s="85"/>
      <c r="H47" s="85"/>
      <c r="I47" s="85"/>
      <c r="J47" s="85"/>
      <c r="K47" s="85"/>
      <c r="L47" s="85"/>
      <c r="M47" s="85"/>
      <c r="N47" s="85"/>
      <c r="O47" s="85"/>
      <c r="P47" s="85"/>
      <c r="Q47" s="85"/>
      <c r="R47" s="85"/>
      <c r="S47" s="85"/>
      <c r="T47" s="85"/>
      <c r="U47" s="85"/>
      <c r="V47" s="85"/>
    </row>
    <row r="48" spans="1:22">
      <c r="A48" s="85"/>
      <c r="B48" s="98" t="s">
        <v>219</v>
      </c>
      <c r="C48" s="85"/>
      <c r="D48" s="85">
        <f>-1+ POWER(10,-(1/D44))</f>
        <v>0.78102716558460528</v>
      </c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85"/>
      <c r="U48" s="85"/>
      <c r="V48" s="85"/>
    </row>
    <row r="49" spans="1:22">
      <c r="A49" s="85"/>
      <c r="B49" s="85"/>
      <c r="C49" s="85"/>
      <c r="D49" s="85"/>
      <c r="E49" s="85"/>
      <c r="F49" s="85"/>
      <c r="G49" s="85"/>
      <c r="H49" s="85"/>
      <c r="I49" s="85"/>
      <c r="J49" s="85"/>
      <c r="K49" s="85"/>
      <c r="L49" s="85"/>
      <c r="M49" s="85"/>
      <c r="N49" s="85"/>
      <c r="O49" s="85"/>
      <c r="P49" s="85"/>
      <c r="Q49" s="85"/>
      <c r="R49" s="85"/>
      <c r="S49" s="85"/>
      <c r="T49" s="85"/>
      <c r="U49" s="85"/>
      <c r="V49" s="85"/>
    </row>
    <row r="50" spans="1:22">
      <c r="A50" s="85"/>
      <c r="B50" s="98" t="s">
        <v>265</v>
      </c>
      <c r="C50" s="115"/>
      <c r="D50" s="85"/>
      <c r="E50" s="85"/>
      <c r="F50" s="85"/>
      <c r="G50" s="85"/>
      <c r="H50" s="85"/>
      <c r="I50" s="85"/>
      <c r="J50" s="85"/>
      <c r="K50" s="85"/>
      <c r="L50" s="85"/>
      <c r="M50" s="85"/>
      <c r="N50" s="85"/>
      <c r="O50" s="85"/>
      <c r="P50" s="85"/>
      <c r="Q50" s="85"/>
      <c r="R50" s="85"/>
      <c r="S50" s="85"/>
      <c r="T50" s="85"/>
      <c r="U50" s="85"/>
      <c r="V50" s="85"/>
    </row>
    <row r="51" spans="1:22">
      <c r="A51" s="85"/>
      <c r="B51" s="85"/>
      <c r="C51" s="85"/>
      <c r="D51" s="85"/>
      <c r="E51" s="85"/>
      <c r="F51" s="85"/>
      <c r="G51" s="85"/>
      <c r="H51" s="85"/>
      <c r="I51" s="85"/>
      <c r="J51" s="85"/>
      <c r="K51" s="85"/>
      <c r="L51" s="85"/>
      <c r="M51" s="85"/>
      <c r="N51" s="85"/>
      <c r="O51" s="85"/>
      <c r="P51" s="85"/>
      <c r="Q51" s="85"/>
      <c r="R51" s="85"/>
      <c r="S51" s="85"/>
      <c r="T51" s="85"/>
      <c r="U51" s="85"/>
      <c r="V51" s="85"/>
    </row>
    <row r="52" spans="1:22">
      <c r="A52" s="85"/>
      <c r="B52" s="85"/>
      <c r="C52" s="85"/>
      <c r="D52" s="85"/>
      <c r="E52" s="85"/>
      <c r="F52" s="85"/>
      <c r="G52" s="85"/>
      <c r="H52" s="85"/>
      <c r="I52" s="85"/>
      <c r="J52" s="85"/>
      <c r="K52" s="85"/>
      <c r="L52" s="85"/>
      <c r="M52" s="85"/>
      <c r="N52" s="85"/>
      <c r="O52" s="85"/>
      <c r="P52" s="85"/>
      <c r="Q52" s="85"/>
      <c r="R52" s="85"/>
      <c r="S52" s="85"/>
      <c r="T52" s="85"/>
      <c r="U52" s="85"/>
      <c r="V52" s="85"/>
    </row>
    <row r="53" spans="1:22">
      <c r="A53" s="85"/>
      <c r="B53" s="85"/>
      <c r="C53" s="85"/>
      <c r="D53" s="85"/>
      <c r="E53" s="85"/>
      <c r="F53" s="85"/>
      <c r="G53" s="85"/>
      <c r="H53" s="85"/>
      <c r="I53" s="85"/>
      <c r="J53" s="85"/>
      <c r="K53" s="85"/>
      <c r="L53" s="85"/>
      <c r="M53" s="85"/>
      <c r="N53" s="85"/>
      <c r="O53" s="85"/>
      <c r="P53" s="85"/>
      <c r="Q53" s="85"/>
      <c r="R53" s="85"/>
      <c r="S53" s="85"/>
      <c r="T53" s="85"/>
      <c r="U53" s="85"/>
      <c r="V53" s="85"/>
    </row>
    <row r="54" spans="1:22">
      <c r="A54" s="85"/>
      <c r="B54" s="85"/>
      <c r="C54" s="85"/>
      <c r="D54" s="85"/>
      <c r="E54" s="85"/>
      <c r="F54" s="85"/>
      <c r="G54" s="85"/>
      <c r="H54" s="85"/>
      <c r="I54" s="85"/>
      <c r="J54" s="85"/>
      <c r="K54" s="85"/>
      <c r="L54" s="85"/>
      <c r="M54" s="85"/>
      <c r="N54" s="85"/>
      <c r="O54" s="85"/>
      <c r="P54" s="85"/>
      <c r="Q54" s="85"/>
      <c r="R54" s="85"/>
      <c r="S54" s="85"/>
      <c r="T54" s="85"/>
      <c r="U54" s="85"/>
      <c r="V54" s="85"/>
    </row>
    <row r="55" spans="1:22">
      <c r="A55" s="85"/>
      <c r="B55" s="85"/>
      <c r="C55" s="85"/>
      <c r="D55" s="85"/>
      <c r="E55" s="85"/>
      <c r="F55" s="85"/>
      <c r="G55" s="85"/>
      <c r="H55" s="85"/>
      <c r="I55" s="85"/>
      <c r="J55" s="85"/>
      <c r="K55" s="85"/>
      <c r="L55" s="85"/>
      <c r="M55" s="85"/>
      <c r="N55" s="85"/>
      <c r="O55" s="85"/>
      <c r="P55" s="85"/>
      <c r="Q55" s="85"/>
      <c r="R55" s="85"/>
      <c r="S55" s="85"/>
      <c r="T55" s="85"/>
      <c r="U55" s="85"/>
      <c r="V55" s="85"/>
    </row>
  </sheetData>
  <mergeCells count="7">
    <mergeCell ref="S1:S2"/>
    <mergeCell ref="P3:R3"/>
    <mergeCell ref="B1:B2"/>
    <mergeCell ref="C1:C2"/>
    <mergeCell ref="D1:G1"/>
    <mergeCell ref="H1:K1"/>
    <mergeCell ref="L1:O1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24</vt:i4>
      </vt:variant>
      <vt:variant>
        <vt:lpstr>Charts</vt:lpstr>
      </vt:variant>
      <vt:variant>
        <vt:i4>2</vt:i4>
      </vt:variant>
    </vt:vector>
  </HeadingPairs>
  <TitlesOfParts>
    <vt:vector size="26" baseType="lpstr">
      <vt:lpstr>Fermentation</vt:lpstr>
      <vt:lpstr>Calculation</vt:lpstr>
      <vt:lpstr>Plate Count</vt:lpstr>
      <vt:lpstr>Flow cytometer</vt:lpstr>
      <vt:lpstr>Calibration R. intestinalis </vt:lpstr>
      <vt:lpstr>Determination cell counts RI</vt:lpstr>
      <vt:lpstr>Calibration F. prausnitzii</vt:lpstr>
      <vt:lpstr>Determination cell counts FP</vt:lpstr>
      <vt:lpstr>CalibrationB. hydrogenotrophica</vt:lpstr>
      <vt:lpstr>Determination cell counts BH</vt:lpstr>
      <vt:lpstr>Total cell count</vt:lpstr>
      <vt:lpstr>OD600nm</vt:lpstr>
      <vt:lpstr>CDM</vt:lpstr>
      <vt:lpstr>H2</vt:lpstr>
      <vt:lpstr>CO2</vt:lpstr>
      <vt:lpstr>Metabolites</vt:lpstr>
      <vt:lpstr>D-Fructose</vt:lpstr>
      <vt:lpstr>Formic acid</vt:lpstr>
      <vt:lpstr>Acetic acid</vt:lpstr>
      <vt:lpstr>Propionic acid</vt:lpstr>
      <vt:lpstr>Butyric acid</vt:lpstr>
      <vt:lpstr>Lactic acid</vt:lpstr>
      <vt:lpstr>Ethanol</vt:lpstr>
      <vt:lpstr>Carbon recovery</vt:lpstr>
      <vt:lpstr>Graph</vt:lpstr>
      <vt:lpstr>Graph (2)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 Lefeber</dc:creator>
  <cp:lastModifiedBy>Kevin D'hoe</cp:lastModifiedBy>
  <cp:lastPrinted>2009-02-16T08:48:51Z</cp:lastPrinted>
  <dcterms:created xsi:type="dcterms:W3CDTF">2009-02-15T16:08:16Z</dcterms:created>
  <dcterms:modified xsi:type="dcterms:W3CDTF">2016-04-13T15:53:34Z</dcterms:modified>
</cp:coreProperties>
</file>