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880" yWindow="880" windowWidth="24640" windowHeight="15140" tabRatio="930" firstSheet="5" activeTab="8"/>
  </bookViews>
  <sheets>
    <sheet name="Fermentation" sheetId="25" r:id="rId1"/>
    <sheet name="Calculation" sheetId="2" r:id="rId2"/>
    <sheet name="Plate Count" sheetId="3" r:id="rId3"/>
    <sheet name="Flow cytometer" sheetId="22" r:id="rId4"/>
    <sheet name="OD600nm" sheetId="4" r:id="rId5"/>
    <sheet name="CDM" sheetId="5" r:id="rId6"/>
    <sheet name="H2" sheetId="17" r:id="rId7"/>
    <sheet name="CO2" sheetId="7" r:id="rId8"/>
    <sheet name="Metabolites" sheetId="8" r:id="rId9"/>
    <sheet name="D-Fructose" sheetId="19" r:id="rId10"/>
    <sheet name="Formic acid" sheetId="18" r:id="rId11"/>
    <sheet name="Acetic acid" sheetId="15" r:id="rId12"/>
    <sheet name="Propionic acid" sheetId="20" r:id="rId13"/>
    <sheet name="Butyric acid" sheetId="21" r:id="rId14"/>
    <sheet name="Lactic acid" sheetId="14" r:id="rId15"/>
    <sheet name="Ethanol" sheetId="16" r:id="rId16"/>
    <sheet name="Graph" sheetId="13" r:id="rId17"/>
    <sheet name="Graph (2)" sheetId="26" r:id="rId18"/>
    <sheet name="Carbon recovery" sheetId="23" r:id="rId19"/>
  </sheets>
  <definedNames>
    <definedName name="_2012_05_10_FPRAU_fruc1" localSheetId="7">'CO2'!$I$5:$I$293</definedName>
    <definedName name="_2012_06_08_BIF_REC_OLI_1" localSheetId="7">'CO2'!$N$5:$N$201</definedName>
    <definedName name="_2012_06_08_BIF_REC_OLI_1" localSheetId="6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9" i="7" l="1"/>
  <c r="D109" i="7"/>
  <c r="E109" i="7"/>
  <c r="F109" i="7"/>
  <c r="C108" i="7"/>
  <c r="D108" i="7"/>
  <c r="E108" i="7"/>
  <c r="F108" i="7"/>
  <c r="C107" i="7"/>
  <c r="D107" i="7"/>
  <c r="E107" i="7"/>
  <c r="F107" i="7"/>
  <c r="C106" i="7"/>
  <c r="D106" i="7"/>
  <c r="E106" i="7"/>
  <c r="F106" i="7"/>
  <c r="C105" i="7"/>
  <c r="D105" i="7"/>
  <c r="E105" i="7"/>
  <c r="F105" i="7"/>
  <c r="C104" i="7"/>
  <c r="D104" i="7"/>
  <c r="E104" i="7"/>
  <c r="F104" i="7"/>
  <c r="C103" i="7"/>
  <c r="D103" i="7"/>
  <c r="E103" i="7"/>
  <c r="F103" i="7"/>
  <c r="C102" i="7"/>
  <c r="D102" i="7"/>
  <c r="E102" i="7"/>
  <c r="F102" i="7"/>
  <c r="C101" i="7"/>
  <c r="D101" i="7"/>
  <c r="E101" i="7"/>
  <c r="F101" i="7"/>
  <c r="C100" i="7"/>
  <c r="D100" i="7"/>
  <c r="E100" i="7"/>
  <c r="F100" i="7"/>
  <c r="C99" i="7"/>
  <c r="D99" i="7"/>
  <c r="E99" i="7"/>
  <c r="F99" i="7"/>
  <c r="C98" i="7"/>
  <c r="D98" i="7"/>
  <c r="E98" i="7"/>
  <c r="F98" i="7"/>
  <c r="C97" i="7"/>
  <c r="D97" i="7"/>
  <c r="E97" i="7"/>
  <c r="F97" i="7"/>
  <c r="C96" i="7"/>
  <c r="D96" i="7"/>
  <c r="E96" i="7"/>
  <c r="F96" i="7"/>
  <c r="C95" i="7"/>
  <c r="D95" i="7"/>
  <c r="E95" i="7"/>
  <c r="F95" i="7"/>
  <c r="C94" i="7"/>
  <c r="D94" i="7"/>
  <c r="E94" i="7"/>
  <c r="F94" i="7"/>
  <c r="C93" i="7"/>
  <c r="D93" i="7"/>
  <c r="E93" i="7"/>
  <c r="F93" i="7"/>
  <c r="C92" i="7"/>
  <c r="D92" i="7"/>
  <c r="E92" i="7"/>
  <c r="F92" i="7"/>
  <c r="C91" i="7"/>
  <c r="D91" i="7"/>
  <c r="E91" i="7"/>
  <c r="F91" i="7"/>
  <c r="C90" i="7"/>
  <c r="D90" i="7"/>
  <c r="E90" i="7"/>
  <c r="F90" i="7"/>
  <c r="C89" i="7"/>
  <c r="D89" i="7"/>
  <c r="E89" i="7"/>
  <c r="F89" i="7"/>
  <c r="C88" i="7"/>
  <c r="D88" i="7"/>
  <c r="E88" i="7"/>
  <c r="F88" i="7"/>
  <c r="C87" i="7"/>
  <c r="D87" i="7"/>
  <c r="E87" i="7"/>
  <c r="F87" i="7"/>
  <c r="C86" i="7"/>
  <c r="D86" i="7"/>
  <c r="E86" i="7"/>
  <c r="F86" i="7"/>
  <c r="C85" i="7"/>
  <c r="D85" i="7"/>
  <c r="E85" i="7"/>
  <c r="F85" i="7"/>
  <c r="C84" i="7"/>
  <c r="D84" i="7"/>
  <c r="E84" i="7"/>
  <c r="F84" i="7"/>
  <c r="C83" i="7"/>
  <c r="D83" i="7"/>
  <c r="E83" i="7"/>
  <c r="F83" i="7"/>
  <c r="C82" i="7"/>
  <c r="D82" i="7"/>
  <c r="E82" i="7"/>
  <c r="F82" i="7"/>
  <c r="C81" i="7"/>
  <c r="D81" i="7"/>
  <c r="E81" i="7"/>
  <c r="F81" i="7"/>
  <c r="C80" i="7"/>
  <c r="D80" i="7"/>
  <c r="E80" i="7"/>
  <c r="F80" i="7"/>
  <c r="C79" i="7"/>
  <c r="D79" i="7"/>
  <c r="E79" i="7"/>
  <c r="F79" i="7"/>
  <c r="C78" i="7"/>
  <c r="D78" i="7"/>
  <c r="E78" i="7"/>
  <c r="F78" i="7"/>
  <c r="C77" i="7"/>
  <c r="D77" i="7"/>
  <c r="E77" i="7"/>
  <c r="F77" i="7"/>
  <c r="C76" i="7"/>
  <c r="D76" i="7"/>
  <c r="E76" i="7"/>
  <c r="F76" i="7"/>
  <c r="C75" i="7"/>
  <c r="D75" i="7"/>
  <c r="E75" i="7"/>
  <c r="F75" i="7"/>
  <c r="C74" i="7"/>
  <c r="D74" i="7"/>
  <c r="E74" i="7"/>
  <c r="F74" i="7"/>
  <c r="C73" i="7"/>
  <c r="D73" i="7"/>
  <c r="E73" i="7"/>
  <c r="F73" i="7"/>
  <c r="C72" i="7"/>
  <c r="D72" i="7"/>
  <c r="E72" i="7"/>
  <c r="F72" i="7"/>
  <c r="C71" i="7"/>
  <c r="D71" i="7"/>
  <c r="E71" i="7"/>
  <c r="F71" i="7"/>
  <c r="C70" i="7"/>
  <c r="D70" i="7"/>
  <c r="E70" i="7"/>
  <c r="F70" i="7"/>
  <c r="C69" i="7"/>
  <c r="D69" i="7"/>
  <c r="E69" i="7"/>
  <c r="F69" i="7"/>
  <c r="C68" i="7"/>
  <c r="D68" i="7"/>
  <c r="E68" i="7"/>
  <c r="F68" i="7"/>
  <c r="C67" i="7"/>
  <c r="D67" i="7"/>
  <c r="E67" i="7"/>
  <c r="F67" i="7"/>
  <c r="C66" i="7"/>
  <c r="D66" i="7"/>
  <c r="E66" i="7"/>
  <c r="F66" i="7"/>
  <c r="C65" i="7"/>
  <c r="D65" i="7"/>
  <c r="E65" i="7"/>
  <c r="F65" i="7"/>
  <c r="C64" i="7"/>
  <c r="D64" i="7"/>
  <c r="E64" i="7"/>
  <c r="F64" i="7"/>
  <c r="C63" i="7"/>
  <c r="D63" i="7"/>
  <c r="E63" i="7"/>
  <c r="F63" i="7"/>
  <c r="C62" i="7"/>
  <c r="D62" i="7"/>
  <c r="E62" i="7"/>
  <c r="F62" i="7"/>
  <c r="C61" i="7"/>
  <c r="D61" i="7"/>
  <c r="E61" i="7"/>
  <c r="F61" i="7"/>
  <c r="C60" i="7"/>
  <c r="D60" i="7"/>
  <c r="E60" i="7"/>
  <c r="F60" i="7"/>
  <c r="C59" i="7"/>
  <c r="D59" i="7"/>
  <c r="E59" i="7"/>
  <c r="F59" i="7"/>
  <c r="C58" i="7"/>
  <c r="D58" i="7"/>
  <c r="E58" i="7"/>
  <c r="F58" i="7"/>
  <c r="C57" i="7"/>
  <c r="D57" i="7"/>
  <c r="E57" i="7"/>
  <c r="F57" i="7"/>
  <c r="C56" i="7"/>
  <c r="D56" i="7"/>
  <c r="E56" i="7"/>
  <c r="F56" i="7"/>
  <c r="C55" i="7"/>
  <c r="D55" i="7"/>
  <c r="E55" i="7"/>
  <c r="F55" i="7"/>
  <c r="C54" i="7"/>
  <c r="D54" i="7"/>
  <c r="E54" i="7"/>
  <c r="F54" i="7"/>
  <c r="C53" i="7"/>
  <c r="D53" i="7"/>
  <c r="E53" i="7"/>
  <c r="F53" i="7"/>
  <c r="C52" i="7"/>
  <c r="D52" i="7"/>
  <c r="E52" i="7"/>
  <c r="F52" i="7"/>
  <c r="C51" i="7"/>
  <c r="D51" i="7"/>
  <c r="E51" i="7"/>
  <c r="F51" i="7"/>
  <c r="C50" i="7"/>
  <c r="D50" i="7"/>
  <c r="E50" i="7"/>
  <c r="F50" i="7"/>
  <c r="C49" i="7"/>
  <c r="D49" i="7"/>
  <c r="E49" i="7"/>
  <c r="F49" i="7"/>
  <c r="C48" i="7"/>
  <c r="D48" i="7"/>
  <c r="E48" i="7"/>
  <c r="F48" i="7"/>
  <c r="C47" i="7"/>
  <c r="D47" i="7"/>
  <c r="E47" i="7"/>
  <c r="F47" i="7"/>
  <c r="C46" i="7"/>
  <c r="D46" i="7"/>
  <c r="E46" i="7"/>
  <c r="F46" i="7"/>
  <c r="C45" i="7"/>
  <c r="D45" i="7"/>
  <c r="E45" i="7"/>
  <c r="F45" i="7"/>
  <c r="C44" i="7"/>
  <c r="D44" i="7"/>
  <c r="E44" i="7"/>
  <c r="F44" i="7"/>
  <c r="C43" i="7"/>
  <c r="D43" i="7"/>
  <c r="E43" i="7"/>
  <c r="F43" i="7"/>
  <c r="C42" i="7"/>
  <c r="D42" i="7"/>
  <c r="E42" i="7"/>
  <c r="F42" i="7"/>
  <c r="C41" i="7"/>
  <c r="D41" i="7"/>
  <c r="E41" i="7"/>
  <c r="F41" i="7"/>
  <c r="C40" i="7"/>
  <c r="D40" i="7"/>
  <c r="E40" i="7"/>
  <c r="F40" i="7"/>
  <c r="C39" i="7"/>
  <c r="D39" i="7"/>
  <c r="E39" i="7"/>
  <c r="F39" i="7"/>
  <c r="C38" i="7"/>
  <c r="D38" i="7"/>
  <c r="E38" i="7"/>
  <c r="F38" i="7"/>
  <c r="C37" i="7"/>
  <c r="D37" i="7"/>
  <c r="E37" i="7"/>
  <c r="F37" i="7"/>
  <c r="C36" i="7"/>
  <c r="D36" i="7"/>
  <c r="E36" i="7"/>
  <c r="F36" i="7"/>
  <c r="C35" i="7"/>
  <c r="D35" i="7"/>
  <c r="E35" i="7"/>
  <c r="F35" i="7"/>
  <c r="C34" i="7"/>
  <c r="D34" i="7"/>
  <c r="E34" i="7"/>
  <c r="F34" i="7"/>
  <c r="C33" i="7"/>
  <c r="D33" i="7"/>
  <c r="E33" i="7"/>
  <c r="F33" i="7"/>
  <c r="C32" i="7"/>
  <c r="D32" i="7"/>
  <c r="E32" i="7"/>
  <c r="F32" i="7"/>
  <c r="C31" i="7"/>
  <c r="D31" i="7"/>
  <c r="E31" i="7"/>
  <c r="F31" i="7"/>
  <c r="C30" i="7"/>
  <c r="D30" i="7"/>
  <c r="E30" i="7"/>
  <c r="F30" i="7"/>
  <c r="C29" i="7"/>
  <c r="D29" i="7"/>
  <c r="E29" i="7"/>
  <c r="F29" i="7"/>
  <c r="C28" i="7"/>
  <c r="D28" i="7"/>
  <c r="E28" i="7"/>
  <c r="F28" i="7"/>
  <c r="C27" i="7"/>
  <c r="D27" i="7"/>
  <c r="E27" i="7"/>
  <c r="F27" i="7"/>
  <c r="C26" i="7"/>
  <c r="D26" i="7"/>
  <c r="E26" i="7"/>
  <c r="F26" i="7"/>
  <c r="C25" i="7"/>
  <c r="D25" i="7"/>
  <c r="E25" i="7"/>
  <c r="F25" i="7"/>
  <c r="C24" i="7"/>
  <c r="D24" i="7"/>
  <c r="E24" i="7"/>
  <c r="F24" i="7"/>
  <c r="C23" i="7"/>
  <c r="D23" i="7"/>
  <c r="E23" i="7"/>
  <c r="F23" i="7"/>
  <c r="C22" i="7"/>
  <c r="D22" i="7"/>
  <c r="E22" i="7"/>
  <c r="F22" i="7"/>
  <c r="C21" i="7"/>
  <c r="D21" i="7"/>
  <c r="E21" i="7"/>
  <c r="F21" i="7"/>
  <c r="C20" i="7"/>
  <c r="D20" i="7"/>
  <c r="E20" i="7"/>
  <c r="F20" i="7"/>
  <c r="C19" i="7"/>
  <c r="D19" i="7"/>
  <c r="E19" i="7"/>
  <c r="F19" i="7"/>
  <c r="C18" i="7"/>
  <c r="D18" i="7"/>
  <c r="E18" i="7"/>
  <c r="F18" i="7"/>
  <c r="C17" i="7"/>
  <c r="D17" i="7"/>
  <c r="E17" i="7"/>
  <c r="F17" i="7"/>
  <c r="C16" i="7"/>
  <c r="D16" i="7"/>
  <c r="E16" i="7"/>
  <c r="F16" i="7"/>
  <c r="C15" i="7"/>
  <c r="D15" i="7"/>
  <c r="E15" i="7"/>
  <c r="F15" i="7"/>
  <c r="C14" i="7"/>
  <c r="D14" i="7"/>
  <c r="E14" i="7"/>
  <c r="F14" i="7"/>
  <c r="C13" i="7"/>
  <c r="D13" i="7"/>
  <c r="E13" i="7"/>
  <c r="F13" i="7"/>
  <c r="C12" i="7"/>
  <c r="D12" i="7"/>
  <c r="E12" i="7"/>
  <c r="F12" i="7"/>
  <c r="C11" i="7"/>
  <c r="D11" i="7"/>
  <c r="E11" i="7"/>
  <c r="F11" i="7"/>
  <c r="C10" i="7"/>
  <c r="D10" i="7"/>
  <c r="E10" i="7"/>
  <c r="F10" i="7"/>
  <c r="C9" i="7"/>
  <c r="D9" i="7"/>
  <c r="E9" i="7"/>
  <c r="F9" i="7"/>
  <c r="C8" i="7"/>
  <c r="D8" i="7"/>
  <c r="E8" i="7"/>
  <c r="F8" i="7"/>
  <c r="C7" i="7"/>
  <c r="D7" i="7"/>
  <c r="E7" i="7"/>
  <c r="F7" i="7"/>
  <c r="C6" i="7"/>
  <c r="D6" i="7"/>
  <c r="E6" i="7"/>
  <c r="F6" i="7"/>
  <c r="C5" i="7"/>
  <c r="D5" i="7"/>
  <c r="E5" i="7"/>
  <c r="F5" i="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01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65" i="17"/>
  <c r="F54" i="17"/>
  <c r="F55" i="17"/>
  <c r="F56" i="17"/>
  <c r="F57" i="17"/>
  <c r="F58" i="17"/>
  <c r="F59" i="17"/>
  <c r="F60" i="17"/>
  <c r="F61" i="17"/>
  <c r="F62" i="17"/>
  <c r="F63" i="17"/>
  <c r="F64" i="17"/>
  <c r="F53" i="17"/>
  <c r="F42" i="17"/>
  <c r="F43" i="17"/>
  <c r="F44" i="17"/>
  <c r="F45" i="17"/>
  <c r="F46" i="17"/>
  <c r="F47" i="17"/>
  <c r="F48" i="17"/>
  <c r="F49" i="17"/>
  <c r="F50" i="17"/>
  <c r="F51" i="17"/>
  <c r="F52" i="17"/>
  <c r="F41" i="17"/>
  <c r="F40" i="17"/>
  <c r="F39" i="17"/>
  <c r="F37" i="17"/>
  <c r="F38" i="17"/>
  <c r="F36" i="17"/>
  <c r="F34" i="17"/>
  <c r="F35" i="17"/>
  <c r="F33" i="17"/>
  <c r="F32" i="17"/>
  <c r="F31" i="17"/>
  <c r="F29" i="17"/>
  <c r="F30" i="17"/>
  <c r="F28" i="17"/>
  <c r="F27" i="17"/>
  <c r="F26" i="17"/>
  <c r="F24" i="17"/>
  <c r="F25" i="17"/>
  <c r="F23" i="17"/>
  <c r="F21" i="17"/>
  <c r="F22" i="17"/>
  <c r="F20" i="17"/>
  <c r="F18" i="17"/>
  <c r="F19" i="17"/>
  <c r="F17" i="17"/>
  <c r="F16" i="17"/>
  <c r="F15" i="17"/>
  <c r="F13" i="17"/>
  <c r="F14" i="17"/>
  <c r="F12" i="17"/>
  <c r="F10" i="17"/>
  <c r="F11" i="17"/>
  <c r="F9" i="17"/>
  <c r="F6" i="17"/>
  <c r="F7" i="17"/>
  <c r="F8" i="17"/>
  <c r="X5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X4" i="22"/>
  <c r="Q4" i="22"/>
  <c r="U20" i="22"/>
  <c r="V20" i="22"/>
  <c r="W20" i="22"/>
  <c r="U19" i="22"/>
  <c r="V19" i="22"/>
  <c r="W19" i="22"/>
  <c r="U18" i="22"/>
  <c r="V18" i="22"/>
  <c r="W18" i="22"/>
  <c r="U17" i="22"/>
  <c r="V17" i="22"/>
  <c r="W17" i="22"/>
  <c r="U16" i="22"/>
  <c r="V16" i="22"/>
  <c r="W16" i="22"/>
  <c r="U15" i="22"/>
  <c r="V15" i="22"/>
  <c r="W15" i="22"/>
  <c r="U14" i="22"/>
  <c r="V14" i="22"/>
  <c r="W14" i="22"/>
  <c r="U13" i="22"/>
  <c r="V13" i="22"/>
  <c r="W13" i="22"/>
  <c r="U12" i="22"/>
  <c r="V12" i="22"/>
  <c r="W12" i="22"/>
  <c r="U11" i="22"/>
  <c r="V11" i="22"/>
  <c r="W11" i="22"/>
  <c r="U10" i="22"/>
  <c r="V10" i="22"/>
  <c r="W10" i="22"/>
  <c r="U9" i="22"/>
  <c r="V9" i="22"/>
  <c r="W9" i="22"/>
  <c r="U8" i="22"/>
  <c r="V8" i="22"/>
  <c r="W8" i="22"/>
  <c r="U7" i="22"/>
  <c r="V7" i="22"/>
  <c r="W7" i="22"/>
  <c r="U6" i="22"/>
  <c r="V6" i="22"/>
  <c r="W6" i="22"/>
  <c r="U5" i="22"/>
  <c r="V5" i="22"/>
  <c r="W5" i="22"/>
  <c r="U4" i="22"/>
  <c r="V4" i="22"/>
  <c r="W4" i="22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B8" i="23"/>
  <c r="B6" i="23"/>
  <c r="B5" i="23"/>
  <c r="B4" i="23"/>
  <c r="B3" i="23"/>
  <c r="B2" i="23"/>
  <c r="B12" i="23"/>
  <c r="F3" i="2"/>
  <c r="I4" i="2"/>
  <c r="I3" i="2"/>
  <c r="J3" i="2"/>
  <c r="K3" i="2"/>
  <c r="H4" i="8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I20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H20" i="8"/>
  <c r="L41" i="8"/>
  <c r="L25" i="8"/>
  <c r="L20" i="8"/>
  <c r="L4" i="8"/>
  <c r="T20" i="8"/>
  <c r="T4" i="8"/>
  <c r="P20" i="8"/>
  <c r="P4" i="8"/>
  <c r="G102" i="7"/>
  <c r="G103" i="7"/>
  <c r="G104" i="7"/>
  <c r="G105" i="7"/>
  <c r="G106" i="7"/>
  <c r="G107" i="7"/>
  <c r="G108" i="7"/>
  <c r="G109" i="7"/>
  <c r="C102" i="17"/>
  <c r="D102" i="17"/>
  <c r="E102" i="17"/>
  <c r="C5" i="17"/>
  <c r="D5" i="17"/>
  <c r="E5" i="17"/>
  <c r="F5" i="17"/>
  <c r="G5" i="17"/>
  <c r="C6" i="17"/>
  <c r="D6" i="17"/>
  <c r="E6" i="17"/>
  <c r="G6" i="17"/>
  <c r="C7" i="17"/>
  <c r="D7" i="17"/>
  <c r="E7" i="17"/>
  <c r="G7" i="17"/>
  <c r="C8" i="17"/>
  <c r="D8" i="17"/>
  <c r="E8" i="17"/>
  <c r="G8" i="17"/>
  <c r="C9" i="17"/>
  <c r="D9" i="17"/>
  <c r="E9" i="17"/>
  <c r="G9" i="17"/>
  <c r="C10" i="17"/>
  <c r="D10" i="17"/>
  <c r="E10" i="17"/>
  <c r="G10" i="17"/>
  <c r="C11" i="17"/>
  <c r="D11" i="17"/>
  <c r="E11" i="17"/>
  <c r="G11" i="17"/>
  <c r="C12" i="17"/>
  <c r="D12" i="17"/>
  <c r="E12" i="17"/>
  <c r="G12" i="17"/>
  <c r="C13" i="17"/>
  <c r="D13" i="17"/>
  <c r="E13" i="17"/>
  <c r="G13" i="17"/>
  <c r="C14" i="17"/>
  <c r="D14" i="17"/>
  <c r="E14" i="17"/>
  <c r="G14" i="17"/>
  <c r="C15" i="17"/>
  <c r="D15" i="17"/>
  <c r="E15" i="17"/>
  <c r="G15" i="17"/>
  <c r="C16" i="17"/>
  <c r="D16" i="17"/>
  <c r="E16" i="17"/>
  <c r="G16" i="17"/>
  <c r="C17" i="17"/>
  <c r="D17" i="17"/>
  <c r="E17" i="17"/>
  <c r="G17" i="17"/>
  <c r="C18" i="17"/>
  <c r="D18" i="17"/>
  <c r="E18" i="17"/>
  <c r="G18" i="17"/>
  <c r="C19" i="17"/>
  <c r="D19" i="17"/>
  <c r="E19" i="17"/>
  <c r="G19" i="17"/>
  <c r="C20" i="17"/>
  <c r="D20" i="17"/>
  <c r="E20" i="17"/>
  <c r="G20" i="17"/>
  <c r="C21" i="17"/>
  <c r="D21" i="17"/>
  <c r="E21" i="17"/>
  <c r="G21" i="17"/>
  <c r="C22" i="17"/>
  <c r="D22" i="17"/>
  <c r="E22" i="17"/>
  <c r="G22" i="17"/>
  <c r="C23" i="17"/>
  <c r="D23" i="17"/>
  <c r="E23" i="17"/>
  <c r="G23" i="17"/>
  <c r="C24" i="17"/>
  <c r="D24" i="17"/>
  <c r="E24" i="17"/>
  <c r="G24" i="17"/>
  <c r="C25" i="17"/>
  <c r="D25" i="17"/>
  <c r="E25" i="17"/>
  <c r="G25" i="17"/>
  <c r="C26" i="17"/>
  <c r="D26" i="17"/>
  <c r="E26" i="17"/>
  <c r="G26" i="17"/>
  <c r="C27" i="17"/>
  <c r="D27" i="17"/>
  <c r="E27" i="17"/>
  <c r="G27" i="17"/>
  <c r="C28" i="17"/>
  <c r="D28" i="17"/>
  <c r="E28" i="17"/>
  <c r="G28" i="17"/>
  <c r="C29" i="17"/>
  <c r="D29" i="17"/>
  <c r="E29" i="17"/>
  <c r="G29" i="17"/>
  <c r="C30" i="17"/>
  <c r="D30" i="17"/>
  <c r="E30" i="17"/>
  <c r="G30" i="17"/>
  <c r="C31" i="17"/>
  <c r="D31" i="17"/>
  <c r="E31" i="17"/>
  <c r="G31" i="17"/>
  <c r="C32" i="17"/>
  <c r="D32" i="17"/>
  <c r="E32" i="17"/>
  <c r="G32" i="17"/>
  <c r="C33" i="17"/>
  <c r="D33" i="17"/>
  <c r="E33" i="17"/>
  <c r="G33" i="17"/>
  <c r="C34" i="17"/>
  <c r="D34" i="17"/>
  <c r="E34" i="17"/>
  <c r="G34" i="17"/>
  <c r="C35" i="17"/>
  <c r="D35" i="17"/>
  <c r="E35" i="17"/>
  <c r="G35" i="17"/>
  <c r="C36" i="17"/>
  <c r="D36" i="17"/>
  <c r="E36" i="17"/>
  <c r="G36" i="17"/>
  <c r="C37" i="17"/>
  <c r="D37" i="17"/>
  <c r="E37" i="17"/>
  <c r="G37" i="17"/>
  <c r="C38" i="17"/>
  <c r="D38" i="17"/>
  <c r="E38" i="17"/>
  <c r="G38" i="17"/>
  <c r="C39" i="17"/>
  <c r="D39" i="17"/>
  <c r="E39" i="17"/>
  <c r="G39" i="17"/>
  <c r="C40" i="17"/>
  <c r="D40" i="17"/>
  <c r="E40" i="17"/>
  <c r="G40" i="17"/>
  <c r="C41" i="17"/>
  <c r="D41" i="17"/>
  <c r="E41" i="17"/>
  <c r="G41" i="17"/>
  <c r="C42" i="17"/>
  <c r="D42" i="17"/>
  <c r="E42" i="17"/>
  <c r="G42" i="17"/>
  <c r="C43" i="17"/>
  <c r="D43" i="17"/>
  <c r="E43" i="17"/>
  <c r="G43" i="17"/>
  <c r="C44" i="17"/>
  <c r="D44" i="17"/>
  <c r="E44" i="17"/>
  <c r="G44" i="17"/>
  <c r="C45" i="17"/>
  <c r="D45" i="17"/>
  <c r="E45" i="17"/>
  <c r="G45" i="17"/>
  <c r="C46" i="17"/>
  <c r="D46" i="17"/>
  <c r="E46" i="17"/>
  <c r="G46" i="17"/>
  <c r="C47" i="17"/>
  <c r="D47" i="17"/>
  <c r="E47" i="17"/>
  <c r="G47" i="17"/>
  <c r="C48" i="17"/>
  <c r="D48" i="17"/>
  <c r="E48" i="17"/>
  <c r="G48" i="17"/>
  <c r="C49" i="17"/>
  <c r="D49" i="17"/>
  <c r="E49" i="17"/>
  <c r="G49" i="17"/>
  <c r="C50" i="17"/>
  <c r="D50" i="17"/>
  <c r="E50" i="17"/>
  <c r="G50" i="17"/>
  <c r="C51" i="17"/>
  <c r="D51" i="17"/>
  <c r="E51" i="17"/>
  <c r="G51" i="17"/>
  <c r="C52" i="17"/>
  <c r="D52" i="17"/>
  <c r="E52" i="17"/>
  <c r="G52" i="17"/>
  <c r="C53" i="17"/>
  <c r="D53" i="17"/>
  <c r="E53" i="17"/>
  <c r="G53" i="17"/>
  <c r="C54" i="17"/>
  <c r="D54" i="17"/>
  <c r="E54" i="17"/>
  <c r="G54" i="17"/>
  <c r="C55" i="17"/>
  <c r="D55" i="17"/>
  <c r="E55" i="17"/>
  <c r="G55" i="17"/>
  <c r="C56" i="17"/>
  <c r="D56" i="17"/>
  <c r="E56" i="17"/>
  <c r="G56" i="17"/>
  <c r="C57" i="17"/>
  <c r="D57" i="17"/>
  <c r="E57" i="17"/>
  <c r="G57" i="17"/>
  <c r="C58" i="17"/>
  <c r="D58" i="17"/>
  <c r="E58" i="17"/>
  <c r="G58" i="17"/>
  <c r="C59" i="17"/>
  <c r="D59" i="17"/>
  <c r="E59" i="17"/>
  <c r="G59" i="17"/>
  <c r="C60" i="17"/>
  <c r="D60" i="17"/>
  <c r="E60" i="17"/>
  <c r="G60" i="17"/>
  <c r="C61" i="17"/>
  <c r="D61" i="17"/>
  <c r="E61" i="17"/>
  <c r="G61" i="17"/>
  <c r="C62" i="17"/>
  <c r="D62" i="17"/>
  <c r="E62" i="17"/>
  <c r="G62" i="17"/>
  <c r="C63" i="17"/>
  <c r="D63" i="17"/>
  <c r="E63" i="17"/>
  <c r="G63" i="17"/>
  <c r="C64" i="17"/>
  <c r="D64" i="17"/>
  <c r="E64" i="17"/>
  <c r="G64" i="17"/>
  <c r="C65" i="17"/>
  <c r="D65" i="17"/>
  <c r="E65" i="17"/>
  <c r="G65" i="17"/>
  <c r="C66" i="17"/>
  <c r="D66" i="17"/>
  <c r="E66" i="17"/>
  <c r="G66" i="17"/>
  <c r="C67" i="17"/>
  <c r="D67" i="17"/>
  <c r="E67" i="17"/>
  <c r="G67" i="17"/>
  <c r="C68" i="17"/>
  <c r="D68" i="17"/>
  <c r="E68" i="17"/>
  <c r="G68" i="17"/>
  <c r="C69" i="17"/>
  <c r="D69" i="17"/>
  <c r="E69" i="17"/>
  <c r="G69" i="17"/>
  <c r="C70" i="17"/>
  <c r="D70" i="17"/>
  <c r="E70" i="17"/>
  <c r="G70" i="17"/>
  <c r="C71" i="17"/>
  <c r="D71" i="17"/>
  <c r="E71" i="17"/>
  <c r="G71" i="17"/>
  <c r="C72" i="17"/>
  <c r="D72" i="17"/>
  <c r="E72" i="17"/>
  <c r="G72" i="17"/>
  <c r="C73" i="17"/>
  <c r="D73" i="17"/>
  <c r="E73" i="17"/>
  <c r="G73" i="17"/>
  <c r="C74" i="17"/>
  <c r="D74" i="17"/>
  <c r="E74" i="17"/>
  <c r="G74" i="17"/>
  <c r="C75" i="17"/>
  <c r="D75" i="17"/>
  <c r="E75" i="17"/>
  <c r="G75" i="17"/>
  <c r="C76" i="17"/>
  <c r="D76" i="17"/>
  <c r="E76" i="17"/>
  <c r="G76" i="17"/>
  <c r="C77" i="17"/>
  <c r="D77" i="17"/>
  <c r="E77" i="17"/>
  <c r="G77" i="17"/>
  <c r="C78" i="17"/>
  <c r="D78" i="17"/>
  <c r="E78" i="17"/>
  <c r="G78" i="17"/>
  <c r="C79" i="17"/>
  <c r="D79" i="17"/>
  <c r="E79" i="17"/>
  <c r="G79" i="17"/>
  <c r="C80" i="17"/>
  <c r="D80" i="17"/>
  <c r="E80" i="17"/>
  <c r="G80" i="17"/>
  <c r="C81" i="17"/>
  <c r="D81" i="17"/>
  <c r="E81" i="17"/>
  <c r="G81" i="17"/>
  <c r="C82" i="17"/>
  <c r="D82" i="17"/>
  <c r="E82" i="17"/>
  <c r="G82" i="17"/>
  <c r="C83" i="17"/>
  <c r="D83" i="17"/>
  <c r="E83" i="17"/>
  <c r="G83" i="17"/>
  <c r="C84" i="17"/>
  <c r="D84" i="17"/>
  <c r="E84" i="17"/>
  <c r="G84" i="17"/>
  <c r="C85" i="17"/>
  <c r="D85" i="17"/>
  <c r="E85" i="17"/>
  <c r="G85" i="17"/>
  <c r="C86" i="17"/>
  <c r="D86" i="17"/>
  <c r="E86" i="17"/>
  <c r="G86" i="17"/>
  <c r="C87" i="17"/>
  <c r="D87" i="17"/>
  <c r="E87" i="17"/>
  <c r="G87" i="17"/>
  <c r="C88" i="17"/>
  <c r="D88" i="17"/>
  <c r="E88" i="17"/>
  <c r="G88" i="17"/>
  <c r="C89" i="17"/>
  <c r="D89" i="17"/>
  <c r="E89" i="17"/>
  <c r="G89" i="17"/>
  <c r="C90" i="17"/>
  <c r="D90" i="17"/>
  <c r="E90" i="17"/>
  <c r="G90" i="17"/>
  <c r="C91" i="17"/>
  <c r="D91" i="17"/>
  <c r="E91" i="17"/>
  <c r="G91" i="17"/>
  <c r="C92" i="17"/>
  <c r="D92" i="17"/>
  <c r="E92" i="17"/>
  <c r="G92" i="17"/>
  <c r="C93" i="17"/>
  <c r="D93" i="17"/>
  <c r="E93" i="17"/>
  <c r="G93" i="17"/>
  <c r="C94" i="17"/>
  <c r="D94" i="17"/>
  <c r="E94" i="17"/>
  <c r="G94" i="17"/>
  <c r="C95" i="17"/>
  <c r="D95" i="17"/>
  <c r="E95" i="17"/>
  <c r="G95" i="17"/>
  <c r="C96" i="17"/>
  <c r="D96" i="17"/>
  <c r="E96" i="17"/>
  <c r="G96" i="17"/>
  <c r="C97" i="17"/>
  <c r="D97" i="17"/>
  <c r="E97" i="17"/>
  <c r="G97" i="17"/>
  <c r="C98" i="17"/>
  <c r="D98" i="17"/>
  <c r="E98" i="17"/>
  <c r="G98" i="17"/>
  <c r="C99" i="17"/>
  <c r="D99" i="17"/>
  <c r="E99" i="17"/>
  <c r="G99" i="17"/>
  <c r="C100" i="17"/>
  <c r="D100" i="17"/>
  <c r="E100" i="17"/>
  <c r="G100" i="17"/>
  <c r="C101" i="17"/>
  <c r="D101" i="17"/>
  <c r="E101" i="17"/>
  <c r="G101" i="17"/>
  <c r="G102" i="17"/>
  <c r="C103" i="17"/>
  <c r="D103" i="17"/>
  <c r="E103" i="17"/>
  <c r="G103" i="17"/>
  <c r="C104" i="17"/>
  <c r="D104" i="17"/>
  <c r="E104" i="17"/>
  <c r="G104" i="17"/>
  <c r="C105" i="17"/>
  <c r="D105" i="17"/>
  <c r="E105" i="17"/>
  <c r="G105" i="17"/>
  <c r="C106" i="17"/>
  <c r="D106" i="17"/>
  <c r="E106" i="17"/>
  <c r="G106" i="17"/>
  <c r="C107" i="17"/>
  <c r="D107" i="17"/>
  <c r="E107" i="17"/>
  <c r="G107" i="17"/>
  <c r="C108" i="17"/>
  <c r="D108" i="17"/>
  <c r="E108" i="17"/>
  <c r="G108" i="17"/>
  <c r="C109" i="17"/>
  <c r="D109" i="17"/>
  <c r="E109" i="17"/>
  <c r="G109" i="17"/>
  <c r="C110" i="17"/>
  <c r="D110" i="17"/>
  <c r="E110" i="17"/>
  <c r="G110" i="17"/>
  <c r="C111" i="17"/>
  <c r="D111" i="17"/>
  <c r="E111" i="17"/>
  <c r="G111" i="17"/>
  <c r="C112" i="17"/>
  <c r="D112" i="17"/>
  <c r="E112" i="17"/>
  <c r="G112" i="17"/>
  <c r="C113" i="17"/>
  <c r="D113" i="17"/>
  <c r="E113" i="17"/>
  <c r="G113" i="17"/>
  <c r="C114" i="17"/>
  <c r="D114" i="17"/>
  <c r="E114" i="17"/>
  <c r="G114" i="17"/>
  <c r="C115" i="17"/>
  <c r="D115" i="17"/>
  <c r="E115" i="17"/>
  <c r="G115" i="17"/>
  <c r="C116" i="17"/>
  <c r="D116" i="17"/>
  <c r="E116" i="17"/>
  <c r="G116" i="17"/>
  <c r="B7" i="23"/>
  <c r="B9" i="23"/>
  <c r="B10" i="23"/>
  <c r="M41" i="8"/>
  <c r="M25" i="8"/>
  <c r="C6" i="23"/>
  <c r="M20" i="8"/>
  <c r="M4" i="8"/>
  <c r="C5" i="23"/>
  <c r="U4" i="8"/>
  <c r="U20" i="8"/>
  <c r="C4" i="23"/>
  <c r="Q4" i="8"/>
  <c r="Q20" i="8"/>
  <c r="C3" i="23"/>
  <c r="J20" i="2"/>
  <c r="K20" i="2"/>
  <c r="P41" i="8"/>
  <c r="Q41" i="8"/>
  <c r="H41" i="8"/>
  <c r="I41" i="8"/>
  <c r="I20" i="8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C5" i="3"/>
  <c r="C6" i="3"/>
  <c r="C7" i="3"/>
  <c r="D7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D20" i="2"/>
  <c r="G24" i="16"/>
  <c r="H24" i="16"/>
  <c r="G24" i="14"/>
  <c r="H24" i="14"/>
  <c r="G24" i="21"/>
  <c r="H24" i="21"/>
  <c r="G24" i="20"/>
  <c r="H24" i="20"/>
  <c r="G24" i="15"/>
  <c r="H24" i="15"/>
  <c r="G24" i="18"/>
  <c r="H24" i="18"/>
  <c r="G24" i="19"/>
  <c r="H24" i="19"/>
  <c r="G20" i="5"/>
  <c r="H20" i="22"/>
  <c r="L20" i="22"/>
  <c r="P20" i="22"/>
  <c r="Q20" i="22"/>
  <c r="R20" i="22"/>
  <c r="S20" i="22"/>
  <c r="T20" i="22"/>
  <c r="Q20" i="3"/>
  <c r="R20" i="3"/>
  <c r="S20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6" i="3"/>
  <c r="D5" i="3"/>
  <c r="D4" i="3"/>
  <c r="D3" i="3"/>
  <c r="J20" i="4"/>
  <c r="I20" i="4"/>
  <c r="F20" i="2"/>
  <c r="L40" i="8"/>
  <c r="L19" i="8"/>
  <c r="T19" i="8"/>
  <c r="H19" i="8"/>
  <c r="P19" i="8"/>
  <c r="M40" i="8"/>
  <c r="M19" i="8"/>
  <c r="U19" i="8"/>
  <c r="Q19" i="8"/>
  <c r="I4" i="8"/>
  <c r="I19" i="8"/>
  <c r="C2" i="23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4" i="22"/>
  <c r="G7" i="19"/>
  <c r="R73" i="22"/>
  <c r="R78" i="22"/>
  <c r="R68" i="2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T73" i="22"/>
  <c r="Q5" i="22"/>
  <c r="T5" i="22"/>
  <c r="Q6" i="22"/>
  <c r="T6" i="22"/>
  <c r="Q7" i="22"/>
  <c r="T7" i="22"/>
  <c r="Q8" i="22"/>
  <c r="T8" i="22"/>
  <c r="Q9" i="22"/>
  <c r="T9" i="22"/>
  <c r="Q10" i="22"/>
  <c r="T10" i="22"/>
  <c r="Q11" i="22"/>
  <c r="T11" i="22"/>
  <c r="Q12" i="22"/>
  <c r="T12" i="22"/>
  <c r="Q13" i="22"/>
  <c r="T13" i="22"/>
  <c r="Q14" i="22"/>
  <c r="T14" i="22"/>
  <c r="Q15" i="22"/>
  <c r="T15" i="22"/>
  <c r="Q16" i="22"/>
  <c r="T16" i="22"/>
  <c r="Q17" i="22"/>
  <c r="T17" i="22"/>
  <c r="Q18" i="22"/>
  <c r="T18" i="22"/>
  <c r="Q19" i="22"/>
  <c r="T19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19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4" i="22"/>
  <c r="T13" i="8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3" i="4"/>
  <c r="I3" i="4"/>
  <c r="H7" i="21"/>
  <c r="G7" i="21"/>
  <c r="G8" i="2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14"/>
  <c r="H18" i="14"/>
  <c r="G19" i="14"/>
  <c r="H19" i="14"/>
  <c r="G20" i="14"/>
  <c r="H20" i="14"/>
  <c r="G21" i="14"/>
  <c r="H21" i="14"/>
  <c r="G22" i="14"/>
  <c r="H22" i="14"/>
  <c r="G23" i="14"/>
  <c r="H23" i="14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8"/>
  <c r="H18" i="18"/>
  <c r="G19" i="18"/>
  <c r="H19" i="18"/>
  <c r="G20" i="18"/>
  <c r="H20" i="18"/>
  <c r="G21" i="18"/>
  <c r="H21" i="18"/>
  <c r="G22" i="18"/>
  <c r="H22" i="18"/>
  <c r="G23" i="18"/>
  <c r="H23" i="18"/>
  <c r="G18" i="15"/>
  <c r="H18" i="15"/>
  <c r="G19" i="15"/>
  <c r="H19" i="15"/>
  <c r="G20" i="15"/>
  <c r="H20" i="15"/>
  <c r="G21" i="15"/>
  <c r="H21" i="15"/>
  <c r="G22" i="15"/>
  <c r="H22" i="15"/>
  <c r="G23" i="15"/>
  <c r="H23" i="15"/>
  <c r="H35" i="8"/>
  <c r="I35" i="8"/>
  <c r="L35" i="8"/>
  <c r="M35" i="8"/>
  <c r="P35" i="8"/>
  <c r="Q35" i="8"/>
  <c r="H36" i="8"/>
  <c r="I36" i="8"/>
  <c r="L36" i="8"/>
  <c r="M36" i="8"/>
  <c r="P36" i="8"/>
  <c r="Q36" i="8"/>
  <c r="H37" i="8"/>
  <c r="I37" i="8"/>
  <c r="L37" i="8"/>
  <c r="M37" i="8"/>
  <c r="P37" i="8"/>
  <c r="Q37" i="8"/>
  <c r="H38" i="8"/>
  <c r="I38" i="8"/>
  <c r="L38" i="8"/>
  <c r="M38" i="8"/>
  <c r="P38" i="8"/>
  <c r="Q38" i="8"/>
  <c r="H39" i="8"/>
  <c r="I39" i="8"/>
  <c r="L39" i="8"/>
  <c r="M39" i="8"/>
  <c r="P39" i="8"/>
  <c r="Q39" i="8"/>
  <c r="H40" i="8"/>
  <c r="I40" i="8"/>
  <c r="P40" i="8"/>
  <c r="Q40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H17" i="18"/>
  <c r="G17" i="18"/>
  <c r="H16" i="18"/>
  <c r="G16" i="18"/>
  <c r="H15" i="18"/>
  <c r="G15" i="18"/>
  <c r="H14" i="18"/>
  <c r="G14" i="18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H8" i="14"/>
  <c r="H9" i="14"/>
  <c r="H10" i="14"/>
  <c r="H11" i="14"/>
  <c r="H12" i="14"/>
  <c r="H13" i="14"/>
  <c r="H14" i="14"/>
  <c r="H15" i="14"/>
  <c r="H16" i="14"/>
  <c r="H17" i="14"/>
  <c r="G8" i="14"/>
  <c r="G9" i="14"/>
  <c r="G10" i="14"/>
  <c r="G11" i="14"/>
  <c r="G12" i="14"/>
  <c r="G13" i="14"/>
  <c r="G14" i="14"/>
  <c r="G15" i="14"/>
  <c r="G16" i="14"/>
  <c r="G17" i="14"/>
  <c r="H7" i="14"/>
  <c r="G7" i="14"/>
  <c r="P24" i="8"/>
  <c r="L24" i="8"/>
  <c r="H24" i="8"/>
  <c r="U3" i="8"/>
  <c r="Q3" i="8"/>
  <c r="M3" i="8"/>
  <c r="Q24" i="8"/>
  <c r="M24" i="8"/>
  <c r="I24" i="8"/>
  <c r="T3" i="8"/>
  <c r="P3" i="8"/>
  <c r="L3" i="8"/>
  <c r="G3" i="5"/>
  <c r="P25" i="8"/>
  <c r="I25" i="8"/>
  <c r="Q25" i="8"/>
  <c r="H25" i="8"/>
  <c r="G4" i="5"/>
  <c r="L26" i="8"/>
  <c r="P5" i="8"/>
  <c r="I5" i="8"/>
  <c r="H5" i="8"/>
  <c r="T5" i="8"/>
  <c r="Q26" i="8"/>
  <c r="Q5" i="8"/>
  <c r="P26" i="8"/>
  <c r="H26" i="8"/>
  <c r="L5" i="8"/>
  <c r="M26" i="8"/>
  <c r="U5" i="8"/>
  <c r="I26" i="8"/>
  <c r="M5" i="8"/>
  <c r="L7" i="8"/>
  <c r="G5" i="5"/>
  <c r="I6" i="8"/>
  <c r="M27" i="8"/>
  <c r="I27" i="8"/>
  <c r="L27" i="8"/>
  <c r="Q27" i="8"/>
  <c r="P6" i="8"/>
  <c r="P27" i="8"/>
  <c r="H27" i="8"/>
  <c r="H6" i="8"/>
  <c r="L6" i="8"/>
  <c r="U6" i="8"/>
  <c r="Q6" i="8"/>
  <c r="T6" i="8"/>
  <c r="M6" i="8"/>
  <c r="P28" i="8"/>
  <c r="Q28" i="8"/>
  <c r="I28" i="8"/>
  <c r="M7" i="8"/>
  <c r="H28" i="8"/>
  <c r="I7" i="8"/>
  <c r="T7" i="8"/>
  <c r="U7" i="8"/>
  <c r="M28" i="8"/>
  <c r="Q7" i="8"/>
  <c r="L28" i="8"/>
  <c r="H7" i="8"/>
  <c r="P7" i="8"/>
  <c r="G6" i="5"/>
  <c r="U8" i="8"/>
  <c r="M8" i="8"/>
  <c r="I29" i="8"/>
  <c r="P29" i="8"/>
  <c r="L29" i="8"/>
  <c r="H8" i="8"/>
  <c r="H29" i="8"/>
  <c r="G7" i="5"/>
  <c r="T8" i="8"/>
  <c r="Q8" i="8"/>
  <c r="M29" i="8"/>
  <c r="T9" i="8"/>
  <c r="L8" i="8"/>
  <c r="I8" i="8"/>
  <c r="P8" i="8"/>
  <c r="Q29" i="8"/>
  <c r="L9" i="8"/>
  <c r="M30" i="8"/>
  <c r="U9" i="8"/>
  <c r="M9" i="8"/>
  <c r="H30" i="8"/>
  <c r="I30" i="8"/>
  <c r="P30" i="8"/>
  <c r="H9" i="8"/>
  <c r="P9" i="8"/>
  <c r="Q9" i="8"/>
  <c r="L30" i="8"/>
  <c r="G8" i="5"/>
  <c r="Q30" i="8"/>
  <c r="I9" i="8"/>
  <c r="Q31" i="8"/>
  <c r="U10" i="8"/>
  <c r="M31" i="8"/>
  <c r="H31" i="8"/>
  <c r="Q10" i="8"/>
  <c r="I10" i="8"/>
  <c r="T10" i="8"/>
  <c r="L10" i="8"/>
  <c r="G9" i="5"/>
  <c r="P31" i="8"/>
  <c r="P10" i="8"/>
  <c r="M10" i="8"/>
  <c r="L31" i="8"/>
  <c r="I31" i="8"/>
  <c r="H10" i="8"/>
  <c r="P32" i="8"/>
  <c r="L32" i="8"/>
  <c r="T11" i="8"/>
  <c r="L11" i="8"/>
  <c r="I32" i="8"/>
  <c r="Q11" i="8"/>
  <c r="I11" i="8"/>
  <c r="G10" i="5"/>
  <c r="M32" i="8"/>
  <c r="H32" i="8"/>
  <c r="P11" i="8"/>
  <c r="Q32" i="8"/>
  <c r="U11" i="8"/>
  <c r="M11" i="8"/>
  <c r="H11" i="8"/>
  <c r="Q33" i="8"/>
  <c r="U12" i="8"/>
  <c r="M12" i="8"/>
  <c r="H12" i="8"/>
  <c r="M33" i="8"/>
  <c r="H33" i="8"/>
  <c r="P12" i="8"/>
  <c r="G11" i="5"/>
  <c r="I33" i="8"/>
  <c r="Q12" i="8"/>
  <c r="I12" i="8"/>
  <c r="P33" i="8"/>
  <c r="L33" i="8"/>
  <c r="T12" i="8"/>
  <c r="L12" i="8"/>
  <c r="G12" i="5"/>
  <c r="H34" i="8"/>
  <c r="H13" i="8"/>
  <c r="U13" i="8"/>
  <c r="L34" i="8"/>
  <c r="L13" i="8"/>
  <c r="Q34" i="8"/>
  <c r="I34" i="8"/>
  <c r="Q13" i="8"/>
  <c r="I13" i="8"/>
  <c r="P34" i="8"/>
  <c r="P13" i="8"/>
  <c r="M34" i="8"/>
  <c r="M13" i="8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<sst xmlns="http://schemas.openxmlformats.org/spreadsheetml/2006/main" count="403" uniqueCount="163">
  <si>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</si>
  <si>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</si>
  <si>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</si>
  <si>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</si>
  <si>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</si>
  <si>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</si>
  <si>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</si>
  <si>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</si>
  <si>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</si>
  <si>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</si>
  <si>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</si>
  <si>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</si>
  <si>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</si>
  <si>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</si>
  <si>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</si>
  <si>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</si>
  <si>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</si>
  <si>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</si>
  <si>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</si>
  <si>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</si>
  <si>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</si>
  <si>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</si>
  <si>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</si>
  <si>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</si>
  <si>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</si>
  <si>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</si>
  <si>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</si>
  <si>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</si>
  <si>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</si>
  <si>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</si>
  <si>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</si>
  <si>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</si>
  <si>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</si>
  <si>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</si>
  <si>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</si>
  <si>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</si>
  <si>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</si>
  <si>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</si>
  <si>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</si>
  <si>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</si>
  <si>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</si>
  <si>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</si>
  <si>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</si>
  <si>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</si>
  <si>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</si>
  <si>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</si>
  <si>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</si>
  <si>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</si>
  <si>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</si>
  <si>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</si>
  <si>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</si>
  <si>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</si>
  <si>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</si>
  <si>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</si>
  <si>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</si>
  <si>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</si>
  <si>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</si>
  <si>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</si>
  <si>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</si>
  <si>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</si>
  <si>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</si>
  <si>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</si>
  <si>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</si>
  <si>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</si>
  <si>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</si>
  <si>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</si>
  <si>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</si>
  <si>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</si>
  <si>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</si>
  <si>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</si>
  <si>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</si>
  <si>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</si>
  <si>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</si>
  <si>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</si>
  <si>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</si>
  <si>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</si>
  <si>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</si>
  <si>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</si>
  <si>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</si>
  <si>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</si>
  <si>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</si>
  <si>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</si>
  <si>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</si>
  <si>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</si>
  <si>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</si>
  <si>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Neutralised soy pepton</t>
  </si>
  <si>
    <t>Trypton</t>
  </si>
  <si>
    <t>Granulated yeast extract</t>
  </si>
  <si>
    <t>Hemine</t>
  </si>
  <si>
    <t>Menadione</t>
  </si>
  <si>
    <t>/</t>
  </si>
  <si>
    <t>Selenite and tungsten</t>
  </si>
  <si>
    <t>1,0 ml of a 1000x stock solution</t>
  </si>
  <si>
    <t>Trace element solution SL-10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</si>
  <si>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</si>
  <si>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</si>
  <si>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</si>
  <si>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</si>
  <si>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</si>
  <si>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</si>
  <si>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</si>
  <si>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</si>
  <si>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</si>
  <si>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</si>
  <si>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</si>
  <si>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</si>
  <si>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</si>
  <si>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</si>
  <si>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</si>
  <si>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Formic acid produced</t>
  </si>
  <si>
    <t>Lactic acid produced</t>
  </si>
  <si>
    <t>Butyric acid produced</t>
  </si>
  <si>
    <t>Hydrogen recovery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</si>
  <si>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</si>
  <si>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</si>
  <si>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t>LN(Count/mL)</t>
  </si>
  <si>
    <t>y = lnN</t>
  </si>
  <si>
    <t>a= umax</t>
  </si>
  <si>
    <r>
      <t>h</t>
    </r>
    <r>
      <rPr>
        <vertAlign val="superscript"/>
        <sz val="11"/>
        <color theme="1"/>
        <rFont val="Calibri"/>
        <family val="2"/>
        <scheme val="minor"/>
      </rPr>
      <t>-1</t>
    </r>
  </si>
  <si>
    <t>x =t (h)</t>
  </si>
  <si>
    <r>
      <t>b = ln N</t>
    </r>
    <r>
      <rPr>
        <vertAlign val="subscript"/>
        <sz val="11"/>
        <color theme="1"/>
        <rFont val="Calibri"/>
        <family val="2"/>
        <scheme val="minor"/>
      </rPr>
      <t>O</t>
    </r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</si>
  <si>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</si>
  <si>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doubling time td</t>
  </si>
  <si>
    <t>h</t>
  </si>
  <si>
    <t>umax average</t>
  </si>
  <si>
    <t>umax STDEV</t>
  </si>
  <si>
    <r>
      <t>h</t>
    </r>
    <r>
      <rPr>
        <vertAlign val="superscript"/>
        <sz val="11"/>
        <color rgb="FF000000"/>
        <rFont val="Calibri"/>
        <family val="2"/>
        <scheme val="minor"/>
      </rPr>
      <t>-1</t>
    </r>
  </si>
  <si>
    <t>doubling time average</t>
  </si>
  <si>
    <t>D-Fructose</t>
  </si>
  <si>
    <t>D Fructose</t>
  </si>
  <si>
    <t>D-Fructose consumed</t>
  </si>
  <si>
    <t>10 ml of a 0,1 g/l stock solution</t>
  </si>
  <si>
    <t>Left (mL) after inoculation</t>
  </si>
  <si>
    <t xml:space="preserve"> Volume Fermentor (mL) after inoculation</t>
  </si>
  <si>
    <r>
      <t>Na</t>
    </r>
    <r>
      <rPr>
        <vertAlign val="subscript"/>
        <sz val="11"/>
        <rFont val="Calibri"/>
        <scheme val="minor"/>
      </rPr>
      <t>2</t>
    </r>
    <r>
      <rPr>
        <sz val="11"/>
        <rFont val="Calibri"/>
        <family val="2"/>
        <scheme val="minor"/>
      </rPr>
      <t>SO</t>
    </r>
    <r>
      <rPr>
        <vertAlign val="subscript"/>
        <sz val="11"/>
        <rFont val="Calibri"/>
        <scheme val="minor"/>
      </rPr>
      <t>4</t>
    </r>
  </si>
  <si>
    <r>
      <rPr>
        <i/>
        <sz val="11"/>
        <color theme="1"/>
        <rFont val="Calibri"/>
        <family val="2"/>
        <scheme val="minor"/>
      </rPr>
      <t xml:space="preserve">Blautia hydrogenotrophica </t>
    </r>
    <r>
      <rPr>
        <sz val="11"/>
        <color theme="1"/>
        <rFont val="Calibri"/>
        <family val="2"/>
        <scheme val="minor"/>
      </rPr>
      <t>DSM 10507</t>
    </r>
    <r>
      <rPr>
        <vertAlign val="superscript"/>
        <sz val="11"/>
        <color theme="1"/>
        <rFont val="Calibri"/>
        <family val="2"/>
        <scheme val="minor"/>
      </rPr>
      <t>T</t>
    </r>
  </si>
  <si>
    <t>0 g per 1.5 l</t>
  </si>
  <si>
    <t>D - Fructose (50 mM)</t>
  </si>
  <si>
    <t>13,5  g in 100 ml MilliQ,H20 per 1.5l</t>
  </si>
  <si>
    <t>0,,078</t>
  </si>
  <si>
    <t>Grwowth was detected on anaerobic plates</t>
  </si>
  <si>
    <t>Acetic acid produced</t>
  </si>
  <si>
    <t>Na-acetate trihydrate (0 mM)</t>
  </si>
  <si>
    <t>LOG</t>
  </si>
  <si>
    <t>STDEV LOG(Count/mL)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</si>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</sst>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8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vertAlign val="subscript"/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22F918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03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6" xfId="0" applyFill="1" applyBorder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0" fontId="25" fillId="0" borderId="0" xfId="0" applyFont="1"/>
    <xf numFmtId="2" fontId="25" fillId="0" borderId="0" xfId="0" applyNumberFormat="1" applyFont="1"/>
    <xf numFmtId="0" fontId="0" fillId="0" borderId="17" xfId="0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/>
    </xf>
    <xf numFmtId="2" fontId="18" fillId="0" borderId="18" xfId="0" applyNumberFormat="1" applyFont="1" applyBorder="1" applyAlignment="1">
      <alignment horizontal="center" vertical="center"/>
    </xf>
    <xf numFmtId="2" fontId="18" fillId="0" borderId="16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64" fontId="25" fillId="0" borderId="18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164" fontId="25" fillId="0" borderId="20" xfId="0" applyNumberFormat="1" applyFont="1" applyBorder="1" applyAlignment="1">
      <alignment horizontal="center" vertical="center"/>
    </xf>
    <xf numFmtId="164" fontId="24" fillId="0" borderId="18" xfId="0" applyNumberFormat="1" applyFont="1" applyBorder="1" applyAlignment="1">
      <alignment horizontal="center" vertical="center"/>
    </xf>
    <xf numFmtId="164" fontId="24" fillId="0" borderId="20" xfId="0" applyNumberFormat="1" applyFont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10" borderId="16" xfId="0" applyNumberFormat="1" applyFill="1" applyBorder="1" applyAlignment="1">
      <alignment horizontal="center" vertical="center"/>
    </xf>
    <xf numFmtId="165" fontId="0" fillId="0" borderId="0" xfId="0" applyNumberFormat="1"/>
    <xf numFmtId="0" fontId="0" fillId="12" borderId="0" xfId="0" applyFill="1"/>
    <xf numFmtId="0" fontId="0" fillId="2" borderId="1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11" borderId="17" xfId="0" applyFont="1" applyFill="1" applyBorder="1" applyAlignment="1">
      <alignment horizontal="center" vertical="center"/>
    </xf>
    <xf numFmtId="0" fontId="25" fillId="11" borderId="5" xfId="0" applyFont="1" applyFill="1" applyBorder="1" applyAlignment="1">
      <alignment horizontal="center" vertical="center"/>
    </xf>
    <xf numFmtId="0" fontId="25" fillId="11" borderId="1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303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Input" xfId="10"/>
    <cellStyle name="Linked Cell" xfId="11"/>
    <cellStyle name="Neutral" xfId="12"/>
    <cellStyle name="Normal" xfId="0" builtinId="0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FEC109"/>
      <color rgb="FFABB206"/>
      <color rgb="FF6BF969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connections" Target="connections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chartsheet" Target="chartsheets/sheet1.xml"/><Relationship Id="rId18" Type="http://schemas.openxmlformats.org/officeDocument/2006/relationships/chartsheet" Target="chartsheets/sheet2.xml"/><Relationship Id="rId19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9"/>
          <c:order val="0"/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37079514650833"/>
                  <c:y val="0.0311659473528152"/>
                </c:manualLayout>
              </c:layout>
              <c:numFmt formatCode="General" sourceLinked="0"/>
            </c:trendlineLbl>
          </c:trendline>
          <c:xVal>
            <c:numRef>
              <c:f>'Flow cytometer'!$D$10:$D$13</c:f>
              <c:numCache>
                <c:formatCode>0</c:formatCode>
                <c:ptCount val="4"/>
                <c:pt idx="0">
                  <c:v>8.916666666666666</c:v>
                </c:pt>
                <c:pt idx="1">
                  <c:v>10.33333333333333</c:v>
                </c:pt>
                <c:pt idx="2">
                  <c:v>11.33333333333333</c:v>
                </c:pt>
                <c:pt idx="3">
                  <c:v>12.66666666666667</c:v>
                </c:pt>
              </c:numCache>
            </c:numRef>
          </c:xVal>
          <c:yVal>
            <c:numRef>
              <c:f>'Flow cytometer'!$S$10:$S$13</c:f>
              <c:numCache>
                <c:formatCode>0.00</c:formatCode>
                <c:ptCount val="4"/>
                <c:pt idx="0">
                  <c:v>7.977242853766084</c:v>
                </c:pt>
                <c:pt idx="1">
                  <c:v>8.006032006308872</c:v>
                </c:pt>
                <c:pt idx="2">
                  <c:v>8.009683479059793</c:v>
                </c:pt>
                <c:pt idx="3">
                  <c:v>8.048417927159154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5624"/>
        <c:axId val="2108534648"/>
      </c:scatterChart>
      <c:valAx>
        <c:axId val="2071025624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08534648"/>
        <c:crossesAt val="0.0"/>
        <c:crossBetween val="midCat"/>
        <c:majorUnit val="6.0"/>
      </c:valAx>
      <c:valAx>
        <c:axId val="2108534648"/>
        <c:scaling>
          <c:orientation val="minMax"/>
          <c:max val="10.0"/>
          <c:min val="8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Cell growth (log (events/ml))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7102562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9"/>
          <c:order val="0"/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37079514650833"/>
                  <c:y val="0.0311659473528152"/>
                </c:manualLayout>
              </c:layout>
              <c:numFmt formatCode="General" sourceLinked="0"/>
            </c:trendlineLbl>
          </c:trendline>
          <c:xVal>
            <c:numRef>
              <c:f>'Flow cytometer'!$D$10:$D$13</c:f>
              <c:numCache>
                <c:formatCode>0</c:formatCode>
                <c:ptCount val="4"/>
                <c:pt idx="0">
                  <c:v>8.916666666666666</c:v>
                </c:pt>
                <c:pt idx="1">
                  <c:v>10.33333333333333</c:v>
                </c:pt>
                <c:pt idx="2">
                  <c:v>11.33333333333333</c:v>
                </c:pt>
                <c:pt idx="3">
                  <c:v>12.66666666666667</c:v>
                </c:pt>
              </c:numCache>
            </c:numRef>
          </c:xVal>
          <c:yVal>
            <c:numRef>
              <c:f>'Flow cytometer'!$T$10:$T$13</c:f>
              <c:numCache>
                <c:formatCode>0.00</c:formatCode>
                <c:ptCount val="4"/>
                <c:pt idx="0">
                  <c:v>18.36828047827507</c:v>
                </c:pt>
                <c:pt idx="1">
                  <c:v>18.43456995176002</c:v>
                </c:pt>
                <c:pt idx="2">
                  <c:v>18.44297777848377</c:v>
                </c:pt>
                <c:pt idx="3">
                  <c:v>18.5321671412627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634328"/>
        <c:axId val="2078280504"/>
      </c:scatterChart>
      <c:valAx>
        <c:axId val="2116634328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78280504"/>
        <c:crossesAt val="0.0"/>
        <c:crossBetween val="midCat"/>
        <c:majorUnit val="6.0"/>
      </c:valAx>
      <c:valAx>
        <c:axId val="2078280504"/>
        <c:scaling>
          <c:orientation val="minMax"/>
          <c:max val="2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Cell growth (ln (events/ml))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663432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0.0128186116605157</c:v>
                  </c:pt>
                  <c:pt idx="1">
                    <c:v>0.0222175801432792</c:v>
                  </c:pt>
                  <c:pt idx="2">
                    <c:v>0.0128273258764644</c:v>
                  </c:pt>
                  <c:pt idx="3">
                    <c:v>0.0</c:v>
                  </c:pt>
                  <c:pt idx="4">
                    <c:v>0.0222175801432792</c:v>
                  </c:pt>
                  <c:pt idx="5">
                    <c:v>0.0444351602865584</c:v>
                  </c:pt>
                  <c:pt idx="6">
                    <c:v>0.0128377886218775</c:v>
                  </c:pt>
                  <c:pt idx="7">
                    <c:v>0.0462873051397474</c:v>
                  </c:pt>
                  <c:pt idx="8">
                    <c:v>0.0339655960775023</c:v>
                  </c:pt>
                  <c:pt idx="9">
                    <c:v>0.0256755772437549</c:v>
                  </c:pt>
                  <c:pt idx="10">
                    <c:v>0.0679311921550048</c:v>
                  </c:pt>
                  <c:pt idx="11">
                    <c:v>0.10280721429573</c:v>
                  </c:pt>
                  <c:pt idx="12">
                    <c:v>0.0340002902512281</c:v>
                  </c:pt>
                  <c:pt idx="13">
                    <c:v>0.022258414818103</c:v>
                  </c:pt>
                  <c:pt idx="14">
                    <c:v>0.0386454916553894</c:v>
                  </c:pt>
                  <c:pt idx="15">
                    <c:v>0.068515150001819</c:v>
                  </c:pt>
                  <c:pt idx="16">
                    <c:v>0.0854890235431414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0.0128186116605157</c:v>
                  </c:pt>
                  <c:pt idx="1">
                    <c:v>0.0222175801432792</c:v>
                  </c:pt>
                  <c:pt idx="2">
                    <c:v>0.0128273258764644</c:v>
                  </c:pt>
                  <c:pt idx="3">
                    <c:v>0.0</c:v>
                  </c:pt>
                  <c:pt idx="4">
                    <c:v>0.0222175801432792</c:v>
                  </c:pt>
                  <c:pt idx="5">
                    <c:v>0.0444351602865584</c:v>
                  </c:pt>
                  <c:pt idx="6">
                    <c:v>0.0128377886218775</c:v>
                  </c:pt>
                  <c:pt idx="7">
                    <c:v>0.0462873051397474</c:v>
                  </c:pt>
                  <c:pt idx="8">
                    <c:v>0.0339655960775023</c:v>
                  </c:pt>
                  <c:pt idx="9">
                    <c:v>0.0256755772437549</c:v>
                  </c:pt>
                  <c:pt idx="10">
                    <c:v>0.0679311921550048</c:v>
                  </c:pt>
                  <c:pt idx="11">
                    <c:v>0.10280721429573</c:v>
                  </c:pt>
                  <c:pt idx="12">
                    <c:v>0.0340002902512281</c:v>
                  </c:pt>
                  <c:pt idx="13">
                    <c:v>0.022258414818103</c:v>
                  </c:pt>
                  <c:pt idx="14">
                    <c:v>0.0386454916553894</c:v>
                  </c:pt>
                  <c:pt idx="15">
                    <c:v>0.068515150001819</c:v>
                  </c:pt>
                  <c:pt idx="16">
                    <c:v>0.0854890235431414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8.916666666666666</c:v>
                </c:pt>
                <c:pt idx="7">
                  <c:v>10.33333333333333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29.91666666666667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0.717880402605092</c:v>
                </c:pt>
                <c:pt idx="1">
                  <c:v>0.777615305014773</c:v>
                </c:pt>
                <c:pt idx="2">
                  <c:v>0.851673905492371</c:v>
                </c:pt>
                <c:pt idx="3">
                  <c:v>0.910920785874449</c:v>
                </c:pt>
                <c:pt idx="4">
                  <c:v>0.955355946161007</c:v>
                </c:pt>
                <c:pt idx="5">
                  <c:v>0.977573526304287</c:v>
                </c:pt>
                <c:pt idx="6">
                  <c:v>1.104373206779429</c:v>
                </c:pt>
                <c:pt idx="7">
                  <c:v>1.185904114662474</c:v>
                </c:pt>
                <c:pt idx="8">
                  <c:v>1.304494526128722</c:v>
                </c:pt>
                <c:pt idx="9">
                  <c:v>1.363789731861846</c:v>
                </c:pt>
                <c:pt idx="10">
                  <c:v>1.452732540461531</c:v>
                </c:pt>
                <c:pt idx="11">
                  <c:v>1.61002533850946</c:v>
                </c:pt>
                <c:pt idx="12">
                  <c:v>1.750995299024113</c:v>
                </c:pt>
                <c:pt idx="13">
                  <c:v>1.891965259538766</c:v>
                </c:pt>
                <c:pt idx="14">
                  <c:v>2.543566291163308</c:v>
                </c:pt>
                <c:pt idx="15">
                  <c:v>6.047773134711487</c:v>
                </c:pt>
                <c:pt idx="16">
                  <c:v>12.86345300354024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109"/>
              </a:solidFill>
            </a:ln>
          </c:spPr>
          <c:marker>
            <c:symbol val="triangle"/>
            <c:size val="8"/>
            <c:spPr>
              <a:solidFill>
                <a:srgbClr val="FEC109"/>
              </a:solidFill>
              <a:ln>
                <a:solidFill>
                  <a:srgbClr val="FEC1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0.0192289848189717</c:v>
                  </c:pt>
                  <c:pt idx="1">
                    <c:v>0.033328220138328</c:v>
                  </c:pt>
                  <c:pt idx="2">
                    <c:v>0.0577261706054243</c:v>
                  </c:pt>
                  <c:pt idx="3">
                    <c:v>0.0384841137369495</c:v>
                  </c:pt>
                  <c:pt idx="4">
                    <c:v>0.0509096971873463</c:v>
                  </c:pt>
                  <c:pt idx="5">
                    <c:v>0.0384841137369495</c:v>
                  </c:pt>
                  <c:pt idx="6">
                    <c:v>0.0882501056028793</c:v>
                  </c:pt>
                  <c:pt idx="7">
                    <c:v>0.0694348117733297</c:v>
                  </c:pt>
                  <c:pt idx="8">
                    <c:v>0.0509512222258354</c:v>
                  </c:pt>
                  <c:pt idx="9">
                    <c:v>0.0509512222258354</c:v>
                  </c:pt>
                  <c:pt idx="10">
                    <c:v>0.0192577518577639</c:v>
                  </c:pt>
                  <c:pt idx="11">
                    <c:v>0.0385548453945015</c:v>
                  </c:pt>
                  <c:pt idx="12">
                    <c:v>0.0385548453945018</c:v>
                  </c:pt>
                  <c:pt idx="13">
                    <c:v>0.0510032663751978</c:v>
                  </c:pt>
                  <c:pt idx="14">
                    <c:v>0.0334698352992374</c:v>
                  </c:pt>
                  <c:pt idx="15">
                    <c:v>0.25399257333514</c:v>
                  </c:pt>
                  <c:pt idx="16">
                    <c:v>0.188596213418653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0.0192289848189717</c:v>
                  </c:pt>
                  <c:pt idx="1">
                    <c:v>0.033328220138328</c:v>
                  </c:pt>
                  <c:pt idx="2">
                    <c:v>0.0577261706054243</c:v>
                  </c:pt>
                  <c:pt idx="3">
                    <c:v>0.0384841137369495</c:v>
                  </c:pt>
                  <c:pt idx="4">
                    <c:v>0.0509096971873463</c:v>
                  </c:pt>
                  <c:pt idx="5">
                    <c:v>0.0384841137369495</c:v>
                  </c:pt>
                  <c:pt idx="6">
                    <c:v>0.0882501056028793</c:v>
                  </c:pt>
                  <c:pt idx="7">
                    <c:v>0.0694348117733297</c:v>
                  </c:pt>
                  <c:pt idx="8">
                    <c:v>0.0509512222258354</c:v>
                  </c:pt>
                  <c:pt idx="9">
                    <c:v>0.0509512222258354</c:v>
                  </c:pt>
                  <c:pt idx="10">
                    <c:v>0.0192577518577639</c:v>
                  </c:pt>
                  <c:pt idx="11">
                    <c:v>0.0385548453945015</c:v>
                  </c:pt>
                  <c:pt idx="12">
                    <c:v>0.0385548453945018</c:v>
                  </c:pt>
                  <c:pt idx="13">
                    <c:v>0.0510032663751978</c:v>
                  </c:pt>
                  <c:pt idx="14">
                    <c:v>0.0334698352992374</c:v>
                  </c:pt>
                  <c:pt idx="15">
                    <c:v>0.25399257333514</c:v>
                  </c:pt>
                  <c:pt idx="16">
                    <c:v>0.188596213418653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8.916666666666666</c:v>
                </c:pt>
                <c:pt idx="7">
                  <c:v>10.33333333333333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29.91666666666667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2.120455176242021</c:v>
                </c:pt>
                <c:pt idx="1">
                  <c:v>2.099677868714661</c:v>
                </c:pt>
                <c:pt idx="2">
                  <c:v>2.166334308991317</c:v>
                </c:pt>
                <c:pt idx="3">
                  <c:v>2.210771935842422</c:v>
                </c:pt>
                <c:pt idx="4">
                  <c:v>2.310756596257406</c:v>
                </c:pt>
                <c:pt idx="5">
                  <c:v>2.388522443246837</c:v>
                </c:pt>
                <c:pt idx="6">
                  <c:v>2.401589135318471</c:v>
                </c:pt>
                <c:pt idx="7">
                  <c:v>2.612840031480744</c:v>
                </c:pt>
                <c:pt idx="8">
                  <c:v>2.679550840795146</c:v>
                </c:pt>
                <c:pt idx="9">
                  <c:v>2.746261650109548</c:v>
                </c:pt>
                <c:pt idx="10">
                  <c:v>2.790735522985816</c:v>
                </c:pt>
                <c:pt idx="11">
                  <c:v>2.860365072169779</c:v>
                </c:pt>
                <c:pt idx="12">
                  <c:v>2.893754547720398</c:v>
                </c:pt>
                <c:pt idx="13">
                  <c:v>3.160870352125358</c:v>
                </c:pt>
                <c:pt idx="14">
                  <c:v>3.949440565310037</c:v>
                </c:pt>
                <c:pt idx="15">
                  <c:v>9.285230138690425</c:v>
                </c:pt>
                <c:pt idx="16">
                  <c:v>11.58452491627989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E46C0A"/>
              </a:solidFill>
            </a:ln>
          </c:spPr>
          <c:marker>
            <c:symbol val="triangle"/>
            <c:size val="8"/>
            <c:spPr>
              <a:solidFill>
                <a:srgbClr val="E46C0A"/>
              </a:solidFill>
              <a:ln>
                <a:solidFill>
                  <a:srgbClr val="E46C0A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Metabolites!$U$4:$U$19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Metabolites!$U$4:$U$19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8.916666666666666</c:v>
                </c:pt>
                <c:pt idx="7">
                  <c:v>10.33333333333333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29.91666666666667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0.0111326809386229</c:v>
                </c:pt>
                <c:pt idx="1">
                  <c:v>0.0341080759262406</c:v>
                </c:pt>
                <c:pt idx="2">
                  <c:v>0.0594851379649412</c:v>
                </c:pt>
                <c:pt idx="3">
                  <c:v>0.0893342916929688</c:v>
                </c:pt>
                <c:pt idx="4">
                  <c:v>0.123177318342607</c:v>
                </c:pt>
                <c:pt idx="5">
                  <c:v>0.157422033104072</c:v>
                </c:pt>
                <c:pt idx="6">
                  <c:v>0.190949100597957</c:v>
                </c:pt>
                <c:pt idx="7">
                  <c:v>0.224781802579939</c:v>
                </c:pt>
                <c:pt idx="8">
                  <c:v>0.257979297837505</c:v>
                </c:pt>
                <c:pt idx="9">
                  <c:v>0.290152468372541</c:v>
                </c:pt>
                <c:pt idx="10">
                  <c:v>0.322479015672438</c:v>
                </c:pt>
                <c:pt idx="11">
                  <c:v>0.355290835639067</c:v>
                </c:pt>
                <c:pt idx="12">
                  <c:v>0.388667941218479</c:v>
                </c:pt>
                <c:pt idx="13">
                  <c:v>0.421871035166773</c:v>
                </c:pt>
                <c:pt idx="14">
                  <c:v>0.454230366391468</c:v>
                </c:pt>
                <c:pt idx="15">
                  <c:v>0.486191213470948</c:v>
                </c:pt>
                <c:pt idx="16">
                  <c:v>0.518025018348626</c:v>
                </c:pt>
                <c:pt idx="17">
                  <c:v>0.549192146684363</c:v>
                </c:pt>
                <c:pt idx="18">
                  <c:v>0.580803094751516</c:v>
                </c:pt>
                <c:pt idx="19">
                  <c:v>0.613684421137492</c:v>
                </c:pt>
                <c:pt idx="20">
                  <c:v>0.647415567888558</c:v>
                </c:pt>
                <c:pt idx="21">
                  <c:v>0.682833344166716</c:v>
                </c:pt>
                <c:pt idx="22">
                  <c:v>0.718969155747382</c:v>
                </c:pt>
                <c:pt idx="23">
                  <c:v>0.756066224418737</c:v>
                </c:pt>
                <c:pt idx="24">
                  <c:v>0.791706275465994</c:v>
                </c:pt>
                <c:pt idx="25">
                  <c:v>0.825283912643381</c:v>
                </c:pt>
                <c:pt idx="26">
                  <c:v>0.861058412716344</c:v>
                </c:pt>
                <c:pt idx="27">
                  <c:v>0.899036564842801</c:v>
                </c:pt>
                <c:pt idx="28">
                  <c:v>0.940642190205318</c:v>
                </c:pt>
                <c:pt idx="29">
                  <c:v>0.986852436419026</c:v>
                </c:pt>
                <c:pt idx="30">
                  <c:v>1.033399787411307</c:v>
                </c:pt>
                <c:pt idx="31">
                  <c:v>1.079650337015743</c:v>
                </c:pt>
                <c:pt idx="32">
                  <c:v>1.12783314088907</c:v>
                </c:pt>
                <c:pt idx="33">
                  <c:v>1.17819814792021</c:v>
                </c:pt>
                <c:pt idx="34">
                  <c:v>1.232427273552821</c:v>
                </c:pt>
                <c:pt idx="35">
                  <c:v>1.291122844124363</c:v>
                </c:pt>
                <c:pt idx="36">
                  <c:v>1.357770285723067</c:v>
                </c:pt>
                <c:pt idx="37">
                  <c:v>1.434636430053837</c:v>
                </c:pt>
                <c:pt idx="38">
                  <c:v>1.517487885729256</c:v>
                </c:pt>
                <c:pt idx="39">
                  <c:v>1.605662072157666</c:v>
                </c:pt>
                <c:pt idx="40">
                  <c:v>1.699812508999556</c:v>
                </c:pt>
                <c:pt idx="41">
                  <c:v>1.802316558070127</c:v>
                </c:pt>
                <c:pt idx="42">
                  <c:v>1.915863617001674</c:v>
                </c:pt>
                <c:pt idx="43">
                  <c:v>2.042290789588505</c:v>
                </c:pt>
                <c:pt idx="44">
                  <c:v>2.184023007534451</c:v>
                </c:pt>
                <c:pt idx="45">
                  <c:v>2.343040084299716</c:v>
                </c:pt>
                <c:pt idx="46">
                  <c:v>2.520165432004189</c:v>
                </c:pt>
                <c:pt idx="47">
                  <c:v>2.713855294500127</c:v>
                </c:pt>
                <c:pt idx="48">
                  <c:v>2.931088792797158</c:v>
                </c:pt>
                <c:pt idx="49">
                  <c:v>3.171240018585851</c:v>
                </c:pt>
                <c:pt idx="50">
                  <c:v>3.418255379310601</c:v>
                </c:pt>
                <c:pt idx="51">
                  <c:v>3.677993006759663</c:v>
                </c:pt>
                <c:pt idx="52">
                  <c:v>3.956159251920478</c:v>
                </c:pt>
                <c:pt idx="53">
                  <c:v>4.242102745315053</c:v>
                </c:pt>
                <c:pt idx="54">
                  <c:v>4.532868618313122</c:v>
                </c:pt>
                <c:pt idx="55">
                  <c:v>4.829026352479342</c:v>
                </c:pt>
                <c:pt idx="56">
                  <c:v>5.128849896546846</c:v>
                </c:pt>
                <c:pt idx="57">
                  <c:v>5.425626896380392</c:v>
                </c:pt>
                <c:pt idx="58">
                  <c:v>5.716605869622804</c:v>
                </c:pt>
                <c:pt idx="59">
                  <c:v>6.00282317558205</c:v>
                </c:pt>
                <c:pt idx="60">
                  <c:v>6.295735640514976</c:v>
                </c:pt>
                <c:pt idx="61">
                  <c:v>6.595559647628434</c:v>
                </c:pt>
                <c:pt idx="62">
                  <c:v>6.885376144001448</c:v>
                </c:pt>
                <c:pt idx="63">
                  <c:v>7.1589956409946</c:v>
                </c:pt>
                <c:pt idx="64">
                  <c:v>7.416004465344473</c:v>
                </c:pt>
                <c:pt idx="65">
                  <c:v>7.657642986411657</c:v>
                </c:pt>
                <c:pt idx="66">
                  <c:v>7.877069334608297</c:v>
                </c:pt>
                <c:pt idx="67">
                  <c:v>8.080396898303654</c:v>
                </c:pt>
                <c:pt idx="68">
                  <c:v>8.274228188970902</c:v>
                </c:pt>
                <c:pt idx="69">
                  <c:v>8.45077431143801</c:v>
                </c:pt>
                <c:pt idx="70">
                  <c:v>8.602529957864477</c:v>
                </c:pt>
                <c:pt idx="71">
                  <c:v>8.73297622778773</c:v>
                </c:pt>
                <c:pt idx="72">
                  <c:v>8.84858489631939</c:v>
                </c:pt>
                <c:pt idx="73">
                  <c:v>8.94718092667823</c:v>
                </c:pt>
                <c:pt idx="74">
                  <c:v>9.031299043247158</c:v>
                </c:pt>
                <c:pt idx="75">
                  <c:v>9.103266483347721</c:v>
                </c:pt>
                <c:pt idx="76">
                  <c:v>9.166302873794244</c:v>
                </c:pt>
                <c:pt idx="77">
                  <c:v>9.221898999366208</c:v>
                </c:pt>
                <c:pt idx="78">
                  <c:v>9.27066431265453</c:v>
                </c:pt>
                <c:pt idx="79">
                  <c:v>9.31479596504886</c:v>
                </c:pt>
                <c:pt idx="80">
                  <c:v>9.356033855888256</c:v>
                </c:pt>
                <c:pt idx="81">
                  <c:v>9.394965323155208</c:v>
                </c:pt>
                <c:pt idx="82">
                  <c:v>9.433635968128717</c:v>
                </c:pt>
                <c:pt idx="83">
                  <c:v>9.4723391345852</c:v>
                </c:pt>
                <c:pt idx="84">
                  <c:v>9.508844499222368</c:v>
                </c:pt>
                <c:pt idx="85">
                  <c:v>9.542891890176438</c:v>
                </c:pt>
                <c:pt idx="86">
                  <c:v>9.57563451923363</c:v>
                </c:pt>
                <c:pt idx="87">
                  <c:v>9.607560859068206</c:v>
                </c:pt>
                <c:pt idx="88">
                  <c:v>9.638660502805605</c:v>
                </c:pt>
                <c:pt idx="89">
                  <c:v>9.668781249905517</c:v>
                </c:pt>
                <c:pt idx="90">
                  <c:v>9.698129286569992</c:v>
                </c:pt>
                <c:pt idx="91">
                  <c:v>9.726683148620267</c:v>
                </c:pt>
                <c:pt idx="92">
                  <c:v>9.754606093900866</c:v>
                </c:pt>
                <c:pt idx="93">
                  <c:v>9.782311795675206</c:v>
                </c:pt>
                <c:pt idx="94">
                  <c:v>9.809365116501107</c:v>
                </c:pt>
                <c:pt idx="95">
                  <c:v>9.835200182574841</c:v>
                </c:pt>
                <c:pt idx="96">
                  <c:v>9.86049217668234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BF969"/>
              </a:solidFill>
            </a:ln>
          </c:spPr>
          <c:marker>
            <c:symbol val="circle"/>
            <c:size val="8"/>
            <c:spPr>
              <a:solidFill>
                <a:srgbClr val="6BF969"/>
              </a:solidFill>
              <a:ln>
                <a:solidFill>
                  <a:srgbClr val="6BF96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0.71189472924191</c:v>
                  </c:pt>
                  <c:pt idx="1">
                    <c:v>0.318559607181635</c:v>
                  </c:pt>
                  <c:pt idx="2">
                    <c:v>0.380033207487878</c:v>
                  </c:pt>
                  <c:pt idx="3">
                    <c:v>0.403958948106858</c:v>
                  </c:pt>
                  <c:pt idx="4">
                    <c:v>0.690564184564286</c:v>
                  </c:pt>
                  <c:pt idx="5">
                    <c:v>0.573189168025979</c:v>
                  </c:pt>
                  <c:pt idx="6">
                    <c:v>0.656832002810792</c:v>
                  </c:pt>
                  <c:pt idx="7">
                    <c:v>0.357849759781819</c:v>
                  </c:pt>
                  <c:pt idx="8">
                    <c:v>0.34068549890035</c:v>
                  </c:pt>
                  <c:pt idx="9">
                    <c:v>1.066522034774372</c:v>
                  </c:pt>
                  <c:pt idx="10">
                    <c:v>0.305757749326294</c:v>
                  </c:pt>
                  <c:pt idx="11">
                    <c:v>0.62267227540836</c:v>
                  </c:pt>
                  <c:pt idx="12">
                    <c:v>0.237915280513961</c:v>
                  </c:pt>
                  <c:pt idx="13">
                    <c:v>0.22708310716898</c:v>
                  </c:pt>
                  <c:pt idx="14">
                    <c:v>0.65364977426814</c:v>
                  </c:pt>
                  <c:pt idx="15">
                    <c:v>0.512679558832009</c:v>
                  </c:pt>
                  <c:pt idx="16">
                    <c:v>0.216291669384217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0.71189472924191</c:v>
                  </c:pt>
                  <c:pt idx="1">
                    <c:v>0.318559607181635</c:v>
                  </c:pt>
                  <c:pt idx="2">
                    <c:v>0.380033207487878</c:v>
                  </c:pt>
                  <c:pt idx="3">
                    <c:v>0.403958948106858</c:v>
                  </c:pt>
                  <c:pt idx="4">
                    <c:v>0.690564184564286</c:v>
                  </c:pt>
                  <c:pt idx="5">
                    <c:v>0.573189168025979</c:v>
                  </c:pt>
                  <c:pt idx="6">
                    <c:v>0.656832002810792</c:v>
                  </c:pt>
                  <c:pt idx="7">
                    <c:v>0.357849759781819</c:v>
                  </c:pt>
                  <c:pt idx="8">
                    <c:v>0.34068549890035</c:v>
                  </c:pt>
                  <c:pt idx="9">
                    <c:v>1.066522034774372</c:v>
                  </c:pt>
                  <c:pt idx="10">
                    <c:v>0.305757749326294</c:v>
                  </c:pt>
                  <c:pt idx="11">
                    <c:v>0.62267227540836</c:v>
                  </c:pt>
                  <c:pt idx="12">
                    <c:v>0.237915280513961</c:v>
                  </c:pt>
                  <c:pt idx="13">
                    <c:v>0.22708310716898</c:v>
                  </c:pt>
                  <c:pt idx="14">
                    <c:v>0.65364977426814</c:v>
                  </c:pt>
                  <c:pt idx="15">
                    <c:v>0.512679558832009</c:v>
                  </c:pt>
                  <c:pt idx="16">
                    <c:v>0.216291669384217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8.916666666666666</c:v>
                </c:pt>
                <c:pt idx="7">
                  <c:v>10.33333333333333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29.91666666666667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50.85109532267614</c:v>
                </c:pt>
                <c:pt idx="1">
                  <c:v>51.27447204066462</c:v>
                </c:pt>
                <c:pt idx="2">
                  <c:v>50.81901164772738</c:v>
                </c:pt>
                <c:pt idx="3">
                  <c:v>51.11524604963778</c:v>
                </c:pt>
                <c:pt idx="4">
                  <c:v>50.88196145813335</c:v>
                </c:pt>
                <c:pt idx="5">
                  <c:v>51.16338413994822</c:v>
                </c:pt>
                <c:pt idx="6">
                  <c:v>50.5899283414295</c:v>
                </c:pt>
                <c:pt idx="7">
                  <c:v>51.96483592436631</c:v>
                </c:pt>
                <c:pt idx="8">
                  <c:v>51.33111841309354</c:v>
                </c:pt>
                <c:pt idx="9">
                  <c:v>51.26070535628546</c:v>
                </c:pt>
                <c:pt idx="10">
                  <c:v>51.07170188801113</c:v>
                </c:pt>
                <c:pt idx="11">
                  <c:v>51.78049233851393</c:v>
                </c:pt>
                <c:pt idx="12">
                  <c:v>50.38192194077644</c:v>
                </c:pt>
                <c:pt idx="13">
                  <c:v>50.51918216548808</c:v>
                </c:pt>
                <c:pt idx="14">
                  <c:v>38.38777021005679</c:v>
                </c:pt>
                <c:pt idx="15">
                  <c:v>42.16621058880116</c:v>
                </c:pt>
                <c:pt idx="16">
                  <c:v>34.14196771448714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8.916666666666666</c:v>
                </c:pt>
                <c:pt idx="7">
                  <c:v>10.33333333333333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29.91666666666667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0.00514287353112557</c:v>
                </c:pt>
                <c:pt idx="1">
                  <c:v>0.051536915636836</c:v>
                </c:pt>
                <c:pt idx="2">
                  <c:v>0.150084405500388</c:v>
                </c:pt>
                <c:pt idx="3">
                  <c:v>0.265480582178062</c:v>
                </c:pt>
                <c:pt idx="4">
                  <c:v>0.376947778162459</c:v>
                </c:pt>
                <c:pt idx="5">
                  <c:v>0.472571140574302</c:v>
                </c:pt>
                <c:pt idx="6">
                  <c:v>0.549435652353791</c:v>
                </c:pt>
                <c:pt idx="7">
                  <c:v>0.612905534858151</c:v>
                </c:pt>
                <c:pt idx="8">
                  <c:v>0.667928947174412</c:v>
                </c:pt>
                <c:pt idx="9">
                  <c:v>0.717524875389738</c:v>
                </c:pt>
                <c:pt idx="10">
                  <c:v>0.765349365744834</c:v>
                </c:pt>
                <c:pt idx="11">
                  <c:v>0.816066250623456</c:v>
                </c:pt>
                <c:pt idx="12">
                  <c:v>0.869709187696646</c:v>
                </c:pt>
                <c:pt idx="13">
                  <c:v>0.922889799848039</c:v>
                </c:pt>
                <c:pt idx="14">
                  <c:v>0.974988834825813</c:v>
                </c:pt>
                <c:pt idx="15">
                  <c:v>1.02926836847865</c:v>
                </c:pt>
                <c:pt idx="16">
                  <c:v>1.086579562239294</c:v>
                </c:pt>
                <c:pt idx="17">
                  <c:v>1.142507976896566</c:v>
                </c:pt>
                <c:pt idx="18">
                  <c:v>1.199160651405742</c:v>
                </c:pt>
                <c:pt idx="19">
                  <c:v>1.259478292243369</c:v>
                </c:pt>
                <c:pt idx="20">
                  <c:v>1.321676820809945</c:v>
                </c:pt>
                <c:pt idx="21">
                  <c:v>1.386445089395754</c:v>
                </c:pt>
                <c:pt idx="22">
                  <c:v>1.463858775471721</c:v>
                </c:pt>
                <c:pt idx="23">
                  <c:v>1.540018979123448</c:v>
                </c:pt>
                <c:pt idx="24">
                  <c:v>1.602827703127791</c:v>
                </c:pt>
                <c:pt idx="25">
                  <c:v>1.666187016415885</c:v>
                </c:pt>
                <c:pt idx="26">
                  <c:v>1.733303803389065</c:v>
                </c:pt>
                <c:pt idx="27">
                  <c:v>1.80426563514815</c:v>
                </c:pt>
                <c:pt idx="28">
                  <c:v>1.879685424068068</c:v>
                </c:pt>
                <c:pt idx="29">
                  <c:v>1.96203551149343</c:v>
                </c:pt>
                <c:pt idx="30">
                  <c:v>2.046562373792395</c:v>
                </c:pt>
                <c:pt idx="31">
                  <c:v>2.133247799117705</c:v>
                </c:pt>
                <c:pt idx="32">
                  <c:v>2.22430578089705</c:v>
                </c:pt>
                <c:pt idx="33">
                  <c:v>2.317478449042904</c:v>
                </c:pt>
                <c:pt idx="34">
                  <c:v>2.415864785509293</c:v>
                </c:pt>
                <c:pt idx="35">
                  <c:v>2.522552243057891</c:v>
                </c:pt>
                <c:pt idx="36">
                  <c:v>2.646689548127606</c:v>
                </c:pt>
                <c:pt idx="37">
                  <c:v>2.786824776955195</c:v>
                </c:pt>
                <c:pt idx="38">
                  <c:v>2.932616858372595</c:v>
                </c:pt>
                <c:pt idx="39">
                  <c:v>3.086157168555013</c:v>
                </c:pt>
                <c:pt idx="40">
                  <c:v>3.25238957807098</c:v>
                </c:pt>
                <c:pt idx="41">
                  <c:v>3.437398502199795</c:v>
                </c:pt>
                <c:pt idx="42">
                  <c:v>3.683205141849362</c:v>
                </c:pt>
                <c:pt idx="43">
                  <c:v>3.956297643094907</c:v>
                </c:pt>
                <c:pt idx="44">
                  <c:v>4.208997386130515</c:v>
                </c:pt>
                <c:pt idx="45">
                  <c:v>4.472060002881303</c:v>
                </c:pt>
                <c:pt idx="46">
                  <c:v>4.743441687060693</c:v>
                </c:pt>
                <c:pt idx="47">
                  <c:v>5.01097304180189</c:v>
                </c:pt>
                <c:pt idx="48">
                  <c:v>5.285887101426614</c:v>
                </c:pt>
                <c:pt idx="49">
                  <c:v>5.574534721568508</c:v>
                </c:pt>
                <c:pt idx="50">
                  <c:v>5.883261120288615</c:v>
                </c:pt>
                <c:pt idx="51">
                  <c:v>6.236680893616704</c:v>
                </c:pt>
                <c:pt idx="52">
                  <c:v>6.607733346137072</c:v>
                </c:pt>
                <c:pt idx="53">
                  <c:v>6.955648940504406</c:v>
                </c:pt>
                <c:pt idx="54">
                  <c:v>7.284148127708285</c:v>
                </c:pt>
                <c:pt idx="55">
                  <c:v>7.605716396423747</c:v>
                </c:pt>
                <c:pt idx="56">
                  <c:v>7.89747188024313</c:v>
                </c:pt>
                <c:pt idx="57">
                  <c:v>8.148814815160715</c:v>
                </c:pt>
                <c:pt idx="58">
                  <c:v>8.37549215569946</c:v>
                </c:pt>
                <c:pt idx="59">
                  <c:v>8.584791808791294</c:v>
                </c:pt>
                <c:pt idx="60">
                  <c:v>8.799202998694667</c:v>
                </c:pt>
                <c:pt idx="61">
                  <c:v>9.023650663862335</c:v>
                </c:pt>
                <c:pt idx="62">
                  <c:v>9.247334074180138</c:v>
                </c:pt>
                <c:pt idx="63">
                  <c:v>9.466485941060486</c:v>
                </c:pt>
                <c:pt idx="64">
                  <c:v>9.674172684333541</c:v>
                </c:pt>
                <c:pt idx="65">
                  <c:v>9.86318689294283</c:v>
                </c:pt>
                <c:pt idx="66">
                  <c:v>10.03161760454886</c:v>
                </c:pt>
                <c:pt idx="67">
                  <c:v>10.18159497628637</c:v>
                </c:pt>
                <c:pt idx="68">
                  <c:v>10.31928833347532</c:v>
                </c:pt>
                <c:pt idx="69">
                  <c:v>10.44802787597215</c:v>
                </c:pt>
                <c:pt idx="70">
                  <c:v>10.56579336925458</c:v>
                </c:pt>
                <c:pt idx="71">
                  <c:v>10.67908195519095</c:v>
                </c:pt>
                <c:pt idx="72">
                  <c:v>10.78904034127089</c:v>
                </c:pt>
                <c:pt idx="73">
                  <c:v>10.89512216658044</c:v>
                </c:pt>
                <c:pt idx="74">
                  <c:v>10.99781915594217</c:v>
                </c:pt>
                <c:pt idx="75">
                  <c:v>11.09953334608846</c:v>
                </c:pt>
                <c:pt idx="76">
                  <c:v>11.209437096077</c:v>
                </c:pt>
                <c:pt idx="77">
                  <c:v>11.31786697245721</c:v>
                </c:pt>
                <c:pt idx="78">
                  <c:v>11.42100040012043</c:v>
                </c:pt>
                <c:pt idx="79">
                  <c:v>11.52178577671301</c:v>
                </c:pt>
                <c:pt idx="80">
                  <c:v>11.6220800789127</c:v>
                </c:pt>
                <c:pt idx="81">
                  <c:v>11.72417607126909</c:v>
                </c:pt>
                <c:pt idx="82">
                  <c:v>11.82550780877561</c:v>
                </c:pt>
                <c:pt idx="83">
                  <c:v>11.92700345455632</c:v>
                </c:pt>
                <c:pt idx="84">
                  <c:v>12.02773484548716</c:v>
                </c:pt>
                <c:pt idx="85">
                  <c:v>12.12579101922865</c:v>
                </c:pt>
                <c:pt idx="86">
                  <c:v>12.21937028562407</c:v>
                </c:pt>
                <c:pt idx="87">
                  <c:v>12.31234920544382</c:v>
                </c:pt>
                <c:pt idx="88">
                  <c:v>12.42454571998196</c:v>
                </c:pt>
                <c:pt idx="89">
                  <c:v>12.53646905406312</c:v>
                </c:pt>
                <c:pt idx="90">
                  <c:v>12.62846452423776</c:v>
                </c:pt>
                <c:pt idx="91">
                  <c:v>12.71876757643849</c:v>
                </c:pt>
                <c:pt idx="92">
                  <c:v>12.80661395581544</c:v>
                </c:pt>
                <c:pt idx="93">
                  <c:v>12.89052913833061</c:v>
                </c:pt>
                <c:pt idx="94">
                  <c:v>12.97127802926354</c:v>
                </c:pt>
                <c:pt idx="95">
                  <c:v>13.05115339316381</c:v>
                </c:pt>
                <c:pt idx="96">
                  <c:v>13.1363816634435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915576"/>
        <c:axId val="2106063128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44654.0</c:v>
                </c:pt>
                <c:pt idx="1">
                  <c:v>47937.0</c:v>
                </c:pt>
                <c:pt idx="2">
                  <c:v>44401.0</c:v>
                </c:pt>
                <c:pt idx="3">
                  <c:v>4627.0</c:v>
                </c:pt>
                <c:pt idx="4">
                  <c:v>5412.0</c:v>
                </c:pt>
                <c:pt idx="5">
                  <c:v>5503.0</c:v>
                </c:pt>
                <c:pt idx="6">
                  <c:v>5838.0</c:v>
                </c:pt>
                <c:pt idx="7">
                  <c:v>6864.0</c:v>
                </c:pt>
                <c:pt idx="8">
                  <c:v>6797.0</c:v>
                </c:pt>
                <c:pt idx="9">
                  <c:v>7936.0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cytometer'!$X$4:$X$20</c:f>
                <c:numCache>
                  <c:formatCode>General</c:formatCode>
                  <c:ptCount val="17"/>
                  <c:pt idx="0">
                    <c:v>0.00933045796321512</c:v>
                  </c:pt>
                  <c:pt idx="1">
                    <c:v>0.00748643865923765</c:v>
                  </c:pt>
                  <c:pt idx="2">
                    <c:v>0.0236443544407365</c:v>
                  </c:pt>
                  <c:pt idx="3">
                    <c:v>0.0154005711942185</c:v>
                  </c:pt>
                  <c:pt idx="4">
                    <c:v>0.0171430754484374</c:v>
                  </c:pt>
                  <c:pt idx="5">
                    <c:v>0.0323955653863544</c:v>
                  </c:pt>
                  <c:pt idx="6">
                    <c:v>0.041034244677777</c:v>
                  </c:pt>
                  <c:pt idx="7">
                    <c:v>0.00778945136231009</c:v>
                  </c:pt>
                  <c:pt idx="8">
                    <c:v>0.0210688148315595</c:v>
                  </c:pt>
                  <c:pt idx="9">
                    <c:v>0.0134712972691347</c:v>
                  </c:pt>
                  <c:pt idx="10">
                    <c:v>0.0428219201490254</c:v>
                  </c:pt>
                  <c:pt idx="11">
                    <c:v>0.0218349109462928</c:v>
                  </c:pt>
                  <c:pt idx="12">
                    <c:v>0.0195606650463917</c:v>
                  </c:pt>
                  <c:pt idx="13">
                    <c:v>0.0111453291679129</c:v>
                  </c:pt>
                  <c:pt idx="14">
                    <c:v>0.0102996790477133</c:v>
                  </c:pt>
                  <c:pt idx="15">
                    <c:v>0.0180292968807582</c:v>
                  </c:pt>
                  <c:pt idx="16">
                    <c:v>0.00908285360630611</c:v>
                  </c:pt>
                </c:numCache>
              </c:numRef>
            </c:plus>
            <c:minus>
              <c:numRef>
                <c:f>'Flow cytometer'!$X$4:$X$20</c:f>
                <c:numCache>
                  <c:formatCode>General</c:formatCode>
                  <c:ptCount val="17"/>
                  <c:pt idx="0">
                    <c:v>0.00933045796321512</c:v>
                  </c:pt>
                  <c:pt idx="1">
                    <c:v>0.00748643865923765</c:v>
                  </c:pt>
                  <c:pt idx="2">
                    <c:v>0.0236443544407365</c:v>
                  </c:pt>
                  <c:pt idx="3">
                    <c:v>0.0154005711942185</c:v>
                  </c:pt>
                  <c:pt idx="4">
                    <c:v>0.0171430754484374</c:v>
                  </c:pt>
                  <c:pt idx="5">
                    <c:v>0.0323955653863544</c:v>
                  </c:pt>
                  <c:pt idx="6">
                    <c:v>0.041034244677777</c:v>
                  </c:pt>
                  <c:pt idx="7">
                    <c:v>0.00778945136231009</c:v>
                  </c:pt>
                  <c:pt idx="8">
                    <c:v>0.0210688148315595</c:v>
                  </c:pt>
                  <c:pt idx="9">
                    <c:v>0.0134712972691347</c:v>
                  </c:pt>
                  <c:pt idx="10">
                    <c:v>0.0428219201490254</c:v>
                  </c:pt>
                  <c:pt idx="11">
                    <c:v>0.0218349109462928</c:v>
                  </c:pt>
                  <c:pt idx="12">
                    <c:v>0.0195606650463917</c:v>
                  </c:pt>
                  <c:pt idx="13">
                    <c:v>0.0111453291679129</c:v>
                  </c:pt>
                  <c:pt idx="14">
                    <c:v>0.0102996790477133</c:v>
                  </c:pt>
                  <c:pt idx="15">
                    <c:v>0.0180292968807582</c:v>
                  </c:pt>
                  <c:pt idx="16">
                    <c:v>0.00908285360630611</c:v>
                  </c:pt>
                </c:numCache>
              </c:numRef>
            </c:minus>
          </c:errBars>
          <c:xVal>
            <c:numRef>
              <c:f>'Flow cytometer'!$D$4:$D$20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8.916666666666666</c:v>
                </c:pt>
                <c:pt idx="7">
                  <c:v>10.33333333333333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29.91666666666667</c:v>
                </c:pt>
                <c:pt idx="16">
                  <c:v>48.0</c:v>
                </c:pt>
              </c:numCache>
            </c:numRef>
          </c:xVal>
          <c:yVal>
            <c:numRef>
              <c:f>'Flow cytometer'!$S$4:$S$20</c:f>
              <c:numCache>
                <c:formatCode>0.00</c:formatCode>
                <c:ptCount val="17"/>
                <c:pt idx="0">
                  <c:v>7.802706304267596</c:v>
                </c:pt>
                <c:pt idx="1">
                  <c:v>7.836461496390007</c:v>
                </c:pt>
                <c:pt idx="2">
                  <c:v>7.836974899592613</c:v>
                </c:pt>
                <c:pt idx="3">
                  <c:v>7.838352245148996</c:v>
                </c:pt>
                <c:pt idx="4">
                  <c:v>7.883266668419255</c:v>
                </c:pt>
                <c:pt idx="5">
                  <c:v>7.868148007248255</c:v>
                </c:pt>
                <c:pt idx="6">
                  <c:v>7.977242853766084</c:v>
                </c:pt>
                <c:pt idx="7">
                  <c:v>8.006032006308872</c:v>
                </c:pt>
                <c:pt idx="8">
                  <c:v>8.009683479059793</c:v>
                </c:pt>
                <c:pt idx="9">
                  <c:v>8.048417927159154</c:v>
                </c:pt>
                <c:pt idx="10">
                  <c:v>8.08207678363096</c:v>
                </c:pt>
                <c:pt idx="11">
                  <c:v>8.150290605145418</c:v>
                </c:pt>
                <c:pt idx="12">
                  <c:v>8.233547060330505</c:v>
                </c:pt>
                <c:pt idx="13">
                  <c:v>8.28488344017128</c:v>
                </c:pt>
                <c:pt idx="14">
                  <c:v>8.73092757878697</c:v>
                </c:pt>
                <c:pt idx="15">
                  <c:v>9.121628429887867</c:v>
                </c:pt>
                <c:pt idx="16">
                  <c:v>9.258606860209454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63336"/>
        <c:axId val="2106528760"/>
      </c:scatterChart>
      <c:valAx>
        <c:axId val="2119915576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06063128"/>
        <c:crosses val="autoZero"/>
        <c:crossBetween val="midCat"/>
        <c:majorUnit val="6.0"/>
      </c:valAx>
      <c:valAx>
        <c:axId val="2106063128"/>
        <c:scaling>
          <c:orientation val="minMax"/>
          <c:max val="6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9915576"/>
        <c:crosses val="autoZero"/>
        <c:crossBetween val="midCat"/>
      </c:valAx>
      <c:valAx>
        <c:axId val="2106528760"/>
        <c:scaling>
          <c:orientation val="minMax"/>
          <c:max val="10.0"/>
          <c:min val="6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117263336"/>
        <c:crosses val="max"/>
        <c:crossBetween val="midCat"/>
        <c:majorUnit val="1.0"/>
        <c:minorUnit val="0.2"/>
      </c:valAx>
      <c:valAx>
        <c:axId val="2117263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0652876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Metabolites!$M$4:$M$20</c:f>
                <c:numCache>
                  <c:formatCode>General</c:formatCode>
                  <c:ptCount val="17"/>
                  <c:pt idx="0">
                    <c:v>0.0128186116605157</c:v>
                  </c:pt>
                  <c:pt idx="1">
                    <c:v>0.0222175801432792</c:v>
                  </c:pt>
                  <c:pt idx="2">
                    <c:v>0.0128273258764644</c:v>
                  </c:pt>
                  <c:pt idx="3">
                    <c:v>0.0</c:v>
                  </c:pt>
                  <c:pt idx="4">
                    <c:v>0.0222175801432792</c:v>
                  </c:pt>
                  <c:pt idx="5">
                    <c:v>0.0444351602865584</c:v>
                  </c:pt>
                  <c:pt idx="6">
                    <c:v>0.0128377886218775</c:v>
                  </c:pt>
                  <c:pt idx="7">
                    <c:v>0.0462873051397474</c:v>
                  </c:pt>
                  <c:pt idx="8">
                    <c:v>0.0339655960775023</c:v>
                  </c:pt>
                  <c:pt idx="9">
                    <c:v>0.0256755772437549</c:v>
                  </c:pt>
                  <c:pt idx="10">
                    <c:v>0.0679311921550048</c:v>
                  </c:pt>
                  <c:pt idx="11">
                    <c:v>0.10280721429573</c:v>
                  </c:pt>
                  <c:pt idx="12">
                    <c:v>0.0340002902512281</c:v>
                  </c:pt>
                  <c:pt idx="13">
                    <c:v>0.022258414818103</c:v>
                  </c:pt>
                  <c:pt idx="14">
                    <c:v>0.0386454916553894</c:v>
                  </c:pt>
                  <c:pt idx="15">
                    <c:v>0.068515150001819</c:v>
                  </c:pt>
                  <c:pt idx="16">
                    <c:v>0.0854890235431414</c:v>
                  </c:pt>
                </c:numCache>
              </c:numRef>
            </c:plus>
            <c:minus>
              <c:numRef>
                <c:f>Metabolites!$M$4:$M$20</c:f>
                <c:numCache>
                  <c:formatCode>General</c:formatCode>
                  <c:ptCount val="17"/>
                  <c:pt idx="0">
                    <c:v>0.0128186116605157</c:v>
                  </c:pt>
                  <c:pt idx="1">
                    <c:v>0.0222175801432792</c:v>
                  </c:pt>
                  <c:pt idx="2">
                    <c:v>0.0128273258764644</c:v>
                  </c:pt>
                  <c:pt idx="3">
                    <c:v>0.0</c:v>
                  </c:pt>
                  <c:pt idx="4">
                    <c:v>0.0222175801432792</c:v>
                  </c:pt>
                  <c:pt idx="5">
                    <c:v>0.0444351602865584</c:v>
                  </c:pt>
                  <c:pt idx="6">
                    <c:v>0.0128377886218775</c:v>
                  </c:pt>
                  <c:pt idx="7">
                    <c:v>0.0462873051397474</c:v>
                  </c:pt>
                  <c:pt idx="8">
                    <c:v>0.0339655960775023</c:v>
                  </c:pt>
                  <c:pt idx="9">
                    <c:v>0.0256755772437549</c:v>
                  </c:pt>
                  <c:pt idx="10">
                    <c:v>0.0679311921550048</c:v>
                  </c:pt>
                  <c:pt idx="11">
                    <c:v>0.10280721429573</c:v>
                  </c:pt>
                  <c:pt idx="12">
                    <c:v>0.0340002902512281</c:v>
                  </c:pt>
                  <c:pt idx="13">
                    <c:v>0.022258414818103</c:v>
                  </c:pt>
                  <c:pt idx="14">
                    <c:v>0.0386454916553894</c:v>
                  </c:pt>
                  <c:pt idx="15">
                    <c:v>0.068515150001819</c:v>
                  </c:pt>
                  <c:pt idx="16">
                    <c:v>0.0854890235431414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8.916666666666666</c:v>
                </c:pt>
                <c:pt idx="7">
                  <c:v>10.33333333333333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29.91666666666667</c:v>
                </c:pt>
                <c:pt idx="16">
                  <c:v>48.0</c:v>
                </c:pt>
              </c:numCache>
            </c:numRef>
          </c:xVal>
          <c:yVal>
            <c:numRef>
              <c:f>Metabolites!$L$4:$L$20</c:f>
              <c:numCache>
                <c:formatCode>0</c:formatCode>
                <c:ptCount val="17"/>
                <c:pt idx="0">
                  <c:v>0.717880402605092</c:v>
                </c:pt>
                <c:pt idx="1">
                  <c:v>0.777615305014773</c:v>
                </c:pt>
                <c:pt idx="2">
                  <c:v>0.851673905492371</c:v>
                </c:pt>
                <c:pt idx="3">
                  <c:v>0.910920785874449</c:v>
                </c:pt>
                <c:pt idx="4">
                  <c:v>0.955355946161007</c:v>
                </c:pt>
                <c:pt idx="5">
                  <c:v>0.977573526304287</c:v>
                </c:pt>
                <c:pt idx="6">
                  <c:v>1.104373206779429</c:v>
                </c:pt>
                <c:pt idx="7">
                  <c:v>1.185904114662474</c:v>
                </c:pt>
                <c:pt idx="8">
                  <c:v>1.304494526128722</c:v>
                </c:pt>
                <c:pt idx="9">
                  <c:v>1.363789731861846</c:v>
                </c:pt>
                <c:pt idx="10">
                  <c:v>1.452732540461531</c:v>
                </c:pt>
                <c:pt idx="11">
                  <c:v>1.61002533850946</c:v>
                </c:pt>
                <c:pt idx="12">
                  <c:v>1.750995299024113</c:v>
                </c:pt>
                <c:pt idx="13">
                  <c:v>1.891965259538766</c:v>
                </c:pt>
                <c:pt idx="14">
                  <c:v>2.543566291163308</c:v>
                </c:pt>
                <c:pt idx="15">
                  <c:v>6.047773134711487</c:v>
                </c:pt>
                <c:pt idx="16">
                  <c:v>12.86345300354024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109"/>
              </a:solidFill>
            </a:ln>
          </c:spPr>
          <c:marker>
            <c:symbol val="triangle"/>
            <c:size val="8"/>
            <c:spPr>
              <a:solidFill>
                <a:srgbClr val="FEC109"/>
              </a:solidFill>
              <a:ln>
                <a:solidFill>
                  <a:srgbClr val="FEC1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Metabolites!$Q$4:$Q$20</c:f>
                <c:numCache>
                  <c:formatCode>General</c:formatCode>
                  <c:ptCount val="17"/>
                  <c:pt idx="0">
                    <c:v>0.0192289848189717</c:v>
                  </c:pt>
                  <c:pt idx="1">
                    <c:v>0.033328220138328</c:v>
                  </c:pt>
                  <c:pt idx="2">
                    <c:v>0.0577261706054243</c:v>
                  </c:pt>
                  <c:pt idx="3">
                    <c:v>0.0384841137369495</c:v>
                  </c:pt>
                  <c:pt idx="4">
                    <c:v>0.0509096971873463</c:v>
                  </c:pt>
                  <c:pt idx="5">
                    <c:v>0.0384841137369495</c:v>
                  </c:pt>
                  <c:pt idx="6">
                    <c:v>0.0882501056028793</c:v>
                  </c:pt>
                  <c:pt idx="7">
                    <c:v>0.0694348117733297</c:v>
                  </c:pt>
                  <c:pt idx="8">
                    <c:v>0.0509512222258354</c:v>
                  </c:pt>
                  <c:pt idx="9">
                    <c:v>0.0509512222258354</c:v>
                  </c:pt>
                  <c:pt idx="10">
                    <c:v>0.0192577518577639</c:v>
                  </c:pt>
                  <c:pt idx="11">
                    <c:v>0.0385548453945015</c:v>
                  </c:pt>
                  <c:pt idx="12">
                    <c:v>0.0385548453945018</c:v>
                  </c:pt>
                  <c:pt idx="13">
                    <c:v>0.0510032663751978</c:v>
                  </c:pt>
                  <c:pt idx="14">
                    <c:v>0.0334698352992374</c:v>
                  </c:pt>
                  <c:pt idx="15">
                    <c:v>0.25399257333514</c:v>
                  </c:pt>
                  <c:pt idx="16">
                    <c:v>0.188596213418653</c:v>
                  </c:pt>
                </c:numCache>
              </c:numRef>
            </c:plus>
            <c:minus>
              <c:numRef>
                <c:f>Metabolites!$Q$4:$Q$20</c:f>
                <c:numCache>
                  <c:formatCode>General</c:formatCode>
                  <c:ptCount val="17"/>
                  <c:pt idx="0">
                    <c:v>0.0192289848189717</c:v>
                  </c:pt>
                  <c:pt idx="1">
                    <c:v>0.033328220138328</c:v>
                  </c:pt>
                  <c:pt idx="2">
                    <c:v>0.0577261706054243</c:v>
                  </c:pt>
                  <c:pt idx="3">
                    <c:v>0.0384841137369495</c:v>
                  </c:pt>
                  <c:pt idx="4">
                    <c:v>0.0509096971873463</c:v>
                  </c:pt>
                  <c:pt idx="5">
                    <c:v>0.0384841137369495</c:v>
                  </c:pt>
                  <c:pt idx="6">
                    <c:v>0.0882501056028793</c:v>
                  </c:pt>
                  <c:pt idx="7">
                    <c:v>0.0694348117733297</c:v>
                  </c:pt>
                  <c:pt idx="8">
                    <c:v>0.0509512222258354</c:v>
                  </c:pt>
                  <c:pt idx="9">
                    <c:v>0.0509512222258354</c:v>
                  </c:pt>
                  <c:pt idx="10">
                    <c:v>0.0192577518577639</c:v>
                  </c:pt>
                  <c:pt idx="11">
                    <c:v>0.0385548453945015</c:v>
                  </c:pt>
                  <c:pt idx="12">
                    <c:v>0.0385548453945018</c:v>
                  </c:pt>
                  <c:pt idx="13">
                    <c:v>0.0510032663751978</c:v>
                  </c:pt>
                  <c:pt idx="14">
                    <c:v>0.0334698352992374</c:v>
                  </c:pt>
                  <c:pt idx="15">
                    <c:v>0.25399257333514</c:v>
                  </c:pt>
                  <c:pt idx="16">
                    <c:v>0.188596213418653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8.916666666666666</c:v>
                </c:pt>
                <c:pt idx="7">
                  <c:v>10.33333333333333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29.91666666666667</c:v>
                </c:pt>
                <c:pt idx="16">
                  <c:v>48.0</c:v>
                </c:pt>
              </c:numCache>
            </c:numRef>
          </c:xVal>
          <c:yVal>
            <c:numRef>
              <c:f>Metabolites!$P$4:$P$20</c:f>
              <c:numCache>
                <c:formatCode>0</c:formatCode>
                <c:ptCount val="17"/>
                <c:pt idx="0">
                  <c:v>2.120455176242021</c:v>
                </c:pt>
                <c:pt idx="1">
                  <c:v>2.099677868714661</c:v>
                </c:pt>
                <c:pt idx="2">
                  <c:v>2.166334308991317</c:v>
                </c:pt>
                <c:pt idx="3">
                  <c:v>2.210771935842422</c:v>
                </c:pt>
                <c:pt idx="4">
                  <c:v>2.310756596257406</c:v>
                </c:pt>
                <c:pt idx="5">
                  <c:v>2.388522443246837</c:v>
                </c:pt>
                <c:pt idx="6">
                  <c:v>2.401589135318471</c:v>
                </c:pt>
                <c:pt idx="7">
                  <c:v>2.612840031480744</c:v>
                </c:pt>
                <c:pt idx="8">
                  <c:v>2.679550840795146</c:v>
                </c:pt>
                <c:pt idx="9">
                  <c:v>2.746261650109548</c:v>
                </c:pt>
                <c:pt idx="10">
                  <c:v>2.790735522985816</c:v>
                </c:pt>
                <c:pt idx="11">
                  <c:v>2.860365072169779</c:v>
                </c:pt>
                <c:pt idx="12">
                  <c:v>2.893754547720398</c:v>
                </c:pt>
                <c:pt idx="13">
                  <c:v>3.160870352125358</c:v>
                </c:pt>
                <c:pt idx="14">
                  <c:v>3.949440565310037</c:v>
                </c:pt>
                <c:pt idx="15">
                  <c:v>9.285230138690425</c:v>
                </c:pt>
                <c:pt idx="16">
                  <c:v>11.58452491627989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E46C0A"/>
              </a:solidFill>
            </a:ln>
          </c:spPr>
          <c:marker>
            <c:symbol val="triangle"/>
            <c:size val="8"/>
            <c:spPr>
              <a:solidFill>
                <a:srgbClr val="E46C0A"/>
              </a:solidFill>
              <a:ln>
                <a:solidFill>
                  <a:srgbClr val="E46C0A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Metabolites!$U$4:$U$19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Metabolites!$U$4:$U$19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8.916666666666666</c:v>
                </c:pt>
                <c:pt idx="7">
                  <c:v>10.33333333333333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29.91666666666667</c:v>
                </c:pt>
                <c:pt idx="16">
                  <c:v>48.0</c:v>
                </c:pt>
              </c:numCache>
            </c:numRef>
          </c:xVal>
          <c:yVal>
            <c:numRef>
              <c:f>Metabolites!$T$4:$T$20</c:f>
              <c:numCache>
                <c:formatCode>0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0.0111326809386229</c:v>
                </c:pt>
                <c:pt idx="1">
                  <c:v>0.0341080759262406</c:v>
                </c:pt>
                <c:pt idx="2">
                  <c:v>0.0594851379649412</c:v>
                </c:pt>
                <c:pt idx="3">
                  <c:v>0.0893342916929688</c:v>
                </c:pt>
                <c:pt idx="4">
                  <c:v>0.123177318342607</c:v>
                </c:pt>
                <c:pt idx="5">
                  <c:v>0.157422033104072</c:v>
                </c:pt>
                <c:pt idx="6">
                  <c:v>0.190949100597957</c:v>
                </c:pt>
                <c:pt idx="7">
                  <c:v>0.224781802579939</c:v>
                </c:pt>
                <c:pt idx="8">
                  <c:v>0.257979297837505</c:v>
                </c:pt>
                <c:pt idx="9">
                  <c:v>0.290152468372541</c:v>
                </c:pt>
                <c:pt idx="10">
                  <c:v>0.322479015672438</c:v>
                </c:pt>
                <c:pt idx="11">
                  <c:v>0.355290835639067</c:v>
                </c:pt>
                <c:pt idx="12">
                  <c:v>0.388667941218479</c:v>
                </c:pt>
                <c:pt idx="13">
                  <c:v>0.421871035166773</c:v>
                </c:pt>
                <c:pt idx="14">
                  <c:v>0.454230366391468</c:v>
                </c:pt>
                <c:pt idx="15">
                  <c:v>0.486191213470948</c:v>
                </c:pt>
                <c:pt idx="16">
                  <c:v>0.518025018348626</c:v>
                </c:pt>
                <c:pt idx="17">
                  <c:v>0.549192146684363</c:v>
                </c:pt>
                <c:pt idx="18">
                  <c:v>0.580803094751516</c:v>
                </c:pt>
                <c:pt idx="19">
                  <c:v>0.613684421137492</c:v>
                </c:pt>
                <c:pt idx="20">
                  <c:v>0.647415567888558</c:v>
                </c:pt>
                <c:pt idx="21">
                  <c:v>0.682833344166716</c:v>
                </c:pt>
                <c:pt idx="22">
                  <c:v>0.718969155747382</c:v>
                </c:pt>
                <c:pt idx="23">
                  <c:v>0.756066224418737</c:v>
                </c:pt>
                <c:pt idx="24">
                  <c:v>0.791706275465994</c:v>
                </c:pt>
                <c:pt idx="25">
                  <c:v>0.825283912643381</c:v>
                </c:pt>
                <c:pt idx="26">
                  <c:v>0.861058412716344</c:v>
                </c:pt>
                <c:pt idx="27">
                  <c:v>0.899036564842801</c:v>
                </c:pt>
                <c:pt idx="28">
                  <c:v>0.940642190205318</c:v>
                </c:pt>
                <c:pt idx="29">
                  <c:v>0.986852436419026</c:v>
                </c:pt>
                <c:pt idx="30">
                  <c:v>1.033399787411307</c:v>
                </c:pt>
                <c:pt idx="31">
                  <c:v>1.079650337015743</c:v>
                </c:pt>
                <c:pt idx="32">
                  <c:v>1.12783314088907</c:v>
                </c:pt>
                <c:pt idx="33">
                  <c:v>1.17819814792021</c:v>
                </c:pt>
                <c:pt idx="34">
                  <c:v>1.232427273552821</c:v>
                </c:pt>
                <c:pt idx="35">
                  <c:v>1.291122844124363</c:v>
                </c:pt>
                <c:pt idx="36">
                  <c:v>1.357770285723067</c:v>
                </c:pt>
                <c:pt idx="37">
                  <c:v>1.434636430053837</c:v>
                </c:pt>
                <c:pt idx="38">
                  <c:v>1.517487885729256</c:v>
                </c:pt>
                <c:pt idx="39">
                  <c:v>1.605662072157666</c:v>
                </c:pt>
                <c:pt idx="40">
                  <c:v>1.699812508999556</c:v>
                </c:pt>
                <c:pt idx="41">
                  <c:v>1.802316558070127</c:v>
                </c:pt>
                <c:pt idx="42">
                  <c:v>1.915863617001674</c:v>
                </c:pt>
                <c:pt idx="43">
                  <c:v>2.042290789588505</c:v>
                </c:pt>
                <c:pt idx="44">
                  <c:v>2.184023007534451</c:v>
                </c:pt>
                <c:pt idx="45">
                  <c:v>2.343040084299716</c:v>
                </c:pt>
                <c:pt idx="46">
                  <c:v>2.520165432004189</c:v>
                </c:pt>
                <c:pt idx="47">
                  <c:v>2.713855294500127</c:v>
                </c:pt>
                <c:pt idx="48">
                  <c:v>2.931088792797158</c:v>
                </c:pt>
                <c:pt idx="49">
                  <c:v>3.171240018585851</c:v>
                </c:pt>
                <c:pt idx="50">
                  <c:v>3.418255379310601</c:v>
                </c:pt>
                <c:pt idx="51">
                  <c:v>3.677993006759663</c:v>
                </c:pt>
                <c:pt idx="52">
                  <c:v>3.956159251920478</c:v>
                </c:pt>
                <c:pt idx="53">
                  <c:v>4.242102745315053</c:v>
                </c:pt>
                <c:pt idx="54">
                  <c:v>4.532868618313122</c:v>
                </c:pt>
                <c:pt idx="55">
                  <c:v>4.829026352479342</c:v>
                </c:pt>
                <c:pt idx="56">
                  <c:v>5.128849896546846</c:v>
                </c:pt>
                <c:pt idx="57">
                  <c:v>5.425626896380392</c:v>
                </c:pt>
                <c:pt idx="58">
                  <c:v>5.716605869622804</c:v>
                </c:pt>
                <c:pt idx="59">
                  <c:v>6.00282317558205</c:v>
                </c:pt>
                <c:pt idx="60">
                  <c:v>6.295735640514976</c:v>
                </c:pt>
                <c:pt idx="61">
                  <c:v>6.595559647628434</c:v>
                </c:pt>
                <c:pt idx="62">
                  <c:v>6.885376144001448</c:v>
                </c:pt>
                <c:pt idx="63">
                  <c:v>7.1589956409946</c:v>
                </c:pt>
                <c:pt idx="64">
                  <c:v>7.416004465344473</c:v>
                </c:pt>
                <c:pt idx="65">
                  <c:v>7.657642986411657</c:v>
                </c:pt>
                <c:pt idx="66">
                  <c:v>7.877069334608297</c:v>
                </c:pt>
                <c:pt idx="67">
                  <c:v>8.080396898303654</c:v>
                </c:pt>
                <c:pt idx="68">
                  <c:v>8.274228188970902</c:v>
                </c:pt>
                <c:pt idx="69">
                  <c:v>8.45077431143801</c:v>
                </c:pt>
                <c:pt idx="70">
                  <c:v>8.602529957864477</c:v>
                </c:pt>
                <c:pt idx="71">
                  <c:v>8.73297622778773</c:v>
                </c:pt>
                <c:pt idx="72">
                  <c:v>8.84858489631939</c:v>
                </c:pt>
                <c:pt idx="73">
                  <c:v>8.94718092667823</c:v>
                </c:pt>
                <c:pt idx="74">
                  <c:v>9.031299043247158</c:v>
                </c:pt>
                <c:pt idx="75">
                  <c:v>9.103266483347721</c:v>
                </c:pt>
                <c:pt idx="76">
                  <c:v>9.166302873794244</c:v>
                </c:pt>
                <c:pt idx="77">
                  <c:v>9.221898999366208</c:v>
                </c:pt>
                <c:pt idx="78">
                  <c:v>9.27066431265453</c:v>
                </c:pt>
                <c:pt idx="79">
                  <c:v>9.31479596504886</c:v>
                </c:pt>
                <c:pt idx="80">
                  <c:v>9.356033855888256</c:v>
                </c:pt>
                <c:pt idx="81">
                  <c:v>9.394965323155208</c:v>
                </c:pt>
                <c:pt idx="82">
                  <c:v>9.433635968128717</c:v>
                </c:pt>
                <c:pt idx="83">
                  <c:v>9.4723391345852</c:v>
                </c:pt>
                <c:pt idx="84">
                  <c:v>9.508844499222368</c:v>
                </c:pt>
                <c:pt idx="85">
                  <c:v>9.542891890176438</c:v>
                </c:pt>
                <c:pt idx="86">
                  <c:v>9.57563451923363</c:v>
                </c:pt>
                <c:pt idx="87">
                  <c:v>9.607560859068206</c:v>
                </c:pt>
                <c:pt idx="88">
                  <c:v>9.638660502805605</c:v>
                </c:pt>
                <c:pt idx="89">
                  <c:v>9.668781249905517</c:v>
                </c:pt>
                <c:pt idx="90">
                  <c:v>9.698129286569992</c:v>
                </c:pt>
                <c:pt idx="91">
                  <c:v>9.726683148620267</c:v>
                </c:pt>
                <c:pt idx="92">
                  <c:v>9.754606093900866</c:v>
                </c:pt>
                <c:pt idx="93">
                  <c:v>9.782311795675206</c:v>
                </c:pt>
                <c:pt idx="94">
                  <c:v>9.809365116501107</c:v>
                </c:pt>
                <c:pt idx="95">
                  <c:v>9.835200182574841</c:v>
                </c:pt>
                <c:pt idx="96">
                  <c:v>9.86049217668234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BF969"/>
              </a:solidFill>
            </a:ln>
          </c:spPr>
          <c:marker>
            <c:symbol val="circle"/>
            <c:size val="8"/>
            <c:spPr>
              <a:solidFill>
                <a:srgbClr val="6BF969"/>
              </a:solidFill>
              <a:ln>
                <a:solidFill>
                  <a:srgbClr val="6BF96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Metabolites!$I$4:$I$20</c:f>
                <c:numCache>
                  <c:formatCode>General</c:formatCode>
                  <c:ptCount val="17"/>
                  <c:pt idx="0">
                    <c:v>0.71189472924191</c:v>
                  </c:pt>
                  <c:pt idx="1">
                    <c:v>0.318559607181635</c:v>
                  </c:pt>
                  <c:pt idx="2">
                    <c:v>0.380033207487878</c:v>
                  </c:pt>
                  <c:pt idx="3">
                    <c:v>0.403958948106858</c:v>
                  </c:pt>
                  <c:pt idx="4">
                    <c:v>0.690564184564286</c:v>
                  </c:pt>
                  <c:pt idx="5">
                    <c:v>0.573189168025979</c:v>
                  </c:pt>
                  <c:pt idx="6">
                    <c:v>0.656832002810792</c:v>
                  </c:pt>
                  <c:pt idx="7">
                    <c:v>0.357849759781819</c:v>
                  </c:pt>
                  <c:pt idx="8">
                    <c:v>0.34068549890035</c:v>
                  </c:pt>
                  <c:pt idx="9">
                    <c:v>1.066522034774372</c:v>
                  </c:pt>
                  <c:pt idx="10">
                    <c:v>0.305757749326294</c:v>
                  </c:pt>
                  <c:pt idx="11">
                    <c:v>0.62267227540836</c:v>
                  </c:pt>
                  <c:pt idx="12">
                    <c:v>0.237915280513961</c:v>
                  </c:pt>
                  <c:pt idx="13">
                    <c:v>0.22708310716898</c:v>
                  </c:pt>
                  <c:pt idx="14">
                    <c:v>0.65364977426814</c:v>
                  </c:pt>
                  <c:pt idx="15">
                    <c:v>0.512679558832009</c:v>
                  </c:pt>
                  <c:pt idx="16">
                    <c:v>0.216291669384217</c:v>
                  </c:pt>
                </c:numCache>
              </c:numRef>
            </c:plus>
            <c:minus>
              <c:numRef>
                <c:f>Metabolites!$I$4:$I$20</c:f>
                <c:numCache>
                  <c:formatCode>General</c:formatCode>
                  <c:ptCount val="17"/>
                  <c:pt idx="0">
                    <c:v>0.71189472924191</c:v>
                  </c:pt>
                  <c:pt idx="1">
                    <c:v>0.318559607181635</c:v>
                  </c:pt>
                  <c:pt idx="2">
                    <c:v>0.380033207487878</c:v>
                  </c:pt>
                  <c:pt idx="3">
                    <c:v>0.403958948106858</c:v>
                  </c:pt>
                  <c:pt idx="4">
                    <c:v>0.690564184564286</c:v>
                  </c:pt>
                  <c:pt idx="5">
                    <c:v>0.573189168025979</c:v>
                  </c:pt>
                  <c:pt idx="6">
                    <c:v>0.656832002810792</c:v>
                  </c:pt>
                  <c:pt idx="7">
                    <c:v>0.357849759781819</c:v>
                  </c:pt>
                  <c:pt idx="8">
                    <c:v>0.34068549890035</c:v>
                  </c:pt>
                  <c:pt idx="9">
                    <c:v>1.066522034774372</c:v>
                  </c:pt>
                  <c:pt idx="10">
                    <c:v>0.305757749326294</c:v>
                  </c:pt>
                  <c:pt idx="11">
                    <c:v>0.62267227540836</c:v>
                  </c:pt>
                  <c:pt idx="12">
                    <c:v>0.237915280513961</c:v>
                  </c:pt>
                  <c:pt idx="13">
                    <c:v>0.22708310716898</c:v>
                  </c:pt>
                  <c:pt idx="14">
                    <c:v>0.65364977426814</c:v>
                  </c:pt>
                  <c:pt idx="15">
                    <c:v>0.512679558832009</c:v>
                  </c:pt>
                  <c:pt idx="16">
                    <c:v>0.216291669384217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8.916666666666666</c:v>
                </c:pt>
                <c:pt idx="7">
                  <c:v>10.33333333333333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29.91666666666667</c:v>
                </c:pt>
                <c:pt idx="16">
                  <c:v>48.0</c:v>
                </c:pt>
              </c:numCache>
            </c:numRef>
          </c:xVal>
          <c:yVal>
            <c:numRef>
              <c:f>Metabolites!$H$4:$H$20</c:f>
              <c:numCache>
                <c:formatCode>0</c:formatCode>
                <c:ptCount val="17"/>
                <c:pt idx="0">
                  <c:v>50.85109532267614</c:v>
                </c:pt>
                <c:pt idx="1">
                  <c:v>51.27447204066462</c:v>
                </c:pt>
                <c:pt idx="2">
                  <c:v>50.81901164772738</c:v>
                </c:pt>
                <c:pt idx="3">
                  <c:v>51.11524604963778</c:v>
                </c:pt>
                <c:pt idx="4">
                  <c:v>50.88196145813335</c:v>
                </c:pt>
                <c:pt idx="5">
                  <c:v>51.16338413994822</c:v>
                </c:pt>
                <c:pt idx="6">
                  <c:v>50.5899283414295</c:v>
                </c:pt>
                <c:pt idx="7">
                  <c:v>51.96483592436631</c:v>
                </c:pt>
                <c:pt idx="8">
                  <c:v>51.33111841309354</c:v>
                </c:pt>
                <c:pt idx="9">
                  <c:v>51.26070535628546</c:v>
                </c:pt>
                <c:pt idx="10">
                  <c:v>51.07170188801113</c:v>
                </c:pt>
                <c:pt idx="11">
                  <c:v>51.78049233851393</c:v>
                </c:pt>
                <c:pt idx="12">
                  <c:v>50.38192194077644</c:v>
                </c:pt>
                <c:pt idx="13">
                  <c:v>50.51918216548808</c:v>
                </c:pt>
                <c:pt idx="14">
                  <c:v>38.38777021005679</c:v>
                </c:pt>
                <c:pt idx="15">
                  <c:v>42.16621058880116</c:v>
                </c:pt>
                <c:pt idx="16">
                  <c:v>34.14196771448714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Metabolites!$J$22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Metabolites!$M$25:$M$41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plus>
            <c:minus>
              <c:numRef>
                <c:f>Metabolites!$M$25:$M$41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</c:numCache>
              </c:numRef>
            </c:minus>
          </c:errBars>
          <c:xVal>
            <c:numRef>
              <c:f>Metabolites!$E$4:$E$20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8.916666666666666</c:v>
                </c:pt>
                <c:pt idx="7">
                  <c:v>10.33333333333333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29.91666666666667</c:v>
                </c:pt>
                <c:pt idx="16">
                  <c:v>48.0</c:v>
                </c:pt>
              </c:numCache>
            </c:numRef>
          </c:xVal>
          <c:yVal>
            <c:numRef>
              <c:f>Metabolites!$L$25:$L$41</c:f>
              <c:numCache>
                <c:formatCode>0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0.00514287353112557</c:v>
                </c:pt>
                <c:pt idx="1">
                  <c:v>0.051536915636836</c:v>
                </c:pt>
                <c:pt idx="2">
                  <c:v>0.150084405500388</c:v>
                </c:pt>
                <c:pt idx="3">
                  <c:v>0.265480582178062</c:v>
                </c:pt>
                <c:pt idx="4">
                  <c:v>0.376947778162459</c:v>
                </c:pt>
                <c:pt idx="5">
                  <c:v>0.472571140574302</c:v>
                </c:pt>
                <c:pt idx="6">
                  <c:v>0.549435652353791</c:v>
                </c:pt>
                <c:pt idx="7">
                  <c:v>0.612905534858151</c:v>
                </c:pt>
                <c:pt idx="8">
                  <c:v>0.667928947174412</c:v>
                </c:pt>
                <c:pt idx="9">
                  <c:v>0.717524875389738</c:v>
                </c:pt>
                <c:pt idx="10">
                  <c:v>0.765349365744834</c:v>
                </c:pt>
                <c:pt idx="11">
                  <c:v>0.816066250623456</c:v>
                </c:pt>
                <c:pt idx="12">
                  <c:v>0.869709187696646</c:v>
                </c:pt>
                <c:pt idx="13">
                  <c:v>0.922889799848039</c:v>
                </c:pt>
                <c:pt idx="14">
                  <c:v>0.974988834825813</c:v>
                </c:pt>
                <c:pt idx="15">
                  <c:v>1.02926836847865</c:v>
                </c:pt>
                <c:pt idx="16">
                  <c:v>1.086579562239294</c:v>
                </c:pt>
                <c:pt idx="17">
                  <c:v>1.142507976896566</c:v>
                </c:pt>
                <c:pt idx="18">
                  <c:v>1.199160651405742</c:v>
                </c:pt>
                <c:pt idx="19">
                  <c:v>1.259478292243369</c:v>
                </c:pt>
                <c:pt idx="20">
                  <c:v>1.321676820809945</c:v>
                </c:pt>
                <c:pt idx="21">
                  <c:v>1.386445089395754</c:v>
                </c:pt>
                <c:pt idx="22">
                  <c:v>1.463858775471721</c:v>
                </c:pt>
                <c:pt idx="23">
                  <c:v>1.540018979123448</c:v>
                </c:pt>
                <c:pt idx="24">
                  <c:v>1.602827703127791</c:v>
                </c:pt>
                <c:pt idx="25">
                  <c:v>1.666187016415885</c:v>
                </c:pt>
                <c:pt idx="26">
                  <c:v>1.733303803389065</c:v>
                </c:pt>
                <c:pt idx="27">
                  <c:v>1.80426563514815</c:v>
                </c:pt>
                <c:pt idx="28">
                  <c:v>1.879685424068068</c:v>
                </c:pt>
                <c:pt idx="29">
                  <c:v>1.96203551149343</c:v>
                </c:pt>
                <c:pt idx="30">
                  <c:v>2.046562373792395</c:v>
                </c:pt>
                <c:pt idx="31">
                  <c:v>2.133247799117705</c:v>
                </c:pt>
                <c:pt idx="32">
                  <c:v>2.22430578089705</c:v>
                </c:pt>
                <c:pt idx="33">
                  <c:v>2.317478449042904</c:v>
                </c:pt>
                <c:pt idx="34">
                  <c:v>2.415864785509293</c:v>
                </c:pt>
                <c:pt idx="35">
                  <c:v>2.522552243057891</c:v>
                </c:pt>
                <c:pt idx="36">
                  <c:v>2.646689548127606</c:v>
                </c:pt>
                <c:pt idx="37">
                  <c:v>2.786824776955195</c:v>
                </c:pt>
                <c:pt idx="38">
                  <c:v>2.932616858372595</c:v>
                </c:pt>
                <c:pt idx="39">
                  <c:v>3.086157168555013</c:v>
                </c:pt>
                <c:pt idx="40">
                  <c:v>3.25238957807098</c:v>
                </c:pt>
                <c:pt idx="41">
                  <c:v>3.437398502199795</c:v>
                </c:pt>
                <c:pt idx="42">
                  <c:v>3.683205141849362</c:v>
                </c:pt>
                <c:pt idx="43">
                  <c:v>3.956297643094907</c:v>
                </c:pt>
                <c:pt idx="44">
                  <c:v>4.208997386130515</c:v>
                </c:pt>
                <c:pt idx="45">
                  <c:v>4.472060002881303</c:v>
                </c:pt>
                <c:pt idx="46">
                  <c:v>4.743441687060693</c:v>
                </c:pt>
                <c:pt idx="47">
                  <c:v>5.01097304180189</c:v>
                </c:pt>
                <c:pt idx="48">
                  <c:v>5.285887101426614</c:v>
                </c:pt>
                <c:pt idx="49">
                  <c:v>5.574534721568508</c:v>
                </c:pt>
                <c:pt idx="50">
                  <c:v>5.883261120288615</c:v>
                </c:pt>
                <c:pt idx="51">
                  <c:v>6.236680893616704</c:v>
                </c:pt>
                <c:pt idx="52">
                  <c:v>6.607733346137072</c:v>
                </c:pt>
                <c:pt idx="53">
                  <c:v>6.955648940504406</c:v>
                </c:pt>
                <c:pt idx="54">
                  <c:v>7.284148127708285</c:v>
                </c:pt>
                <c:pt idx="55">
                  <c:v>7.605716396423747</c:v>
                </c:pt>
                <c:pt idx="56">
                  <c:v>7.89747188024313</c:v>
                </c:pt>
                <c:pt idx="57">
                  <c:v>8.148814815160715</c:v>
                </c:pt>
                <c:pt idx="58">
                  <c:v>8.37549215569946</c:v>
                </c:pt>
                <c:pt idx="59">
                  <c:v>8.584791808791294</c:v>
                </c:pt>
                <c:pt idx="60">
                  <c:v>8.799202998694667</c:v>
                </c:pt>
                <c:pt idx="61">
                  <c:v>9.023650663862335</c:v>
                </c:pt>
                <c:pt idx="62">
                  <c:v>9.247334074180138</c:v>
                </c:pt>
                <c:pt idx="63">
                  <c:v>9.466485941060486</c:v>
                </c:pt>
                <c:pt idx="64">
                  <c:v>9.674172684333541</c:v>
                </c:pt>
                <c:pt idx="65">
                  <c:v>9.86318689294283</c:v>
                </c:pt>
                <c:pt idx="66">
                  <c:v>10.03161760454886</c:v>
                </c:pt>
                <c:pt idx="67">
                  <c:v>10.18159497628637</c:v>
                </c:pt>
                <c:pt idx="68">
                  <c:v>10.31928833347532</c:v>
                </c:pt>
                <c:pt idx="69">
                  <c:v>10.44802787597215</c:v>
                </c:pt>
                <c:pt idx="70">
                  <c:v>10.56579336925458</c:v>
                </c:pt>
                <c:pt idx="71">
                  <c:v>10.67908195519095</c:v>
                </c:pt>
                <c:pt idx="72">
                  <c:v>10.78904034127089</c:v>
                </c:pt>
                <c:pt idx="73">
                  <c:v>10.89512216658044</c:v>
                </c:pt>
                <c:pt idx="74">
                  <c:v>10.99781915594217</c:v>
                </c:pt>
                <c:pt idx="75">
                  <c:v>11.09953334608846</c:v>
                </c:pt>
                <c:pt idx="76">
                  <c:v>11.209437096077</c:v>
                </c:pt>
                <c:pt idx="77">
                  <c:v>11.31786697245721</c:v>
                </c:pt>
                <c:pt idx="78">
                  <c:v>11.42100040012043</c:v>
                </c:pt>
                <c:pt idx="79">
                  <c:v>11.52178577671301</c:v>
                </c:pt>
                <c:pt idx="80">
                  <c:v>11.6220800789127</c:v>
                </c:pt>
                <c:pt idx="81">
                  <c:v>11.72417607126909</c:v>
                </c:pt>
                <c:pt idx="82">
                  <c:v>11.82550780877561</c:v>
                </c:pt>
                <c:pt idx="83">
                  <c:v>11.92700345455632</c:v>
                </c:pt>
                <c:pt idx="84">
                  <c:v>12.02773484548716</c:v>
                </c:pt>
                <c:pt idx="85">
                  <c:v>12.12579101922865</c:v>
                </c:pt>
                <c:pt idx="86">
                  <c:v>12.21937028562407</c:v>
                </c:pt>
                <c:pt idx="87">
                  <c:v>12.31234920544382</c:v>
                </c:pt>
                <c:pt idx="88">
                  <c:v>12.42454571998196</c:v>
                </c:pt>
                <c:pt idx="89">
                  <c:v>12.53646905406312</c:v>
                </c:pt>
                <c:pt idx="90">
                  <c:v>12.62846452423776</c:v>
                </c:pt>
                <c:pt idx="91">
                  <c:v>12.71876757643849</c:v>
                </c:pt>
                <c:pt idx="92">
                  <c:v>12.80661395581544</c:v>
                </c:pt>
                <c:pt idx="93">
                  <c:v>12.89052913833061</c:v>
                </c:pt>
                <c:pt idx="94">
                  <c:v>12.97127802926354</c:v>
                </c:pt>
                <c:pt idx="95">
                  <c:v>13.05115339316381</c:v>
                </c:pt>
                <c:pt idx="96">
                  <c:v>13.1363816634435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482952"/>
        <c:axId val="2108932520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44654.0</c:v>
                </c:pt>
                <c:pt idx="1">
                  <c:v>47937.0</c:v>
                </c:pt>
                <c:pt idx="2">
                  <c:v>44401.0</c:v>
                </c:pt>
                <c:pt idx="3">
                  <c:v>4627.0</c:v>
                </c:pt>
                <c:pt idx="4">
                  <c:v>5412.0</c:v>
                </c:pt>
                <c:pt idx="5">
                  <c:v>5503.0</c:v>
                </c:pt>
                <c:pt idx="6">
                  <c:v>5838.0</c:v>
                </c:pt>
                <c:pt idx="7">
                  <c:v>6864.0</c:v>
                </c:pt>
                <c:pt idx="8">
                  <c:v>6797.0</c:v>
                </c:pt>
                <c:pt idx="9">
                  <c:v>7936.0</c:v>
                </c:pt>
              </c:numCache>
            </c:numRef>
          </c:yVal>
          <c:smooth val="0"/>
        </c:ser>
        <c:ser>
          <c:idx val="5"/>
          <c:order val="8"/>
          <c:tx>
            <c:v>0D 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5.44133936696422E-17</c:v>
                  </c:pt>
                  <c:pt idx="7">
                    <c:v>5.44133936696422E-17</c:v>
                  </c:pt>
                  <c:pt idx="8">
                    <c:v>5.44133936696422E-17</c:v>
                  </c:pt>
                  <c:pt idx="9">
                    <c:v>5.44133936696422E-17</c:v>
                  </c:pt>
                  <c:pt idx="10">
                    <c:v>5.44133936696422E-17</c:v>
                  </c:pt>
                  <c:pt idx="11">
                    <c:v>5.44133936696422E-17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0.016007</c:v>
                  </c:pt>
                  <c:pt idx="15">
                    <c:v>0.340689733037263</c:v>
                  </c:pt>
                  <c:pt idx="16">
                    <c:v>0.0113186582464531</c:v>
                  </c:pt>
                </c:numCache>
              </c:numRef>
            </c:plus>
            <c:minus>
              <c:numRef>
                <c:f>OD600nm!$J$4:$J$20</c:f>
                <c:numCache>
                  <c:formatCode>General</c:formatCode>
                  <c:ptCount val="1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5.44133936696422E-17</c:v>
                  </c:pt>
                  <c:pt idx="7">
                    <c:v>5.44133936696422E-17</c:v>
                  </c:pt>
                  <c:pt idx="8">
                    <c:v>5.44133936696422E-17</c:v>
                  </c:pt>
                  <c:pt idx="9">
                    <c:v>5.44133936696422E-17</c:v>
                  </c:pt>
                  <c:pt idx="10">
                    <c:v>5.44133936696422E-17</c:v>
                  </c:pt>
                  <c:pt idx="11">
                    <c:v>5.44133936696422E-17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0.016007</c:v>
                  </c:pt>
                  <c:pt idx="15">
                    <c:v>0.340689733037263</c:v>
                  </c:pt>
                  <c:pt idx="16">
                    <c:v>0.0113186582464531</c:v>
                  </c:pt>
                </c:numCache>
              </c:numRef>
            </c:minus>
          </c:errBars>
          <c:xVal>
            <c:numRef>
              <c:f>OD600nm!$D$4:$D$20</c:f>
              <c:numCache>
                <c:formatCode>0</c:formatCode>
                <c:ptCount val="17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8.916666666666666</c:v>
                </c:pt>
                <c:pt idx="7">
                  <c:v>10.33333333333333</c:v>
                </c:pt>
                <c:pt idx="8">
                  <c:v>11.33333333333333</c:v>
                </c:pt>
                <c:pt idx="9">
                  <c:v>12.66666666666667</c:v>
                </c:pt>
                <c:pt idx="10">
                  <c:v>14.0</c:v>
                </c:pt>
                <c:pt idx="11">
                  <c:v>15.33333333333333</c:v>
                </c:pt>
                <c:pt idx="12">
                  <c:v>16.66666666666667</c:v>
                </c:pt>
                <c:pt idx="13">
                  <c:v>18.0</c:v>
                </c:pt>
                <c:pt idx="14">
                  <c:v>24.0</c:v>
                </c:pt>
                <c:pt idx="15">
                  <c:v>29.91666666666667</c:v>
                </c:pt>
                <c:pt idx="16">
                  <c:v>48.0</c:v>
                </c:pt>
              </c:numCache>
            </c:numRef>
          </c:xVal>
          <c:yVal>
            <c:numRef>
              <c:f>OD600nm!$I$4:$I$20</c:f>
              <c:numCache>
                <c:formatCode>0.000</c:formatCode>
                <c:ptCount val="17"/>
                <c:pt idx="0">
                  <c:v>0.2235029</c:v>
                </c:pt>
                <c:pt idx="1">
                  <c:v>0.2058952</c:v>
                </c:pt>
                <c:pt idx="2">
                  <c:v>0.212298</c:v>
                </c:pt>
                <c:pt idx="3">
                  <c:v>0.228305</c:v>
                </c:pt>
                <c:pt idx="4">
                  <c:v>0.2427113</c:v>
                </c:pt>
                <c:pt idx="5">
                  <c:v>0.2619197</c:v>
                </c:pt>
                <c:pt idx="6">
                  <c:v>0.2747253</c:v>
                </c:pt>
                <c:pt idx="7">
                  <c:v>0.2891316</c:v>
                </c:pt>
                <c:pt idx="8">
                  <c:v>0.2907323</c:v>
                </c:pt>
                <c:pt idx="9">
                  <c:v>0.2907323</c:v>
                </c:pt>
                <c:pt idx="10">
                  <c:v>0.2939337</c:v>
                </c:pt>
                <c:pt idx="11">
                  <c:v>0.2971351</c:v>
                </c:pt>
                <c:pt idx="12">
                  <c:v>0.3195449</c:v>
                </c:pt>
                <c:pt idx="13">
                  <c:v>0.3387533</c:v>
                </c:pt>
                <c:pt idx="14">
                  <c:v>0.698357</c:v>
                </c:pt>
                <c:pt idx="15">
                  <c:v>1.610756</c:v>
                </c:pt>
                <c:pt idx="16">
                  <c:v>1.1225425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642952"/>
        <c:axId val="2078278088"/>
      </c:scatterChart>
      <c:valAx>
        <c:axId val="2078482952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08932520"/>
        <c:crosses val="autoZero"/>
        <c:crossBetween val="midCat"/>
        <c:majorUnit val="6.0"/>
      </c:valAx>
      <c:valAx>
        <c:axId val="2108932520"/>
        <c:scaling>
          <c:orientation val="minMax"/>
          <c:max val="6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78482952"/>
        <c:crosses val="autoZero"/>
        <c:crossBetween val="midCat"/>
      </c:valAx>
      <c:valAx>
        <c:axId val="2078278088"/>
        <c:scaling>
          <c:orientation val="minMax"/>
          <c:max val="2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kern="1200" baseline="0">
                    <a:solidFill>
                      <a:srgbClr val="000000"/>
                    </a:solidFill>
                    <a:effectLst/>
                  </a:rPr>
                  <a:t>cell growth (OD 600 nm)</a:t>
                </a:r>
                <a:endParaRPr lang="en-US" sz="1050">
                  <a:effectLst/>
                </a:endParaRP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071642952"/>
        <c:crosses val="max"/>
        <c:crossBetween val="midCat"/>
        <c:minorUnit val="0.2"/>
      </c:valAx>
      <c:valAx>
        <c:axId val="2071642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7827808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73100" y="3733800"/>
    <xdr:ext cx="9296400" cy="6070600"/>
    <xdr:graphicFrame macro="">
      <xdr:nvGraphicFramePr>
        <xdr:cNvPr id="3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73100" y="10312400"/>
    <xdr:ext cx="9296400" cy="6070600"/>
    <xdr:graphicFrame macro="">
      <xdr:nvGraphicFramePr>
        <xdr:cNvPr id="4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29" sqref="B29"/>
    </sheetView>
  </sheetViews>
  <sheetFormatPr baseColWidth="10" defaultColWidth="8.83203125" defaultRowHeight="14" x14ac:dyDescent="0"/>
  <cols>
    <col min="1" max="1" width="22.5" style="2" bestFit="1" customWidth="1"/>
    <col min="2" max="2" width="13.6640625" style="2" bestFit="1" customWidth="1"/>
    <col min="3" max="3" width="26.5" style="2" bestFit="1" customWidth="1"/>
    <col min="4" max="16384" width="8.83203125" style="2"/>
  </cols>
  <sheetData>
    <row r="1" spans="1:3">
      <c r="A1" s="83" t="s">
        <v>0</v>
      </c>
      <c r="B1" s="84"/>
      <c r="C1" s="69">
        <v>41850</v>
      </c>
    </row>
    <row r="2" spans="1:3" ht="16">
      <c r="A2" s="83" t="s">
        <v>1</v>
      </c>
      <c r="B2" s="85"/>
      <c r="C2" s="30" t="s">
        <v>135</v>
      </c>
    </row>
    <row r="3" spans="1:3">
      <c r="A3" s="10"/>
      <c r="B3" s="10"/>
      <c r="C3" s="9"/>
    </row>
    <row r="4" spans="1:3">
      <c r="A4" s="86" t="s">
        <v>48</v>
      </c>
      <c r="B4" s="86"/>
      <c r="C4" s="30" t="s">
        <v>94</v>
      </c>
    </row>
    <row r="6" spans="1:3">
      <c r="A6" s="64" t="s">
        <v>82</v>
      </c>
      <c r="B6" s="64" t="s">
        <v>83</v>
      </c>
      <c r="C6" s="64" t="s">
        <v>68</v>
      </c>
    </row>
    <row r="7" spans="1:3">
      <c r="A7" s="30" t="s">
        <v>84</v>
      </c>
      <c r="B7" s="43">
        <v>6.5</v>
      </c>
      <c r="C7" s="30" t="s">
        <v>90</v>
      </c>
    </row>
    <row r="8" spans="1:3">
      <c r="A8" s="30" t="s">
        <v>85</v>
      </c>
      <c r="B8" s="43">
        <v>5</v>
      </c>
      <c r="C8" s="30" t="s">
        <v>90</v>
      </c>
    </row>
    <row r="9" spans="1:3">
      <c r="A9" s="30" t="s">
        <v>86</v>
      </c>
      <c r="B9" s="43">
        <v>2.5</v>
      </c>
      <c r="C9" s="30" t="s">
        <v>90</v>
      </c>
    </row>
    <row r="10" spans="1:3">
      <c r="A10" s="30" t="s">
        <v>87</v>
      </c>
      <c r="B10" s="43">
        <v>3</v>
      </c>
      <c r="C10" s="30" t="s">
        <v>90</v>
      </c>
    </row>
    <row r="11" spans="1:3">
      <c r="A11" s="30" t="s">
        <v>142</v>
      </c>
      <c r="B11" s="43">
        <v>0</v>
      </c>
      <c r="C11" s="30" t="s">
        <v>136</v>
      </c>
    </row>
    <row r="12" spans="1:3">
      <c r="A12" s="30" t="s">
        <v>72</v>
      </c>
      <c r="B12" s="43">
        <v>1.5</v>
      </c>
      <c r="C12" s="30" t="s">
        <v>90</v>
      </c>
    </row>
    <row r="13" spans="1:3" ht="16">
      <c r="A13" s="30" t="s">
        <v>76</v>
      </c>
      <c r="B13" s="43">
        <v>1</v>
      </c>
      <c r="C13" s="30" t="s">
        <v>90</v>
      </c>
    </row>
    <row r="14" spans="1:3" ht="16">
      <c r="A14" s="9" t="s">
        <v>75</v>
      </c>
      <c r="B14" s="43">
        <v>1</v>
      </c>
      <c r="C14" s="30" t="s">
        <v>90</v>
      </c>
    </row>
    <row r="15" spans="1:3" ht="16">
      <c r="A15" s="68" t="s">
        <v>134</v>
      </c>
      <c r="B15" s="67">
        <v>2</v>
      </c>
      <c r="C15" s="67" t="s">
        <v>90</v>
      </c>
    </row>
    <row r="16" spans="1:3" ht="16">
      <c r="A16" s="30" t="s">
        <v>95</v>
      </c>
      <c r="B16" s="43">
        <v>1</v>
      </c>
      <c r="C16" s="30" t="s">
        <v>90</v>
      </c>
    </row>
    <row r="17" spans="1:3" ht="16">
      <c r="A17" s="30" t="s">
        <v>96</v>
      </c>
      <c r="B17" s="43">
        <v>1</v>
      </c>
      <c r="C17" s="30" t="s">
        <v>90</v>
      </c>
    </row>
    <row r="18" spans="1:3" ht="16">
      <c r="A18" s="30" t="s">
        <v>97</v>
      </c>
      <c r="B18" s="43">
        <v>0.4</v>
      </c>
      <c r="C18" s="30" t="s">
        <v>90</v>
      </c>
    </row>
    <row r="19" spans="1:3" ht="16">
      <c r="A19" s="30" t="s">
        <v>74</v>
      </c>
      <c r="B19" s="43">
        <v>0.2</v>
      </c>
      <c r="C19" s="30" t="s">
        <v>90</v>
      </c>
    </row>
    <row r="20" spans="1:3" ht="16">
      <c r="A20" s="30" t="s">
        <v>98</v>
      </c>
      <c r="B20" s="43">
        <v>0.1</v>
      </c>
      <c r="C20" s="30" t="s">
        <v>90</v>
      </c>
    </row>
    <row r="21" spans="1:3" ht="16">
      <c r="A21" s="30" t="s">
        <v>99</v>
      </c>
      <c r="B21" s="43">
        <v>0.05</v>
      </c>
      <c r="C21" s="30" t="s">
        <v>90</v>
      </c>
    </row>
    <row r="22" spans="1:3" ht="16">
      <c r="A22" s="30" t="s">
        <v>100</v>
      </c>
      <c r="B22" s="30">
        <v>5.0000000000000001E-3</v>
      </c>
      <c r="C22" s="30" t="s">
        <v>90</v>
      </c>
    </row>
    <row r="23" spans="1:3" ht="16">
      <c r="A23" s="30" t="s">
        <v>101</v>
      </c>
      <c r="B23" s="30">
        <v>5.0000000000000001E-3</v>
      </c>
      <c r="C23" s="30" t="s">
        <v>90</v>
      </c>
    </row>
    <row r="24" spans="1:3">
      <c r="A24" s="30" t="s">
        <v>88</v>
      </c>
      <c r="B24" s="30">
        <v>5.0000000000000001E-3</v>
      </c>
      <c r="C24" s="30" t="s">
        <v>90</v>
      </c>
    </row>
    <row r="25" spans="1:3">
      <c r="A25" s="30" t="s">
        <v>89</v>
      </c>
      <c r="B25" s="30">
        <v>5.0000000000000001E-3</v>
      </c>
      <c r="C25" s="30" t="s">
        <v>90</v>
      </c>
    </row>
    <row r="26" spans="1:3">
      <c r="A26" s="30" t="s">
        <v>73</v>
      </c>
      <c r="B26" s="30">
        <v>1E-3</v>
      </c>
      <c r="C26" s="30" t="s">
        <v>131</v>
      </c>
    </row>
    <row r="27" spans="1:3">
      <c r="A27" s="30" t="s">
        <v>91</v>
      </c>
      <c r="B27" s="30" t="s">
        <v>90</v>
      </c>
      <c r="C27" s="30" t="s">
        <v>92</v>
      </c>
    </row>
    <row r="28" spans="1:3">
      <c r="A28" s="30" t="s">
        <v>93</v>
      </c>
      <c r="B28" s="30" t="s">
        <v>90</v>
      </c>
      <c r="C28" s="30" t="s">
        <v>92</v>
      </c>
    </row>
    <row r="29" spans="1:3" ht="28">
      <c r="A29" s="66" t="s">
        <v>137</v>
      </c>
      <c r="B29" s="80">
        <v>9</v>
      </c>
      <c r="C29" s="65" t="s">
        <v>138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60</v>
      </c>
    </row>
    <row r="2" spans="1:8">
      <c r="A2" s="27" t="s">
        <v>128</v>
      </c>
      <c r="B2" s="16">
        <v>180.16</v>
      </c>
    </row>
    <row r="4" spans="1:8">
      <c r="A4" s="104" t="s">
        <v>129</v>
      </c>
      <c r="B4" s="105"/>
      <c r="C4" s="105"/>
      <c r="D4" s="105"/>
      <c r="E4" s="105"/>
      <c r="F4" s="105"/>
      <c r="G4" s="105"/>
      <c r="H4" s="106"/>
    </row>
    <row r="5" spans="1:8">
      <c r="A5" s="107" t="s">
        <v>61</v>
      </c>
      <c r="B5" s="105"/>
      <c r="C5" s="106"/>
      <c r="D5" s="108" t="s">
        <v>44</v>
      </c>
      <c r="E5" s="108" t="s">
        <v>45</v>
      </c>
      <c r="F5" s="108" t="s">
        <v>46</v>
      </c>
      <c r="G5" s="110" t="s">
        <v>62</v>
      </c>
      <c r="H5" s="110" t="s">
        <v>63</v>
      </c>
    </row>
    <row r="6" spans="1:8">
      <c r="A6" s="28" t="s">
        <v>4</v>
      </c>
      <c r="B6" s="28" t="s">
        <v>5</v>
      </c>
      <c r="C6" s="28" t="s">
        <v>19</v>
      </c>
      <c r="D6" s="109"/>
      <c r="E6" s="109"/>
      <c r="F6" s="109"/>
      <c r="G6" s="111"/>
      <c r="H6" s="111"/>
    </row>
    <row r="7" spans="1:8">
      <c r="A7" s="49" t="s">
        <v>6</v>
      </c>
      <c r="B7" s="62">
        <v>-0.16666666666666666</v>
      </c>
      <c r="C7" s="50">
        <v>2</v>
      </c>
      <c r="D7" s="70">
        <v>4.2770000000000001</v>
      </c>
      <c r="E7" s="18">
        <v>4.8</v>
      </c>
      <c r="F7" s="18">
        <v>4.7489999999999997</v>
      </c>
      <c r="G7" s="18">
        <f>(C7*1000*AVERAGE(D7:F7)/$B$2)</f>
        <v>51.161930136175258</v>
      </c>
      <c r="H7" s="18">
        <f>(C7*1000*STDEV(D7:F7))/$B$2</f>
        <v>3.2011707702305818</v>
      </c>
    </row>
    <row r="8" spans="1:8">
      <c r="A8" s="51">
        <v>0</v>
      </c>
      <c r="B8" s="62">
        <v>0.16666666666666666</v>
      </c>
      <c r="C8" s="50">
        <v>2</v>
      </c>
      <c r="D8" s="74">
        <v>4.6109999999999998</v>
      </c>
      <c r="E8" s="18">
        <v>4.6239999999999997</v>
      </c>
      <c r="F8" s="18">
        <v>4.5069999999999997</v>
      </c>
      <c r="G8" s="18">
        <f t="shared" ref="G8:G17" si="0">(C8*1000*AVERAGE(D8:F8))/$B$2</f>
        <v>50.851095322676144</v>
      </c>
      <c r="H8" s="18">
        <f t="shared" ref="H8:H17" si="1">(C8*1000*STDEV(D8:F8))/$B$2</f>
        <v>0.71189472924190988</v>
      </c>
    </row>
    <row r="9" spans="1:8">
      <c r="A9" s="51">
        <v>1</v>
      </c>
      <c r="B9" s="62">
        <v>2</v>
      </c>
      <c r="C9" s="50">
        <v>2</v>
      </c>
      <c r="D9" s="74">
        <v>4.6459999999999999</v>
      </c>
      <c r="E9" s="18">
        <v>4.5890000000000004</v>
      </c>
      <c r="F9" s="18">
        <v>4.6120000000000001</v>
      </c>
      <c r="G9" s="18">
        <f t="shared" si="0"/>
        <v>51.239638839550032</v>
      </c>
      <c r="H9" s="18">
        <f t="shared" si="1"/>
        <v>0.31834319440501679</v>
      </c>
    </row>
    <row r="10" spans="1:8">
      <c r="A10" s="51">
        <v>2</v>
      </c>
      <c r="B10" s="62">
        <v>3.3333333333333335</v>
      </c>
      <c r="C10" s="50">
        <v>2</v>
      </c>
      <c r="D10" s="74">
        <v>4.601</v>
      </c>
      <c r="E10" s="18">
        <v>4.5869999999999997</v>
      </c>
      <c r="F10" s="18">
        <v>4.5359999999999996</v>
      </c>
      <c r="G10" s="18">
        <f t="shared" si="0"/>
        <v>50.78448786264061</v>
      </c>
      <c r="H10" s="18">
        <f t="shared" si="1"/>
        <v>0.37977503275453062</v>
      </c>
    </row>
    <row r="11" spans="1:8">
      <c r="A11" s="51">
        <v>3</v>
      </c>
      <c r="B11" s="62">
        <v>4.666666666666667</v>
      </c>
      <c r="C11" s="50">
        <v>2</v>
      </c>
      <c r="D11" s="74">
        <v>4.6429999999999998</v>
      </c>
      <c r="E11" s="18">
        <v>4.5759999999999996</v>
      </c>
      <c r="F11" s="18">
        <v>4.585</v>
      </c>
      <c r="G11" s="18">
        <f t="shared" si="0"/>
        <v>51.080521018354055</v>
      </c>
      <c r="H11" s="18">
        <f t="shared" si="1"/>
        <v>0.40368451947363282</v>
      </c>
    </row>
    <row r="12" spans="1:8">
      <c r="A12" s="51">
        <v>4</v>
      </c>
      <c r="B12" s="62">
        <v>6</v>
      </c>
      <c r="C12" s="50">
        <v>2</v>
      </c>
      <c r="D12" s="74">
        <v>4.6520000000000001</v>
      </c>
      <c r="E12" s="18">
        <v>4.5410000000000004</v>
      </c>
      <c r="F12" s="18">
        <v>4.548</v>
      </c>
      <c r="G12" s="18">
        <f t="shared" si="0"/>
        <v>50.847394908229731</v>
      </c>
      <c r="H12" s="18">
        <f t="shared" si="1"/>
        <v>0.69009505128672888</v>
      </c>
    </row>
    <row r="13" spans="1:8">
      <c r="A13" s="51">
        <v>5</v>
      </c>
      <c r="B13" s="62">
        <v>7.333333333333333</v>
      </c>
      <c r="C13" s="50">
        <v>2</v>
      </c>
      <c r="D13" s="74">
        <v>4.556</v>
      </c>
      <c r="E13" s="18">
        <v>4.6589999999999998</v>
      </c>
      <c r="F13" s="18">
        <v>4.6020000000000003</v>
      </c>
      <c r="G13" s="18">
        <f t="shared" si="0"/>
        <v>51.128626406157494</v>
      </c>
      <c r="H13" s="18">
        <f t="shared" si="1"/>
        <v>0.57279977321074405</v>
      </c>
    </row>
    <row r="14" spans="1:8">
      <c r="A14" s="51">
        <v>6</v>
      </c>
      <c r="B14" s="62">
        <v>8.9166666666666661</v>
      </c>
      <c r="C14" s="50">
        <v>2</v>
      </c>
      <c r="D14" s="74">
        <v>4.4850000000000003</v>
      </c>
      <c r="E14" s="18">
        <v>4.5999999999999996</v>
      </c>
      <c r="F14" s="18">
        <v>4.5659999999999998</v>
      </c>
      <c r="G14" s="18">
        <f t="shared" si="0"/>
        <v>50.514357608052109</v>
      </c>
      <c r="H14" s="18">
        <f t="shared" si="1"/>
        <v>0.65585083367722163</v>
      </c>
    </row>
    <row r="15" spans="1:8">
      <c r="A15" s="51">
        <v>7</v>
      </c>
      <c r="B15" s="62">
        <v>10.333333333333334</v>
      </c>
      <c r="C15" s="50">
        <v>2</v>
      </c>
      <c r="D15" s="74">
        <v>4.7080000000000002</v>
      </c>
      <c r="E15" s="18">
        <v>4.6440000000000001</v>
      </c>
      <c r="F15" s="18">
        <v>4.67</v>
      </c>
      <c r="G15" s="18">
        <f t="shared" si="0"/>
        <v>51.887211367673181</v>
      </c>
      <c r="H15" s="18">
        <f t="shared" si="1"/>
        <v>0.35731520735859462</v>
      </c>
    </row>
    <row r="16" spans="1:8">
      <c r="A16" s="51">
        <v>8</v>
      </c>
      <c r="B16" s="62">
        <v>11.333333333333334</v>
      </c>
      <c r="C16" s="50">
        <v>2</v>
      </c>
      <c r="D16" s="74">
        <v>4.6040000000000001</v>
      </c>
      <c r="E16" s="18">
        <v>4.6520000000000001</v>
      </c>
      <c r="F16" s="18">
        <v>4.5949999999999998</v>
      </c>
      <c r="G16" s="18">
        <f t="shared" si="0"/>
        <v>51.2544404973357</v>
      </c>
      <c r="H16" s="18">
        <f t="shared" si="1"/>
        <v>0.34017658627985431</v>
      </c>
    </row>
    <row r="17" spans="1:8">
      <c r="A17" s="51">
        <v>9</v>
      </c>
      <c r="B17" s="62">
        <v>12.666666666666666</v>
      </c>
      <c r="C17" s="50">
        <v>2</v>
      </c>
      <c r="D17" s="74">
        <v>4.5010000000000003</v>
      </c>
      <c r="E17" s="18">
        <v>4.6520000000000001</v>
      </c>
      <c r="F17" s="18">
        <v>4.6790000000000003</v>
      </c>
      <c r="G17" s="18">
        <f t="shared" si="0"/>
        <v>51.184132622853767</v>
      </c>
      <c r="H17" s="18">
        <f t="shared" si="1"/>
        <v>1.0649288747329684</v>
      </c>
    </row>
    <row r="18" spans="1:8">
      <c r="A18" s="51">
        <v>10</v>
      </c>
      <c r="B18" s="62">
        <v>14</v>
      </c>
      <c r="C18" s="50">
        <v>2</v>
      </c>
      <c r="D18" s="74">
        <v>4.5659999999999998</v>
      </c>
      <c r="E18" s="18">
        <v>4.6210000000000004</v>
      </c>
      <c r="F18" s="18">
        <v>4.5940000000000003</v>
      </c>
      <c r="G18" s="18">
        <f t="shared" ref="G18:G23" si="2">(C18*1000*AVERAGE(D18:F18))/$B$2</f>
        <v>50.995411486086454</v>
      </c>
      <c r="H18" s="18">
        <f t="shared" ref="H18:H23" si="3">(C18*1000*STDEV(D18:F18))/$B$2</f>
        <v>0.30530101143181665</v>
      </c>
    </row>
    <row r="19" spans="1:8">
      <c r="A19" s="51">
        <v>11</v>
      </c>
      <c r="B19" s="62">
        <v>15.333333333333334</v>
      </c>
      <c r="C19" s="50">
        <v>2</v>
      </c>
      <c r="D19" s="74">
        <v>4.5890000000000004</v>
      </c>
      <c r="E19" s="18">
        <v>4.694</v>
      </c>
      <c r="F19" s="18">
        <v>4.6749999999999998</v>
      </c>
      <c r="G19" s="18">
        <f t="shared" si="2"/>
        <v>51.650384843102444</v>
      </c>
      <c r="H19" s="18">
        <f t="shared" si="3"/>
        <v>0.6211077029881924</v>
      </c>
    </row>
    <row r="20" spans="1:8">
      <c r="A20" s="51">
        <v>12</v>
      </c>
      <c r="B20" s="62">
        <v>16.666666666666668</v>
      </c>
      <c r="C20" s="50">
        <v>2</v>
      </c>
      <c r="D20" s="74">
        <v>4.5199999999999996</v>
      </c>
      <c r="E20" s="18">
        <v>4.5510000000000002</v>
      </c>
      <c r="F20" s="18">
        <v>4.51</v>
      </c>
      <c r="G20" s="18">
        <f t="shared" si="2"/>
        <v>50.25532859680284</v>
      </c>
      <c r="H20" s="18">
        <f t="shared" si="3"/>
        <v>0.23731747698081918</v>
      </c>
    </row>
    <row r="21" spans="1:8">
      <c r="A21" s="51">
        <v>13</v>
      </c>
      <c r="B21" s="62">
        <v>18</v>
      </c>
      <c r="C21" s="50">
        <v>2</v>
      </c>
      <c r="D21" s="74">
        <v>4.5439999999999996</v>
      </c>
      <c r="E21" s="18">
        <v>4.5170000000000003</v>
      </c>
      <c r="F21" s="18">
        <v>4.5570000000000004</v>
      </c>
      <c r="G21" s="18">
        <f t="shared" si="2"/>
        <v>50.392243931320309</v>
      </c>
      <c r="H21" s="18">
        <f t="shared" si="3"/>
        <v>0.22651252135587382</v>
      </c>
    </row>
    <row r="22" spans="1:8">
      <c r="A22" s="51">
        <v>14</v>
      </c>
      <c r="B22" s="62">
        <v>24</v>
      </c>
      <c r="C22" s="50">
        <v>2</v>
      </c>
      <c r="D22" s="74">
        <v>3.3769999999999998</v>
      </c>
      <c r="E22" s="70">
        <v>3.4540000000000002</v>
      </c>
      <c r="F22" s="70">
        <v>3.492</v>
      </c>
      <c r="G22" s="18">
        <f t="shared" si="2"/>
        <v>38.199378330373008</v>
      </c>
      <c r="H22" s="18">
        <f t="shared" si="3"/>
        <v>0.65044192163811221</v>
      </c>
    </row>
    <row r="23" spans="1:8">
      <c r="A23" s="51">
        <v>15</v>
      </c>
      <c r="B23" s="62">
        <v>29.916666666666668</v>
      </c>
      <c r="C23" s="50">
        <v>2</v>
      </c>
      <c r="D23" s="74">
        <v>3.72</v>
      </c>
      <c r="E23" s="70">
        <v>3.81</v>
      </c>
      <c r="F23" s="70">
        <v>3.7509999999999999</v>
      </c>
      <c r="G23" s="18">
        <f t="shared" si="2"/>
        <v>41.744375370041446</v>
      </c>
      <c r="H23" s="18">
        <f t="shared" si="3"/>
        <v>0.5075506584439109</v>
      </c>
    </row>
    <row r="24" spans="1:8">
      <c r="A24" s="51">
        <v>16</v>
      </c>
      <c r="B24" s="62">
        <v>48</v>
      </c>
      <c r="C24" s="50">
        <v>2</v>
      </c>
      <c r="D24" s="74">
        <v>3.0110000000000001</v>
      </c>
      <c r="E24" s="70">
        <v>3.0150000000000001</v>
      </c>
      <c r="F24" s="70">
        <v>3.0459999999999998</v>
      </c>
      <c r="G24" s="18">
        <f>(C24*1000*AVERAGE(D24:F24))/$B$2</f>
        <v>33.570159857904081</v>
      </c>
      <c r="H24" s="18">
        <f>(C24*1000*STDEV(D24:F24))/$B$2</f>
        <v>0.21266922802695207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topLeftCell="A2" workbookViewId="0">
      <selection activeCell="D7" sqref="D7:F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60</v>
      </c>
    </row>
    <row r="2" spans="1:8">
      <c r="A2" s="27" t="s">
        <v>64</v>
      </c>
      <c r="B2" s="16">
        <v>46.03</v>
      </c>
    </row>
    <row r="4" spans="1:8">
      <c r="A4" s="104" t="s">
        <v>64</v>
      </c>
      <c r="B4" s="105"/>
      <c r="C4" s="105"/>
      <c r="D4" s="105"/>
      <c r="E4" s="105"/>
      <c r="F4" s="105"/>
      <c r="G4" s="105"/>
      <c r="H4" s="106"/>
    </row>
    <row r="5" spans="1:8">
      <c r="A5" s="107" t="s">
        <v>61</v>
      </c>
      <c r="B5" s="105"/>
      <c r="C5" s="106"/>
      <c r="D5" s="108" t="s">
        <v>44</v>
      </c>
      <c r="E5" s="108" t="s">
        <v>45</v>
      </c>
      <c r="F5" s="108" t="s">
        <v>46</v>
      </c>
      <c r="G5" s="110" t="s">
        <v>62</v>
      </c>
      <c r="H5" s="110" t="s">
        <v>63</v>
      </c>
    </row>
    <row r="6" spans="1:8">
      <c r="A6" s="28" t="s">
        <v>4</v>
      </c>
      <c r="B6" s="28" t="s">
        <v>59</v>
      </c>
      <c r="C6" s="28" t="s">
        <v>19</v>
      </c>
      <c r="D6" s="109"/>
      <c r="E6" s="109"/>
      <c r="F6" s="109"/>
      <c r="G6" s="111"/>
      <c r="H6" s="111"/>
    </row>
    <row r="7" spans="1:8">
      <c r="A7" s="49" t="s">
        <v>6</v>
      </c>
      <c r="B7" s="62">
        <v>-0.16666666666666666</v>
      </c>
      <c r="C7" s="50">
        <v>2</v>
      </c>
      <c r="D7" s="17">
        <v>0</v>
      </c>
      <c r="E7" s="17">
        <v>0</v>
      </c>
      <c r="F7" s="17">
        <v>0</v>
      </c>
      <c r="G7" s="15">
        <f>(C7*1000*AVERAGE(D7:F7))/$B$2</f>
        <v>0</v>
      </c>
      <c r="H7" s="18">
        <f>(C7*1000*STDEV(D7:F7))/$B$2</f>
        <v>0</v>
      </c>
    </row>
    <row r="8" spans="1:8">
      <c r="A8" s="51">
        <v>0</v>
      </c>
      <c r="B8" s="62">
        <v>0.16666666666666666</v>
      </c>
      <c r="C8" s="50">
        <v>2</v>
      </c>
      <c r="D8" s="17">
        <v>0</v>
      </c>
      <c r="E8" s="17">
        <v>0</v>
      </c>
      <c r="F8" s="17">
        <v>0</v>
      </c>
      <c r="G8" s="15">
        <f t="shared" ref="G8:G17" si="0">(C8*1000*AVERAGE(D8:F8))/$B$2</f>
        <v>0</v>
      </c>
      <c r="H8" s="18">
        <f t="shared" ref="H8:H17" si="1">(C8*1000*STDEV(D8:F8))/$B$2</f>
        <v>0</v>
      </c>
    </row>
    <row r="9" spans="1:8">
      <c r="A9" s="51">
        <v>1</v>
      </c>
      <c r="B9" s="62">
        <v>2</v>
      </c>
      <c r="C9" s="50">
        <v>2</v>
      </c>
      <c r="D9" s="17">
        <v>0</v>
      </c>
      <c r="E9" s="17">
        <v>0</v>
      </c>
      <c r="F9" s="17">
        <v>0</v>
      </c>
      <c r="G9" s="15">
        <f t="shared" si="0"/>
        <v>0</v>
      </c>
      <c r="H9" s="18">
        <f t="shared" si="1"/>
        <v>0</v>
      </c>
    </row>
    <row r="10" spans="1:8">
      <c r="A10" s="51">
        <v>2</v>
      </c>
      <c r="B10" s="62">
        <v>3.3333333333333335</v>
      </c>
      <c r="C10" s="50">
        <v>2</v>
      </c>
      <c r="D10" s="17">
        <v>0</v>
      </c>
      <c r="E10" s="17">
        <v>0</v>
      </c>
      <c r="F10" s="17">
        <v>0</v>
      </c>
      <c r="G10" s="15">
        <f t="shared" si="0"/>
        <v>0</v>
      </c>
      <c r="H10" s="18">
        <f t="shared" si="1"/>
        <v>0</v>
      </c>
    </row>
    <row r="11" spans="1:8">
      <c r="A11" s="51">
        <v>3</v>
      </c>
      <c r="B11" s="62">
        <v>4.666666666666667</v>
      </c>
      <c r="C11" s="50">
        <v>2</v>
      </c>
      <c r="D11" s="17">
        <v>0</v>
      </c>
      <c r="E11" s="17">
        <v>0</v>
      </c>
      <c r="F11" s="17">
        <v>0</v>
      </c>
      <c r="G11" s="15">
        <f t="shared" si="0"/>
        <v>0</v>
      </c>
      <c r="H11" s="18">
        <f t="shared" si="1"/>
        <v>0</v>
      </c>
    </row>
    <row r="12" spans="1:8">
      <c r="A12" s="51">
        <v>4</v>
      </c>
      <c r="B12" s="62">
        <v>6</v>
      </c>
      <c r="C12" s="50">
        <v>2</v>
      </c>
      <c r="D12" s="17">
        <v>0</v>
      </c>
      <c r="E12" s="17">
        <v>0</v>
      </c>
      <c r="F12" s="17">
        <v>0</v>
      </c>
      <c r="G12" s="15">
        <f t="shared" si="0"/>
        <v>0</v>
      </c>
      <c r="H12" s="18">
        <f t="shared" si="1"/>
        <v>0</v>
      </c>
    </row>
    <row r="13" spans="1:8">
      <c r="A13" s="51">
        <v>5</v>
      </c>
      <c r="B13" s="62">
        <v>7.333333333333333</v>
      </c>
      <c r="C13" s="50">
        <v>2</v>
      </c>
      <c r="D13" s="17">
        <v>0</v>
      </c>
      <c r="E13" s="17">
        <v>0</v>
      </c>
      <c r="F13" s="17">
        <v>0</v>
      </c>
      <c r="G13" s="15">
        <f t="shared" si="0"/>
        <v>0</v>
      </c>
      <c r="H13" s="18">
        <f t="shared" si="1"/>
        <v>0</v>
      </c>
    </row>
    <row r="14" spans="1:8">
      <c r="A14" s="51">
        <v>6</v>
      </c>
      <c r="B14" s="62">
        <v>8.9166666666666661</v>
      </c>
      <c r="C14" s="50">
        <v>2</v>
      </c>
      <c r="D14" s="17">
        <v>0</v>
      </c>
      <c r="E14" s="17">
        <v>0</v>
      </c>
      <c r="F14" s="17">
        <v>0</v>
      </c>
      <c r="G14" s="15">
        <f t="shared" si="0"/>
        <v>0</v>
      </c>
      <c r="H14" s="18">
        <f t="shared" si="1"/>
        <v>0</v>
      </c>
    </row>
    <row r="15" spans="1:8">
      <c r="A15" s="51">
        <v>7</v>
      </c>
      <c r="B15" s="62">
        <v>10.333333333333334</v>
      </c>
      <c r="C15" s="50">
        <v>2</v>
      </c>
      <c r="D15" s="17">
        <v>0</v>
      </c>
      <c r="E15" s="17">
        <v>0</v>
      </c>
      <c r="F15" s="17">
        <v>0</v>
      </c>
      <c r="G15" s="15">
        <f t="shared" si="0"/>
        <v>0</v>
      </c>
      <c r="H15" s="18">
        <f t="shared" si="1"/>
        <v>0</v>
      </c>
    </row>
    <row r="16" spans="1:8">
      <c r="A16" s="51">
        <v>8</v>
      </c>
      <c r="B16" s="62">
        <v>11.333333333333334</v>
      </c>
      <c r="C16" s="50">
        <v>2</v>
      </c>
      <c r="D16" s="17">
        <v>0</v>
      </c>
      <c r="E16" s="17">
        <v>0</v>
      </c>
      <c r="F16" s="17">
        <v>0</v>
      </c>
      <c r="G16" s="15">
        <f t="shared" si="0"/>
        <v>0</v>
      </c>
      <c r="H16" s="18">
        <f t="shared" si="1"/>
        <v>0</v>
      </c>
    </row>
    <row r="17" spans="1:8">
      <c r="A17" s="51">
        <v>9</v>
      </c>
      <c r="B17" s="62">
        <v>12.666666666666666</v>
      </c>
      <c r="C17" s="50">
        <v>2</v>
      </c>
      <c r="D17" s="17">
        <v>0</v>
      </c>
      <c r="E17" s="17">
        <v>0</v>
      </c>
      <c r="F17" s="17">
        <v>0</v>
      </c>
      <c r="G17" s="15">
        <f t="shared" si="0"/>
        <v>0</v>
      </c>
      <c r="H17" s="18">
        <f t="shared" si="1"/>
        <v>0</v>
      </c>
    </row>
    <row r="18" spans="1:8">
      <c r="A18" s="51">
        <v>10</v>
      </c>
      <c r="B18" s="62">
        <v>14</v>
      </c>
      <c r="C18" s="50">
        <v>2</v>
      </c>
      <c r="D18" s="17">
        <v>0</v>
      </c>
      <c r="E18" s="17">
        <v>0</v>
      </c>
      <c r="F18" s="17">
        <v>0</v>
      </c>
      <c r="G18" s="15">
        <f t="shared" ref="G18:G23" si="2">(C18*1000*AVERAGE(D18:F18))/$B$2</f>
        <v>0</v>
      </c>
      <c r="H18" s="18">
        <f t="shared" ref="H18:H23" si="3">(C18*1000*STDEV(D18:F18))/$B$2</f>
        <v>0</v>
      </c>
    </row>
    <row r="19" spans="1:8">
      <c r="A19" s="51">
        <v>11</v>
      </c>
      <c r="B19" s="62">
        <v>15.333333333333334</v>
      </c>
      <c r="C19" s="50">
        <v>2</v>
      </c>
      <c r="D19" s="17">
        <v>0</v>
      </c>
      <c r="E19" s="17">
        <v>0</v>
      </c>
      <c r="F19" s="17">
        <v>0</v>
      </c>
      <c r="G19" s="15">
        <f t="shared" si="2"/>
        <v>0</v>
      </c>
      <c r="H19" s="18">
        <f t="shared" si="3"/>
        <v>0</v>
      </c>
    </row>
    <row r="20" spans="1:8">
      <c r="A20" s="51">
        <v>12</v>
      </c>
      <c r="B20" s="62">
        <v>16.666666666666668</v>
      </c>
      <c r="C20" s="50">
        <v>2</v>
      </c>
      <c r="D20" s="17">
        <v>0</v>
      </c>
      <c r="E20" s="17">
        <v>0</v>
      </c>
      <c r="F20" s="17">
        <v>0</v>
      </c>
      <c r="G20" s="15">
        <f t="shared" si="2"/>
        <v>0</v>
      </c>
      <c r="H20" s="18">
        <f t="shared" si="3"/>
        <v>0</v>
      </c>
    </row>
    <row r="21" spans="1:8">
      <c r="A21" s="51">
        <v>13</v>
      </c>
      <c r="B21" s="62">
        <v>18</v>
      </c>
      <c r="C21" s="50">
        <v>2</v>
      </c>
      <c r="D21" s="17">
        <v>0</v>
      </c>
      <c r="E21" s="17">
        <v>0</v>
      </c>
      <c r="F21" s="17">
        <v>0</v>
      </c>
      <c r="G21" s="15">
        <f t="shared" si="2"/>
        <v>0</v>
      </c>
      <c r="H21" s="18">
        <f t="shared" si="3"/>
        <v>0</v>
      </c>
    </row>
    <row r="22" spans="1:8">
      <c r="A22" s="51">
        <v>14</v>
      </c>
      <c r="B22" s="62">
        <v>24</v>
      </c>
      <c r="C22" s="50">
        <v>2</v>
      </c>
      <c r="D22" s="17">
        <v>0</v>
      </c>
      <c r="E22" s="17">
        <v>0</v>
      </c>
      <c r="F22" s="17">
        <v>0</v>
      </c>
      <c r="G22" s="15">
        <f t="shared" si="2"/>
        <v>0</v>
      </c>
      <c r="H22" s="18">
        <f t="shared" si="3"/>
        <v>0</v>
      </c>
    </row>
    <row r="23" spans="1:8">
      <c r="A23" s="51">
        <v>15</v>
      </c>
      <c r="B23" s="62">
        <v>29.916666666666668</v>
      </c>
      <c r="C23" s="50">
        <v>2</v>
      </c>
      <c r="D23" s="17">
        <v>0</v>
      </c>
      <c r="E23" s="17">
        <v>0</v>
      </c>
      <c r="F23" s="17">
        <v>0</v>
      </c>
      <c r="G23" s="15">
        <f t="shared" si="2"/>
        <v>0</v>
      </c>
      <c r="H23" s="18">
        <f t="shared" si="3"/>
        <v>0</v>
      </c>
    </row>
    <row r="24" spans="1:8">
      <c r="A24" s="51">
        <v>16</v>
      </c>
      <c r="B24" s="62">
        <v>48</v>
      </c>
      <c r="C24" s="50">
        <v>2</v>
      </c>
      <c r="D24" s="17">
        <v>0</v>
      </c>
      <c r="E24" s="17">
        <v>0</v>
      </c>
      <c r="F24" s="17">
        <v>0</v>
      </c>
      <c r="G24" s="15">
        <f>(C24*1000*AVERAGE(D24:F24))/$B$2</f>
        <v>0</v>
      </c>
      <c r="H24" s="18">
        <f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0" t="s">
        <v>35</v>
      </c>
      <c r="B1" s="20" t="s">
        <v>60</v>
      </c>
    </row>
    <row r="2" spans="1:8">
      <c r="A2" s="20" t="s">
        <v>42</v>
      </c>
      <c r="B2" s="16">
        <v>60.05</v>
      </c>
    </row>
    <row r="4" spans="1:8">
      <c r="A4" s="104" t="s">
        <v>42</v>
      </c>
      <c r="B4" s="105"/>
      <c r="C4" s="105"/>
      <c r="D4" s="105"/>
      <c r="E4" s="105"/>
      <c r="F4" s="105"/>
      <c r="G4" s="105"/>
      <c r="H4" s="106"/>
    </row>
    <row r="5" spans="1:8">
      <c r="A5" s="107" t="s">
        <v>61</v>
      </c>
      <c r="B5" s="105"/>
      <c r="C5" s="106"/>
      <c r="D5" s="108" t="s">
        <v>44</v>
      </c>
      <c r="E5" s="108" t="s">
        <v>45</v>
      </c>
      <c r="F5" s="108" t="s">
        <v>46</v>
      </c>
      <c r="G5" s="110" t="s">
        <v>62</v>
      </c>
      <c r="H5" s="110" t="s">
        <v>63</v>
      </c>
    </row>
    <row r="6" spans="1:8">
      <c r="A6" s="21" t="s">
        <v>4</v>
      </c>
      <c r="B6" s="21" t="s">
        <v>59</v>
      </c>
      <c r="C6" s="21" t="s">
        <v>19</v>
      </c>
      <c r="D6" s="109"/>
      <c r="E6" s="109"/>
      <c r="F6" s="109"/>
      <c r="G6" s="111"/>
      <c r="H6" s="111"/>
    </row>
    <row r="7" spans="1:8">
      <c r="A7" s="49" t="s">
        <v>6</v>
      </c>
      <c r="B7" s="62">
        <v>-0.16666666666666666</v>
      </c>
      <c r="C7" s="50">
        <v>2</v>
      </c>
      <c r="D7" s="75">
        <v>4.1000000000000002E-2</v>
      </c>
      <c r="E7" s="77">
        <v>4.1000000000000002E-2</v>
      </c>
      <c r="F7" s="77">
        <v>4.3999999999999997E-2</v>
      </c>
      <c r="G7" s="15">
        <f>(C7*1000*AVERAGE(D7:F7))/$B$2</f>
        <v>1.398834304746045</v>
      </c>
      <c r="H7" s="18">
        <f>(C7*1000*STDEV(D7:F7))/$B$2</f>
        <v>5.7686954456915067E-2</v>
      </c>
    </row>
    <row r="8" spans="1:8">
      <c r="A8" s="51">
        <v>0</v>
      </c>
      <c r="B8" s="62">
        <v>0.16666666666666666</v>
      </c>
      <c r="C8" s="50">
        <v>2</v>
      </c>
      <c r="D8" s="76">
        <v>6.4000000000000001E-2</v>
      </c>
      <c r="E8" s="77">
        <v>6.4000000000000001E-2</v>
      </c>
      <c r="F8" s="77">
        <v>6.3E-2</v>
      </c>
      <c r="G8" s="15">
        <f t="shared" ref="G8:G17" si="0">(C8*1000*AVERAGE(D8:F8))/$B$2</f>
        <v>2.1204551762420207</v>
      </c>
      <c r="H8" s="18">
        <f t="shared" ref="H8:H17" si="1">(C8*1000*STDEV(D8:F8))/$B$2</f>
        <v>1.9228984818971735E-2</v>
      </c>
    </row>
    <row r="9" spans="1:8">
      <c r="A9" s="51">
        <v>1</v>
      </c>
      <c r="B9" s="62">
        <v>2</v>
      </c>
      <c r="C9" s="50">
        <v>2</v>
      </c>
      <c r="D9" s="76">
        <v>6.2E-2</v>
      </c>
      <c r="E9" s="77">
        <v>6.4000000000000001E-2</v>
      </c>
      <c r="F9" s="77">
        <v>6.3E-2</v>
      </c>
      <c r="G9" s="15">
        <f t="shared" si="0"/>
        <v>2.0982514571190674</v>
      </c>
      <c r="H9" s="18">
        <f t="shared" si="1"/>
        <v>3.3305578684429675E-2</v>
      </c>
    </row>
    <row r="10" spans="1:8">
      <c r="A10" s="51">
        <v>2</v>
      </c>
      <c r="B10" s="62">
        <v>3.3333333333333335</v>
      </c>
      <c r="C10" s="50">
        <v>2</v>
      </c>
      <c r="D10" s="76">
        <v>6.7000000000000004E-2</v>
      </c>
      <c r="E10" s="77">
        <v>6.4000000000000001E-2</v>
      </c>
      <c r="F10" s="77">
        <v>6.4000000000000001E-2</v>
      </c>
      <c r="G10" s="15">
        <f t="shared" si="0"/>
        <v>2.1648626144879271</v>
      </c>
      <c r="H10" s="18">
        <f t="shared" si="1"/>
        <v>5.7686954456915213E-2</v>
      </c>
    </row>
    <row r="11" spans="1:8">
      <c r="A11" s="51">
        <v>3</v>
      </c>
      <c r="B11" s="62">
        <v>4.666666666666667</v>
      </c>
      <c r="C11" s="50">
        <v>2</v>
      </c>
      <c r="D11" s="76">
        <v>6.7000000000000004E-2</v>
      </c>
      <c r="E11" s="77">
        <v>6.7000000000000004E-2</v>
      </c>
      <c r="F11" s="77">
        <v>6.5000000000000002E-2</v>
      </c>
      <c r="G11" s="15">
        <f t="shared" si="0"/>
        <v>2.2092700527338334</v>
      </c>
      <c r="H11" s="18">
        <f t="shared" si="1"/>
        <v>3.845796963794347E-2</v>
      </c>
    </row>
    <row r="12" spans="1:8">
      <c r="A12" s="51">
        <v>4</v>
      </c>
      <c r="B12" s="62">
        <v>6</v>
      </c>
      <c r="C12" s="50">
        <v>2</v>
      </c>
      <c r="D12" s="76">
        <v>6.8000000000000005E-2</v>
      </c>
      <c r="E12" s="77">
        <v>7.0999999999999994E-2</v>
      </c>
      <c r="F12" s="77">
        <v>6.9000000000000006E-2</v>
      </c>
      <c r="G12" s="15">
        <f t="shared" si="0"/>
        <v>2.3091867887871222</v>
      </c>
      <c r="H12" s="18">
        <f t="shared" si="1"/>
        <v>5.0875111795235323E-2</v>
      </c>
    </row>
    <row r="13" spans="1:8">
      <c r="A13" s="51">
        <v>5</v>
      </c>
      <c r="B13" s="62">
        <v>7.333333333333333</v>
      </c>
      <c r="C13" s="50">
        <v>2</v>
      </c>
      <c r="D13" s="76">
        <v>7.2999999999999995E-2</v>
      </c>
      <c r="E13" s="77">
        <v>7.0999999999999994E-2</v>
      </c>
      <c r="F13" s="77">
        <v>7.0999999999999994E-2</v>
      </c>
      <c r="G13" s="15">
        <f t="shared" si="0"/>
        <v>2.3868998057174573</v>
      </c>
      <c r="H13" s="18">
        <f t="shared" si="1"/>
        <v>3.845796963794347E-2</v>
      </c>
    </row>
    <row r="14" spans="1:8">
      <c r="A14" s="51">
        <v>6</v>
      </c>
      <c r="B14" s="62">
        <v>8.9166666666666661</v>
      </c>
      <c r="C14" s="50">
        <v>2</v>
      </c>
      <c r="D14" s="76">
        <v>7.0999999999999994E-2</v>
      </c>
      <c r="E14" s="77">
        <v>7.4999999999999997E-2</v>
      </c>
      <c r="F14" s="77">
        <v>7.0000000000000007E-2</v>
      </c>
      <c r="G14" s="15">
        <f t="shared" si="0"/>
        <v>2.3980016652789344</v>
      </c>
      <c r="H14" s="18">
        <f t="shared" si="1"/>
        <v>8.8118278470094513E-2</v>
      </c>
    </row>
    <row r="15" spans="1:8">
      <c r="A15" s="51">
        <v>7</v>
      </c>
      <c r="B15" s="62">
        <v>10.333333333333334</v>
      </c>
      <c r="C15" s="50">
        <v>2</v>
      </c>
      <c r="D15" s="76">
        <v>7.9000000000000001E-2</v>
      </c>
      <c r="E15" s="77">
        <v>7.5999999999999998E-2</v>
      </c>
      <c r="F15" s="77">
        <v>0.08</v>
      </c>
      <c r="G15" s="15">
        <f t="shared" si="0"/>
        <v>2.6089369969469884</v>
      </c>
      <c r="H15" s="18">
        <f t="shared" si="1"/>
        <v>6.9331090739921233E-2</v>
      </c>
    </row>
    <row r="16" spans="1:8">
      <c r="A16" s="51">
        <v>8</v>
      </c>
      <c r="B16" s="62">
        <v>11.333333333333334</v>
      </c>
      <c r="C16" s="50">
        <v>2</v>
      </c>
      <c r="D16" s="76">
        <v>0.08</v>
      </c>
      <c r="E16" s="77">
        <v>7.9000000000000001E-2</v>
      </c>
      <c r="F16" s="77">
        <v>8.2000000000000003E-2</v>
      </c>
      <c r="G16" s="15">
        <f t="shared" si="0"/>
        <v>2.6755481543158477</v>
      </c>
      <c r="H16" s="18">
        <f t="shared" si="1"/>
        <v>5.0875111795235566E-2</v>
      </c>
    </row>
    <row r="17" spans="1:8">
      <c r="A17" s="51">
        <v>9</v>
      </c>
      <c r="B17" s="62">
        <v>12.666666666666666</v>
      </c>
      <c r="C17" s="50">
        <v>2</v>
      </c>
      <c r="D17" s="76">
        <v>8.1000000000000003E-2</v>
      </c>
      <c r="E17" s="77">
        <v>8.2000000000000003E-2</v>
      </c>
      <c r="F17" s="77">
        <v>8.4000000000000005E-2</v>
      </c>
      <c r="G17" s="15">
        <f t="shared" si="0"/>
        <v>2.7421593116847069</v>
      </c>
      <c r="H17" s="18">
        <f t="shared" si="1"/>
        <v>5.0875111795235566E-2</v>
      </c>
    </row>
    <row r="18" spans="1:8">
      <c r="A18" s="51">
        <v>10</v>
      </c>
      <c r="B18" s="62">
        <v>14</v>
      </c>
      <c r="C18" s="50">
        <v>2</v>
      </c>
      <c r="D18" s="76">
        <v>8.3000000000000004E-2</v>
      </c>
      <c r="E18" s="77">
        <v>8.4000000000000005E-2</v>
      </c>
      <c r="F18" s="77">
        <v>8.4000000000000005E-2</v>
      </c>
      <c r="G18" s="15">
        <f t="shared" ref="G18:G23" si="2">(C18*1000*AVERAGE(D18:F18))/$B$2</f>
        <v>2.7865667499306137</v>
      </c>
      <c r="H18" s="18">
        <f t="shared" ref="H18:H23" si="3">(C18*1000*STDEV(D18:F18))/$B$2</f>
        <v>1.9228984818971735E-2</v>
      </c>
    </row>
    <row r="19" spans="1:8">
      <c r="A19" s="51">
        <v>11</v>
      </c>
      <c r="B19" s="62">
        <v>15.333333333333334</v>
      </c>
      <c r="C19" s="50">
        <v>2</v>
      </c>
      <c r="D19" s="76">
        <v>8.6999999999999994E-2</v>
      </c>
      <c r="E19" s="77">
        <v>8.5000000000000006E-2</v>
      </c>
      <c r="F19" s="77">
        <v>8.5000000000000006E-2</v>
      </c>
      <c r="G19" s="15">
        <f t="shared" si="2"/>
        <v>2.853177907299473</v>
      </c>
      <c r="H19" s="18">
        <f t="shared" si="3"/>
        <v>3.84579696379432E-2</v>
      </c>
    </row>
    <row r="20" spans="1:8">
      <c r="A20" s="51">
        <v>12</v>
      </c>
      <c r="B20" s="62">
        <v>16.666666666666668</v>
      </c>
      <c r="C20" s="50">
        <v>2</v>
      </c>
      <c r="D20" s="76">
        <v>8.7999999999999995E-2</v>
      </c>
      <c r="E20" s="77">
        <v>8.5999999999999993E-2</v>
      </c>
      <c r="F20" s="77">
        <v>8.5999999999999993E-2</v>
      </c>
      <c r="G20" s="15">
        <f t="shared" si="2"/>
        <v>2.8864834859839026</v>
      </c>
      <c r="H20" s="18">
        <f t="shared" si="3"/>
        <v>3.845796963794347E-2</v>
      </c>
    </row>
    <row r="21" spans="1:8">
      <c r="A21" s="51">
        <v>13</v>
      </c>
      <c r="B21" s="62">
        <v>18</v>
      </c>
      <c r="C21" s="50">
        <v>2</v>
      </c>
      <c r="D21" s="76">
        <v>9.6000000000000002E-2</v>
      </c>
      <c r="E21" s="77">
        <v>9.5000000000000001E-2</v>
      </c>
      <c r="F21" s="77">
        <v>9.2999999999999999E-2</v>
      </c>
      <c r="G21" s="15">
        <f t="shared" si="2"/>
        <v>3.1529281154593396</v>
      </c>
      <c r="H21" s="18">
        <f t="shared" si="3"/>
        <v>5.0875111795235566E-2</v>
      </c>
    </row>
    <row r="22" spans="1:8">
      <c r="A22" s="51">
        <v>14</v>
      </c>
      <c r="B22" s="62">
        <v>24</v>
      </c>
      <c r="C22" s="50">
        <v>2</v>
      </c>
      <c r="D22" s="76">
        <v>0.11700000000000001</v>
      </c>
      <c r="E22" s="77">
        <v>0.11799999999999999</v>
      </c>
      <c r="F22" s="77">
        <v>0.11899999999999999</v>
      </c>
      <c r="G22" s="15">
        <f t="shared" si="2"/>
        <v>3.9300582847626981</v>
      </c>
      <c r="H22" s="18">
        <f t="shared" si="3"/>
        <v>3.3305578684429446E-2</v>
      </c>
    </row>
    <row r="23" spans="1:8">
      <c r="A23" s="51">
        <v>15</v>
      </c>
      <c r="B23" s="62">
        <v>29.916666666666668</v>
      </c>
      <c r="C23" s="50">
        <v>2</v>
      </c>
      <c r="D23" s="76">
        <v>0.26800000000000002</v>
      </c>
      <c r="E23" s="77">
        <v>0.28299999999999997</v>
      </c>
      <c r="F23" s="77">
        <v>0.27700000000000002</v>
      </c>
      <c r="G23" s="15">
        <f t="shared" si="2"/>
        <v>9.1923397169025804</v>
      </c>
      <c r="H23" s="18">
        <f t="shared" si="3"/>
        <v>0.25145160483832579</v>
      </c>
    </row>
    <row r="24" spans="1:8">
      <c r="A24" s="51">
        <v>16</v>
      </c>
      <c r="B24" s="62">
        <v>48</v>
      </c>
      <c r="C24" s="50">
        <v>2</v>
      </c>
      <c r="D24" s="76">
        <v>0.34799999999999998</v>
      </c>
      <c r="E24" s="77">
        <v>0.33700000000000002</v>
      </c>
      <c r="F24" s="77">
        <v>0.34100000000000003</v>
      </c>
      <c r="G24" s="15">
        <f>(C24*1000*AVERAGE(D24:F24))/$B$2</f>
        <v>11.390507910074938</v>
      </c>
      <c r="H24" s="18">
        <f>(C24*1000*STDEV(D24:F24))/$B$2</f>
        <v>0.18543761408259776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E7" sqref="D7:E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60</v>
      </c>
    </row>
    <row r="2" spans="1:8">
      <c r="A2" s="27" t="s">
        <v>66</v>
      </c>
      <c r="B2" s="16">
        <v>74.08</v>
      </c>
    </row>
    <row r="4" spans="1:8">
      <c r="A4" s="104" t="s">
        <v>66</v>
      </c>
      <c r="B4" s="105"/>
      <c r="C4" s="105"/>
      <c r="D4" s="105"/>
      <c r="E4" s="105"/>
      <c r="F4" s="105"/>
      <c r="G4" s="105"/>
      <c r="H4" s="106"/>
    </row>
    <row r="5" spans="1:8">
      <c r="A5" s="107" t="s">
        <v>61</v>
      </c>
      <c r="B5" s="105"/>
      <c r="C5" s="106"/>
      <c r="D5" s="108" t="s">
        <v>44</v>
      </c>
      <c r="E5" s="108" t="s">
        <v>45</v>
      </c>
      <c r="F5" s="108" t="s">
        <v>46</v>
      </c>
      <c r="G5" s="110" t="s">
        <v>62</v>
      </c>
      <c r="H5" s="110" t="s">
        <v>63</v>
      </c>
    </row>
    <row r="6" spans="1:8">
      <c r="A6" s="28" t="s">
        <v>4</v>
      </c>
      <c r="B6" s="28" t="s">
        <v>59</v>
      </c>
      <c r="C6" s="28" t="s">
        <v>19</v>
      </c>
      <c r="D6" s="109"/>
      <c r="E6" s="109"/>
      <c r="F6" s="109"/>
      <c r="G6" s="111"/>
      <c r="H6" s="111"/>
    </row>
    <row r="7" spans="1:8">
      <c r="A7" s="49" t="s">
        <v>6</v>
      </c>
      <c r="B7" s="62">
        <v>-0.16666666666666666</v>
      </c>
      <c r="C7" s="50">
        <v>2</v>
      </c>
      <c r="D7" s="17">
        <v>0</v>
      </c>
      <c r="E7" s="17">
        <v>0</v>
      </c>
      <c r="F7" s="17">
        <v>0</v>
      </c>
      <c r="G7" s="15">
        <f>(C7*1000*AVERAGE(D7:F7))/$B$2</f>
        <v>0</v>
      </c>
      <c r="H7" s="18">
        <f>(C7*1000*STDEV(D7:F7))/$B$2</f>
        <v>0</v>
      </c>
    </row>
    <row r="8" spans="1:8">
      <c r="A8" s="51">
        <v>0</v>
      </c>
      <c r="B8" s="62">
        <v>0.16666666666666666</v>
      </c>
      <c r="C8" s="50">
        <v>2</v>
      </c>
      <c r="D8" s="17">
        <v>0</v>
      </c>
      <c r="E8" s="17">
        <v>0</v>
      </c>
      <c r="F8" s="17">
        <v>0</v>
      </c>
      <c r="G8" s="15">
        <f t="shared" ref="G8:G17" si="0">(C8*1000*AVERAGE(D8:F8))/$B$2</f>
        <v>0</v>
      </c>
      <c r="H8" s="18">
        <f t="shared" ref="H8:H17" si="1">(C8*1000*STDEV(D8:F8))/$B$2</f>
        <v>0</v>
      </c>
    </row>
    <row r="9" spans="1:8">
      <c r="A9" s="51">
        <v>1</v>
      </c>
      <c r="B9" s="62">
        <v>2</v>
      </c>
      <c r="C9" s="50">
        <v>2</v>
      </c>
      <c r="D9" s="17">
        <v>0</v>
      </c>
      <c r="E9" s="17">
        <v>0</v>
      </c>
      <c r="F9" s="17">
        <v>0</v>
      </c>
      <c r="G9" s="15">
        <f t="shared" si="0"/>
        <v>0</v>
      </c>
      <c r="H9" s="18">
        <f t="shared" si="1"/>
        <v>0</v>
      </c>
    </row>
    <row r="10" spans="1:8">
      <c r="A10" s="51">
        <v>2</v>
      </c>
      <c r="B10" s="62">
        <v>3.3333333333333335</v>
      </c>
      <c r="C10" s="50">
        <v>2</v>
      </c>
      <c r="D10" s="17">
        <v>0</v>
      </c>
      <c r="E10" s="17">
        <v>0</v>
      </c>
      <c r="F10" s="17">
        <v>0</v>
      </c>
      <c r="G10" s="15">
        <f t="shared" si="0"/>
        <v>0</v>
      </c>
      <c r="H10" s="18">
        <f t="shared" si="1"/>
        <v>0</v>
      </c>
    </row>
    <row r="11" spans="1:8">
      <c r="A11" s="51">
        <v>3</v>
      </c>
      <c r="B11" s="62">
        <v>4.666666666666667</v>
      </c>
      <c r="C11" s="50">
        <v>2</v>
      </c>
      <c r="D11" s="17">
        <v>0</v>
      </c>
      <c r="E11" s="17">
        <v>0</v>
      </c>
      <c r="F11" s="17">
        <v>0</v>
      </c>
      <c r="G11" s="15">
        <f t="shared" si="0"/>
        <v>0</v>
      </c>
      <c r="H11" s="18">
        <f t="shared" si="1"/>
        <v>0</v>
      </c>
    </row>
    <row r="12" spans="1:8">
      <c r="A12" s="51">
        <v>4</v>
      </c>
      <c r="B12" s="62">
        <v>6</v>
      </c>
      <c r="C12" s="50">
        <v>2</v>
      </c>
      <c r="D12" s="17">
        <v>0</v>
      </c>
      <c r="E12" s="17">
        <v>0</v>
      </c>
      <c r="F12" s="17">
        <v>0</v>
      </c>
      <c r="G12" s="15">
        <f t="shared" si="0"/>
        <v>0</v>
      </c>
      <c r="H12" s="18">
        <f t="shared" si="1"/>
        <v>0</v>
      </c>
    </row>
    <row r="13" spans="1:8">
      <c r="A13" s="51">
        <v>5</v>
      </c>
      <c r="B13" s="62">
        <v>7.333333333333333</v>
      </c>
      <c r="C13" s="50">
        <v>2</v>
      </c>
      <c r="D13" s="17">
        <v>0</v>
      </c>
      <c r="E13" s="17">
        <v>0</v>
      </c>
      <c r="F13" s="17">
        <v>0</v>
      </c>
      <c r="G13" s="15">
        <f t="shared" si="0"/>
        <v>0</v>
      </c>
      <c r="H13" s="18">
        <f t="shared" si="1"/>
        <v>0</v>
      </c>
    </row>
    <row r="14" spans="1:8">
      <c r="A14" s="51">
        <v>6</v>
      </c>
      <c r="B14" s="62">
        <v>8.9166666666666661</v>
      </c>
      <c r="C14" s="50">
        <v>2</v>
      </c>
      <c r="D14" s="17">
        <v>0</v>
      </c>
      <c r="E14" s="17">
        <v>0</v>
      </c>
      <c r="F14" s="17">
        <v>0</v>
      </c>
      <c r="G14" s="15">
        <f t="shared" si="0"/>
        <v>0</v>
      </c>
      <c r="H14" s="18">
        <f t="shared" si="1"/>
        <v>0</v>
      </c>
    </row>
    <row r="15" spans="1:8">
      <c r="A15" s="51">
        <v>7</v>
      </c>
      <c r="B15" s="62">
        <v>10.333333333333334</v>
      </c>
      <c r="C15" s="50">
        <v>2</v>
      </c>
      <c r="D15" s="17">
        <v>0</v>
      </c>
      <c r="E15" s="17">
        <v>0</v>
      </c>
      <c r="F15" s="17">
        <v>0</v>
      </c>
      <c r="G15" s="15">
        <f t="shared" si="0"/>
        <v>0</v>
      </c>
      <c r="H15" s="18">
        <f t="shared" si="1"/>
        <v>0</v>
      </c>
    </row>
    <row r="16" spans="1:8">
      <c r="A16" s="51">
        <v>8</v>
      </c>
      <c r="B16" s="62">
        <v>11.333333333333334</v>
      </c>
      <c r="C16" s="50">
        <v>2</v>
      </c>
      <c r="D16" s="17">
        <v>0</v>
      </c>
      <c r="E16" s="17">
        <v>0</v>
      </c>
      <c r="F16" s="17">
        <v>0</v>
      </c>
      <c r="G16" s="15">
        <f t="shared" si="0"/>
        <v>0</v>
      </c>
      <c r="H16" s="18">
        <f t="shared" si="1"/>
        <v>0</v>
      </c>
    </row>
    <row r="17" spans="1:8">
      <c r="A17" s="51">
        <v>9</v>
      </c>
      <c r="B17" s="62">
        <v>12.666666666666666</v>
      </c>
      <c r="C17" s="50">
        <v>2</v>
      </c>
      <c r="D17" s="17">
        <v>0</v>
      </c>
      <c r="E17" s="17">
        <v>0</v>
      </c>
      <c r="F17" s="17">
        <v>0</v>
      </c>
      <c r="G17" s="15">
        <f t="shared" si="0"/>
        <v>0</v>
      </c>
      <c r="H17" s="18">
        <f t="shared" si="1"/>
        <v>0</v>
      </c>
    </row>
    <row r="18" spans="1:8">
      <c r="A18" s="51">
        <v>10</v>
      </c>
      <c r="B18" s="62">
        <v>14</v>
      </c>
      <c r="C18" s="50">
        <v>2</v>
      </c>
      <c r="D18" s="17">
        <v>0</v>
      </c>
      <c r="E18" s="17">
        <v>0</v>
      </c>
      <c r="F18" s="17">
        <v>0</v>
      </c>
      <c r="G18" s="15">
        <f t="shared" ref="G18:G23" si="2">(C18*1000*AVERAGE(D18:F18))/$B$2</f>
        <v>0</v>
      </c>
      <c r="H18" s="18">
        <f t="shared" ref="H18:H23" si="3">(C18*1000*STDEV(D18:F18))/$B$2</f>
        <v>0</v>
      </c>
    </row>
    <row r="19" spans="1:8">
      <c r="A19" s="51">
        <v>11</v>
      </c>
      <c r="B19" s="62">
        <v>15.333333333333334</v>
      </c>
      <c r="C19" s="50">
        <v>2</v>
      </c>
      <c r="D19" s="17">
        <v>0</v>
      </c>
      <c r="E19" s="17">
        <v>0</v>
      </c>
      <c r="F19" s="17">
        <v>0</v>
      </c>
      <c r="G19" s="15">
        <f t="shared" si="2"/>
        <v>0</v>
      </c>
      <c r="H19" s="18">
        <f t="shared" si="3"/>
        <v>0</v>
      </c>
    </row>
    <row r="20" spans="1:8">
      <c r="A20" s="51">
        <v>12</v>
      </c>
      <c r="B20" s="62">
        <v>16.666666666666668</v>
      </c>
      <c r="C20" s="50">
        <v>2</v>
      </c>
      <c r="D20" s="17">
        <v>0</v>
      </c>
      <c r="E20" s="17">
        <v>0</v>
      </c>
      <c r="F20" s="17">
        <v>0</v>
      </c>
      <c r="G20" s="15">
        <f t="shared" si="2"/>
        <v>0</v>
      </c>
      <c r="H20" s="18">
        <f t="shared" si="3"/>
        <v>0</v>
      </c>
    </row>
    <row r="21" spans="1:8">
      <c r="A21" s="51">
        <v>13</v>
      </c>
      <c r="B21" s="62">
        <v>18</v>
      </c>
      <c r="C21" s="50">
        <v>2</v>
      </c>
      <c r="D21" s="17">
        <v>0</v>
      </c>
      <c r="E21" s="17">
        <v>0</v>
      </c>
      <c r="F21" s="17">
        <v>0</v>
      </c>
      <c r="G21" s="15">
        <f t="shared" si="2"/>
        <v>0</v>
      </c>
      <c r="H21" s="18">
        <f t="shared" si="3"/>
        <v>0</v>
      </c>
    </row>
    <row r="22" spans="1:8">
      <c r="A22" s="51">
        <v>14</v>
      </c>
      <c r="B22" s="62">
        <v>24</v>
      </c>
      <c r="C22" s="50">
        <v>2</v>
      </c>
      <c r="D22" s="17">
        <v>0</v>
      </c>
      <c r="E22" s="17">
        <v>0</v>
      </c>
      <c r="F22" s="17">
        <v>0</v>
      </c>
      <c r="G22" s="15">
        <f t="shared" si="2"/>
        <v>0</v>
      </c>
      <c r="H22" s="18">
        <f t="shared" si="3"/>
        <v>0</v>
      </c>
    </row>
    <row r="23" spans="1:8">
      <c r="A23" s="51">
        <v>15</v>
      </c>
      <c r="B23" s="62">
        <v>29.916666666666668</v>
      </c>
      <c r="C23" s="50">
        <v>2</v>
      </c>
      <c r="D23" s="17">
        <v>0</v>
      </c>
      <c r="E23" s="17">
        <v>0</v>
      </c>
      <c r="F23" s="17">
        <v>0</v>
      </c>
      <c r="G23" s="15">
        <f t="shared" si="2"/>
        <v>0</v>
      </c>
      <c r="H23" s="18">
        <f t="shared" si="3"/>
        <v>0</v>
      </c>
    </row>
    <row r="24" spans="1:8">
      <c r="A24" s="51">
        <v>16</v>
      </c>
      <c r="B24" s="62">
        <v>48</v>
      </c>
      <c r="C24" s="50">
        <v>2</v>
      </c>
      <c r="D24" s="17">
        <v>0</v>
      </c>
      <c r="E24" s="17">
        <v>0</v>
      </c>
      <c r="F24" s="17">
        <v>0</v>
      </c>
      <c r="G24" s="15">
        <f>(C24*1000*AVERAGE(D24:F24))/$B$2</f>
        <v>0</v>
      </c>
      <c r="H24" s="18">
        <f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7" t="s">
        <v>35</v>
      </c>
      <c r="B1" s="27" t="s">
        <v>60</v>
      </c>
    </row>
    <row r="2" spans="1:8">
      <c r="A2" s="27" t="s">
        <v>65</v>
      </c>
      <c r="B2" s="16">
        <v>88.11</v>
      </c>
    </row>
    <row r="4" spans="1:8">
      <c r="A4" s="104" t="s">
        <v>65</v>
      </c>
      <c r="B4" s="105"/>
      <c r="C4" s="105"/>
      <c r="D4" s="105"/>
      <c r="E4" s="105"/>
      <c r="F4" s="105"/>
      <c r="G4" s="105"/>
      <c r="H4" s="106"/>
    </row>
    <row r="5" spans="1:8">
      <c r="A5" s="107" t="s">
        <v>61</v>
      </c>
      <c r="B5" s="105"/>
      <c r="C5" s="106"/>
      <c r="D5" s="108" t="s">
        <v>44</v>
      </c>
      <c r="E5" s="108" t="s">
        <v>45</v>
      </c>
      <c r="F5" s="108" t="s">
        <v>46</v>
      </c>
      <c r="G5" s="110" t="s">
        <v>62</v>
      </c>
      <c r="H5" s="110" t="s">
        <v>63</v>
      </c>
    </row>
    <row r="6" spans="1:8">
      <c r="A6" s="28" t="s">
        <v>4</v>
      </c>
      <c r="B6" s="28" t="s">
        <v>59</v>
      </c>
      <c r="C6" s="28" t="s">
        <v>19</v>
      </c>
      <c r="D6" s="109"/>
      <c r="E6" s="109"/>
      <c r="F6" s="109"/>
      <c r="G6" s="111"/>
      <c r="H6" s="111"/>
    </row>
    <row r="7" spans="1:8">
      <c r="A7" s="49" t="s">
        <v>6</v>
      </c>
      <c r="B7" s="50">
        <v>2</v>
      </c>
      <c r="C7" s="50">
        <v>-10</v>
      </c>
      <c r="D7" s="17">
        <v>0</v>
      </c>
      <c r="E7" s="17">
        <v>0</v>
      </c>
      <c r="F7" s="17">
        <v>0</v>
      </c>
      <c r="G7" s="15">
        <f>(C7*1000*AVERAGE(D7:F7))/$B$2</f>
        <v>0</v>
      </c>
      <c r="H7" s="18">
        <f>(C7*1000*STDEV(D7:F7))/$B$2</f>
        <v>0</v>
      </c>
    </row>
    <row r="8" spans="1:8">
      <c r="A8" s="51">
        <v>0</v>
      </c>
      <c r="B8" s="50">
        <v>2</v>
      </c>
      <c r="C8" s="52">
        <v>10</v>
      </c>
      <c r="D8" s="17">
        <v>0</v>
      </c>
      <c r="E8" s="17">
        <v>0</v>
      </c>
      <c r="F8" s="17">
        <v>0</v>
      </c>
      <c r="G8" s="15">
        <f>(C8*1000*AVERAGE(D8:F8))/$B$2</f>
        <v>0</v>
      </c>
      <c r="H8" s="18">
        <f t="shared" ref="H8:H17" si="0">(C8*1000*STDEV(D8:F8))/$B$2</f>
        <v>0</v>
      </c>
    </row>
    <row r="9" spans="1:8">
      <c r="A9" s="51">
        <v>1</v>
      </c>
      <c r="B9" s="50">
        <v>2</v>
      </c>
      <c r="C9" s="52">
        <v>120</v>
      </c>
      <c r="D9" s="17">
        <v>0</v>
      </c>
      <c r="E9" s="17">
        <v>0</v>
      </c>
      <c r="F9" s="17">
        <v>0</v>
      </c>
      <c r="G9" s="15">
        <f t="shared" ref="G9:G17" si="1">(C9*1000*AVERAGE(D9:F9))/$B$2</f>
        <v>0</v>
      </c>
      <c r="H9" s="18">
        <f t="shared" si="0"/>
        <v>0</v>
      </c>
    </row>
    <row r="10" spans="1:8">
      <c r="A10" s="51">
        <v>2</v>
      </c>
      <c r="B10" s="50">
        <v>2</v>
      </c>
      <c r="C10" s="52">
        <v>200</v>
      </c>
      <c r="D10" s="17">
        <v>0</v>
      </c>
      <c r="E10" s="17">
        <v>0</v>
      </c>
      <c r="F10" s="17">
        <v>0</v>
      </c>
      <c r="G10" s="15">
        <f t="shared" si="1"/>
        <v>0</v>
      </c>
      <c r="H10" s="18">
        <f t="shared" si="0"/>
        <v>0</v>
      </c>
    </row>
    <row r="11" spans="1:8">
      <c r="A11" s="51">
        <v>3</v>
      </c>
      <c r="B11" s="50">
        <v>2</v>
      </c>
      <c r="C11" s="52">
        <v>280</v>
      </c>
      <c r="D11" s="17">
        <v>0</v>
      </c>
      <c r="E11" s="17">
        <v>0</v>
      </c>
      <c r="F11" s="17">
        <v>0</v>
      </c>
      <c r="G11" s="15">
        <f t="shared" si="1"/>
        <v>0</v>
      </c>
      <c r="H11" s="18">
        <f t="shared" si="0"/>
        <v>0</v>
      </c>
    </row>
    <row r="12" spans="1:8">
      <c r="A12" s="51">
        <v>4</v>
      </c>
      <c r="B12" s="50">
        <v>2</v>
      </c>
      <c r="C12" s="52">
        <v>360</v>
      </c>
      <c r="D12" s="17">
        <v>0</v>
      </c>
      <c r="E12" s="17">
        <v>0</v>
      </c>
      <c r="F12" s="17">
        <v>0</v>
      </c>
      <c r="G12" s="15">
        <f t="shared" si="1"/>
        <v>0</v>
      </c>
      <c r="H12" s="18">
        <f t="shared" si="0"/>
        <v>0</v>
      </c>
    </row>
    <row r="13" spans="1:8">
      <c r="A13" s="51">
        <v>5</v>
      </c>
      <c r="B13" s="50">
        <v>2</v>
      </c>
      <c r="C13" s="52">
        <v>440</v>
      </c>
      <c r="D13" s="17">
        <v>0</v>
      </c>
      <c r="E13" s="17">
        <v>0</v>
      </c>
      <c r="F13" s="17">
        <v>0</v>
      </c>
      <c r="G13" s="15">
        <f t="shared" si="1"/>
        <v>0</v>
      </c>
      <c r="H13" s="18">
        <f t="shared" si="0"/>
        <v>0</v>
      </c>
    </row>
    <row r="14" spans="1:8">
      <c r="A14" s="51">
        <v>6</v>
      </c>
      <c r="B14" s="50">
        <v>2</v>
      </c>
      <c r="C14" s="52">
        <v>535</v>
      </c>
      <c r="D14" s="17">
        <v>0</v>
      </c>
      <c r="E14" s="17">
        <v>0</v>
      </c>
      <c r="F14" s="17">
        <v>0</v>
      </c>
      <c r="G14" s="15">
        <f t="shared" si="1"/>
        <v>0</v>
      </c>
      <c r="H14" s="18">
        <f t="shared" si="0"/>
        <v>0</v>
      </c>
    </row>
    <row r="15" spans="1:8">
      <c r="A15" s="51">
        <v>7</v>
      </c>
      <c r="B15" s="50">
        <v>2</v>
      </c>
      <c r="C15" s="52">
        <v>620</v>
      </c>
      <c r="D15" s="17">
        <v>0</v>
      </c>
      <c r="E15" s="17">
        <v>0</v>
      </c>
      <c r="F15" s="17">
        <v>0</v>
      </c>
      <c r="G15" s="15">
        <f t="shared" si="1"/>
        <v>0</v>
      </c>
      <c r="H15" s="18">
        <f t="shared" si="0"/>
        <v>0</v>
      </c>
    </row>
    <row r="16" spans="1:8">
      <c r="A16" s="51">
        <v>8</v>
      </c>
      <c r="B16" s="50">
        <v>2</v>
      </c>
      <c r="C16" s="52">
        <v>680</v>
      </c>
      <c r="D16" s="17">
        <v>0</v>
      </c>
      <c r="E16" s="17">
        <v>0</v>
      </c>
      <c r="F16" s="17">
        <v>0</v>
      </c>
      <c r="G16" s="15">
        <f t="shared" si="1"/>
        <v>0</v>
      </c>
      <c r="H16" s="18">
        <f t="shared" si="0"/>
        <v>0</v>
      </c>
    </row>
    <row r="17" spans="1:8">
      <c r="A17" s="51">
        <v>9</v>
      </c>
      <c r="B17" s="50">
        <v>2</v>
      </c>
      <c r="C17" s="52">
        <v>760</v>
      </c>
      <c r="D17" s="17">
        <v>0</v>
      </c>
      <c r="E17" s="17">
        <v>0</v>
      </c>
      <c r="F17" s="17">
        <v>0</v>
      </c>
      <c r="G17" s="15">
        <f t="shared" si="1"/>
        <v>0</v>
      </c>
      <c r="H17" s="18">
        <f t="shared" si="0"/>
        <v>0</v>
      </c>
    </row>
    <row r="18" spans="1:8">
      <c r="A18" s="51">
        <v>10</v>
      </c>
      <c r="B18" s="50">
        <v>2</v>
      </c>
      <c r="C18" s="52">
        <v>840</v>
      </c>
      <c r="D18" s="17">
        <v>0</v>
      </c>
      <c r="E18" s="17">
        <v>0</v>
      </c>
      <c r="F18" s="17">
        <v>0</v>
      </c>
      <c r="G18" s="15">
        <f t="shared" ref="G18:G23" si="2">(C18*1000*AVERAGE(D18:F18))/$B$2</f>
        <v>0</v>
      </c>
      <c r="H18" s="18">
        <f t="shared" ref="H18:H23" si="3">(C18*1000*STDEV(D18:F18))/$B$2</f>
        <v>0</v>
      </c>
    </row>
    <row r="19" spans="1:8">
      <c r="A19" s="51">
        <v>11</v>
      </c>
      <c r="B19" s="50">
        <v>2</v>
      </c>
      <c r="C19" s="52">
        <v>920</v>
      </c>
      <c r="D19" s="17">
        <v>0</v>
      </c>
      <c r="E19" s="17">
        <v>0</v>
      </c>
      <c r="F19" s="17">
        <v>0</v>
      </c>
      <c r="G19" s="15">
        <f t="shared" si="2"/>
        <v>0</v>
      </c>
      <c r="H19" s="18">
        <f t="shared" si="3"/>
        <v>0</v>
      </c>
    </row>
    <row r="20" spans="1:8">
      <c r="A20" s="51">
        <v>12</v>
      </c>
      <c r="B20" s="50">
        <v>2</v>
      </c>
      <c r="C20" s="52">
        <v>1000</v>
      </c>
      <c r="D20" s="17">
        <v>0</v>
      </c>
      <c r="E20" s="17">
        <v>0</v>
      </c>
      <c r="F20" s="17">
        <v>0</v>
      </c>
      <c r="G20" s="15">
        <f t="shared" si="2"/>
        <v>0</v>
      </c>
      <c r="H20" s="18">
        <f t="shared" si="3"/>
        <v>0</v>
      </c>
    </row>
    <row r="21" spans="1:8">
      <c r="A21" s="51">
        <v>13</v>
      </c>
      <c r="B21" s="50">
        <v>2</v>
      </c>
      <c r="C21" s="52">
        <v>1080</v>
      </c>
      <c r="D21" s="17">
        <v>0</v>
      </c>
      <c r="E21" s="17">
        <v>0</v>
      </c>
      <c r="F21" s="17">
        <v>0</v>
      </c>
      <c r="G21" s="15">
        <f t="shared" si="2"/>
        <v>0</v>
      </c>
      <c r="H21" s="18">
        <f t="shared" si="3"/>
        <v>0</v>
      </c>
    </row>
    <row r="22" spans="1:8">
      <c r="A22" s="51">
        <v>14</v>
      </c>
      <c r="B22" s="50">
        <v>2</v>
      </c>
      <c r="C22" s="52">
        <v>1440</v>
      </c>
      <c r="D22" s="17">
        <v>0</v>
      </c>
      <c r="E22" s="17">
        <v>0</v>
      </c>
      <c r="F22" s="17">
        <v>0</v>
      </c>
      <c r="G22" s="15">
        <f t="shared" si="2"/>
        <v>0</v>
      </c>
      <c r="H22" s="18">
        <f t="shared" si="3"/>
        <v>0</v>
      </c>
    </row>
    <row r="23" spans="1:8">
      <c r="A23" s="51">
        <v>15</v>
      </c>
      <c r="B23" s="50">
        <v>2</v>
      </c>
      <c r="C23" s="52">
        <v>1795</v>
      </c>
      <c r="D23" s="17">
        <v>0</v>
      </c>
      <c r="E23" s="17">
        <v>0</v>
      </c>
      <c r="F23" s="17">
        <v>0</v>
      </c>
      <c r="G23" s="15">
        <f t="shared" si="2"/>
        <v>0</v>
      </c>
      <c r="H23" s="18">
        <f t="shared" si="3"/>
        <v>0</v>
      </c>
    </row>
    <row r="24" spans="1:8">
      <c r="A24" s="51">
        <v>16</v>
      </c>
      <c r="B24" s="50">
        <v>2</v>
      </c>
      <c r="C24" s="52">
        <v>2880</v>
      </c>
      <c r="D24" s="17">
        <v>0</v>
      </c>
      <c r="E24" s="17">
        <v>0</v>
      </c>
      <c r="F24" s="17">
        <v>0</v>
      </c>
      <c r="G24" s="15">
        <f>(C24*1000*AVERAGE(D24:F24))/$B$2</f>
        <v>0</v>
      </c>
      <c r="H24" s="18">
        <f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0" t="s">
        <v>35</v>
      </c>
      <c r="B1" s="20" t="s">
        <v>60</v>
      </c>
    </row>
    <row r="2" spans="1:8">
      <c r="A2" s="20" t="s">
        <v>41</v>
      </c>
      <c r="B2" s="16">
        <v>90.08</v>
      </c>
    </row>
    <row r="4" spans="1:8">
      <c r="A4" s="104" t="s">
        <v>41</v>
      </c>
      <c r="B4" s="105"/>
      <c r="C4" s="105"/>
      <c r="D4" s="105"/>
      <c r="E4" s="105"/>
      <c r="F4" s="105"/>
      <c r="G4" s="105"/>
      <c r="H4" s="106"/>
    </row>
    <row r="5" spans="1:8">
      <c r="A5" s="107" t="s">
        <v>61</v>
      </c>
      <c r="B5" s="105"/>
      <c r="C5" s="106"/>
      <c r="D5" s="108" t="s">
        <v>44</v>
      </c>
      <c r="E5" s="108" t="s">
        <v>45</v>
      </c>
      <c r="F5" s="108" t="s">
        <v>46</v>
      </c>
      <c r="G5" s="110" t="s">
        <v>62</v>
      </c>
      <c r="H5" s="110" t="s">
        <v>63</v>
      </c>
    </row>
    <row r="6" spans="1:8">
      <c r="A6" s="21" t="s">
        <v>4</v>
      </c>
      <c r="B6" s="21" t="s">
        <v>59</v>
      </c>
      <c r="C6" s="21" t="s">
        <v>19</v>
      </c>
      <c r="D6" s="109"/>
      <c r="E6" s="109"/>
      <c r="F6" s="109"/>
      <c r="G6" s="111"/>
      <c r="H6" s="111"/>
    </row>
    <row r="7" spans="1:8">
      <c r="A7" s="49" t="s">
        <v>6</v>
      </c>
      <c r="B7" s="62">
        <v>-0.16666666666666666</v>
      </c>
      <c r="C7" s="50">
        <v>2</v>
      </c>
      <c r="D7" s="75">
        <v>2.8000000000000001E-2</v>
      </c>
      <c r="E7" s="39">
        <v>3.5000000000000003E-2</v>
      </c>
      <c r="F7" s="39">
        <v>3.2000000000000001E-2</v>
      </c>
      <c r="G7" s="15">
        <f>(C7*1000*AVERAGE(D7:F7))/$B$2</f>
        <v>0.70307874481941979</v>
      </c>
      <c r="H7" s="18">
        <f>(C7*1000*STDEV(D7:F7))/$B$2</f>
        <v>7.797257069902859E-2</v>
      </c>
    </row>
    <row r="8" spans="1:8">
      <c r="A8" s="51">
        <v>0</v>
      </c>
      <c r="B8" s="62">
        <v>0.16666666666666666</v>
      </c>
      <c r="C8" s="50">
        <v>2</v>
      </c>
      <c r="D8" s="76">
        <v>3.3000000000000002E-2</v>
      </c>
      <c r="E8" s="39">
        <v>3.2000000000000001E-2</v>
      </c>
      <c r="F8" s="39">
        <v>3.2000000000000001E-2</v>
      </c>
      <c r="G8" s="15">
        <f t="shared" ref="G8:G17" si="0">(C8*1000*AVERAGE(D8:F8))/$B$2</f>
        <v>0.71788040260509167</v>
      </c>
      <c r="H8" s="18">
        <f t="shared" ref="H8:H17" si="1">(C8*1000*STDEV(D8:F8))/$B$2</f>
        <v>1.2818611660515681E-2</v>
      </c>
    </row>
    <row r="9" spans="1:8">
      <c r="A9" s="51">
        <v>1</v>
      </c>
      <c r="B9" s="62">
        <v>2</v>
      </c>
      <c r="C9" s="50">
        <v>2</v>
      </c>
      <c r="D9" s="76">
        <v>3.5000000000000003E-2</v>
      </c>
      <c r="E9" s="39">
        <v>3.4000000000000002E-2</v>
      </c>
      <c r="F9" s="39">
        <v>3.5999999999999997E-2</v>
      </c>
      <c r="G9" s="15">
        <f t="shared" si="0"/>
        <v>0.77708703374777977</v>
      </c>
      <c r="H9" s="18">
        <f t="shared" si="1"/>
        <v>2.2202486678507938E-2</v>
      </c>
    </row>
    <row r="10" spans="1:8">
      <c r="A10" s="51">
        <v>2</v>
      </c>
      <c r="B10" s="62">
        <v>3.3333333333333335</v>
      </c>
      <c r="C10" s="50">
        <v>2</v>
      </c>
      <c r="D10" s="76">
        <v>3.9E-2</v>
      </c>
      <c r="E10" s="39">
        <v>3.7999999999999999E-2</v>
      </c>
      <c r="F10" s="39">
        <v>3.7999999999999999E-2</v>
      </c>
      <c r="G10" s="15">
        <f t="shared" si="0"/>
        <v>0.85109532267613963</v>
      </c>
      <c r="H10" s="18">
        <f t="shared" si="1"/>
        <v>1.2818611660515681E-2</v>
      </c>
    </row>
    <row r="11" spans="1:8">
      <c r="A11" s="51">
        <v>3</v>
      </c>
      <c r="B11" s="62">
        <v>4.666666666666667</v>
      </c>
      <c r="C11" s="50">
        <v>2</v>
      </c>
      <c r="D11" s="76">
        <v>4.1000000000000002E-2</v>
      </c>
      <c r="E11" s="39">
        <v>4.1000000000000002E-2</v>
      </c>
      <c r="F11" s="39">
        <v>4.1000000000000002E-2</v>
      </c>
      <c r="G11" s="15">
        <f t="shared" si="0"/>
        <v>0.91030195381882772</v>
      </c>
      <c r="H11" s="18">
        <f t="shared" si="1"/>
        <v>0</v>
      </c>
    </row>
    <row r="12" spans="1:8">
      <c r="A12" s="51">
        <v>4</v>
      </c>
      <c r="B12" s="62">
        <v>6</v>
      </c>
      <c r="C12" s="50">
        <v>2</v>
      </c>
      <c r="D12" s="76">
        <v>4.3999999999999997E-2</v>
      </c>
      <c r="E12" s="58">
        <v>4.2999999999999997E-2</v>
      </c>
      <c r="F12" s="58">
        <v>4.2000000000000003E-2</v>
      </c>
      <c r="G12" s="15">
        <f t="shared" si="0"/>
        <v>0.95470692717584371</v>
      </c>
      <c r="H12" s="18">
        <f t="shared" si="1"/>
        <v>2.2202486678507938E-2</v>
      </c>
    </row>
    <row r="13" spans="1:8">
      <c r="A13" s="51">
        <v>5</v>
      </c>
      <c r="B13" s="62">
        <v>7.333333333333333</v>
      </c>
      <c r="C13" s="50">
        <v>2</v>
      </c>
      <c r="D13" s="76">
        <v>4.3999999999999997E-2</v>
      </c>
      <c r="E13" s="58">
        <v>4.5999999999999999E-2</v>
      </c>
      <c r="F13" s="58">
        <v>4.2000000000000003E-2</v>
      </c>
      <c r="G13" s="15">
        <f t="shared" si="0"/>
        <v>0.97690941385435182</v>
      </c>
      <c r="H13" s="18">
        <f t="shared" si="1"/>
        <v>4.4404973357015945E-2</v>
      </c>
    </row>
    <row r="14" spans="1:8">
      <c r="A14" s="51">
        <v>6</v>
      </c>
      <c r="B14" s="62">
        <v>8.9166666666666661</v>
      </c>
      <c r="C14" s="50">
        <v>2</v>
      </c>
      <c r="D14" s="76">
        <v>0.05</v>
      </c>
      <c r="E14" s="58">
        <v>0.05</v>
      </c>
      <c r="F14" s="58">
        <v>4.9000000000000002E-2</v>
      </c>
      <c r="G14" s="15">
        <f t="shared" si="0"/>
        <v>1.1027235050325637</v>
      </c>
      <c r="H14" s="18">
        <f t="shared" si="1"/>
        <v>1.2818611660515681E-2</v>
      </c>
    </row>
    <row r="15" spans="1:8">
      <c r="A15" s="51">
        <v>7</v>
      </c>
      <c r="B15" s="62">
        <v>10.333333333333334</v>
      </c>
      <c r="C15" s="50">
        <v>2</v>
      </c>
      <c r="D15" s="76">
        <v>5.5E-2</v>
      </c>
      <c r="E15" s="58">
        <v>5.3999999999999999E-2</v>
      </c>
      <c r="F15" s="58">
        <v>5.0999999999999997E-2</v>
      </c>
      <c r="G15" s="15">
        <f t="shared" si="0"/>
        <v>1.1841326228537596</v>
      </c>
      <c r="H15" s="18">
        <f t="shared" si="1"/>
        <v>4.6218161622249884E-2</v>
      </c>
    </row>
    <row r="16" spans="1:8">
      <c r="A16" s="51">
        <v>8</v>
      </c>
      <c r="B16" s="62">
        <v>11.333333333333334</v>
      </c>
      <c r="C16" s="50">
        <v>2</v>
      </c>
      <c r="D16" s="76">
        <v>5.7000000000000002E-2</v>
      </c>
      <c r="E16" s="58">
        <v>0.06</v>
      </c>
      <c r="F16" s="58">
        <v>5.8999999999999997E-2</v>
      </c>
      <c r="G16" s="15">
        <f t="shared" si="0"/>
        <v>1.3025458851391356</v>
      </c>
      <c r="H16" s="18">
        <f t="shared" si="1"/>
        <v>3.3914858606837128E-2</v>
      </c>
    </row>
    <row r="17" spans="1:8">
      <c r="A17" s="51">
        <v>9</v>
      </c>
      <c r="B17" s="62">
        <v>12.666666666666666</v>
      </c>
      <c r="C17" s="50">
        <v>2</v>
      </c>
      <c r="D17" s="76">
        <v>0.06</v>
      </c>
      <c r="E17" s="58">
        <v>6.2E-2</v>
      </c>
      <c r="F17" s="58">
        <v>6.2E-2</v>
      </c>
      <c r="G17" s="15">
        <f t="shared" si="0"/>
        <v>1.3617525162818236</v>
      </c>
      <c r="H17" s="18">
        <f t="shared" si="1"/>
        <v>2.5637223321031358E-2</v>
      </c>
    </row>
    <row r="18" spans="1:8">
      <c r="A18" s="51">
        <v>10</v>
      </c>
      <c r="B18" s="62">
        <v>14</v>
      </c>
      <c r="C18" s="50">
        <v>2</v>
      </c>
      <c r="D18" s="76">
        <v>6.6000000000000003E-2</v>
      </c>
      <c r="E18" s="39">
        <v>6.8000000000000005E-2</v>
      </c>
      <c r="F18" s="39">
        <v>6.2E-2</v>
      </c>
      <c r="G18" s="15">
        <f t="shared" ref="G18:G23" si="2">(C18*1000*AVERAGE(D18:F18))/$B$2</f>
        <v>1.4505624629958558</v>
      </c>
      <c r="H18" s="18">
        <f t="shared" ref="H18:H23" si="3">(C18*1000*STDEV(D18:F18))/$B$2</f>
        <v>6.7829717213674423E-2</v>
      </c>
    </row>
    <row r="19" spans="1:8">
      <c r="A19" s="51">
        <v>11</v>
      </c>
      <c r="B19" s="62">
        <v>15.333333333333334</v>
      </c>
      <c r="C19" s="50">
        <v>2</v>
      </c>
      <c r="D19" s="76">
        <v>6.7000000000000004E-2</v>
      </c>
      <c r="E19" s="58">
        <v>7.4999999999999997E-2</v>
      </c>
      <c r="F19" s="58">
        <v>7.4999999999999997E-2</v>
      </c>
      <c r="G19" s="15">
        <f t="shared" si="2"/>
        <v>1.6059798697454117</v>
      </c>
      <c r="H19" s="18">
        <f t="shared" si="3"/>
        <v>0.10254889328412529</v>
      </c>
    </row>
    <row r="20" spans="1:8">
      <c r="A20" s="51">
        <v>12</v>
      </c>
      <c r="B20" s="62">
        <v>16.666666666666668</v>
      </c>
      <c r="C20" s="50">
        <v>2</v>
      </c>
      <c r="D20" s="76">
        <v>0.08</v>
      </c>
      <c r="E20" s="58">
        <v>7.9000000000000001E-2</v>
      </c>
      <c r="F20" s="58">
        <v>7.6999999999999999E-2</v>
      </c>
      <c r="G20" s="15">
        <f t="shared" si="2"/>
        <v>1.7465956187092953</v>
      </c>
      <c r="H20" s="18">
        <f t="shared" si="3"/>
        <v>3.3914858606837212E-2</v>
      </c>
    </row>
    <row r="21" spans="1:8">
      <c r="A21" s="51">
        <v>13</v>
      </c>
      <c r="B21" s="62">
        <v>18</v>
      </c>
      <c r="C21" s="50">
        <v>2</v>
      </c>
      <c r="D21" s="76">
        <v>8.4000000000000005E-2</v>
      </c>
      <c r="E21" s="58">
        <v>8.5999999999999993E-2</v>
      </c>
      <c r="F21" s="58">
        <v>8.5000000000000006E-2</v>
      </c>
      <c r="G21" s="15">
        <f t="shared" si="2"/>
        <v>1.8872113676731794</v>
      </c>
      <c r="H21" s="18">
        <f t="shared" si="3"/>
        <v>2.2202486678507861E-2</v>
      </c>
    </row>
    <row r="22" spans="1:8">
      <c r="A22" s="51">
        <v>14</v>
      </c>
      <c r="B22" s="62">
        <v>24</v>
      </c>
      <c r="C22" s="50">
        <v>2</v>
      </c>
      <c r="D22" s="76">
        <v>0.112</v>
      </c>
      <c r="E22" s="58">
        <v>0.115</v>
      </c>
      <c r="F22" s="58">
        <v>0.115</v>
      </c>
      <c r="G22" s="15">
        <f t="shared" si="2"/>
        <v>2.5310834813499112</v>
      </c>
      <c r="H22" s="18">
        <f t="shared" si="3"/>
        <v>3.8455834981547053E-2</v>
      </c>
    </row>
    <row r="23" spans="1:8">
      <c r="A23" s="51">
        <v>15</v>
      </c>
      <c r="B23" s="62">
        <v>29.916666666666668</v>
      </c>
      <c r="C23" s="50">
        <v>2</v>
      </c>
      <c r="D23" s="76">
        <v>0.26700000000000002</v>
      </c>
      <c r="E23" s="58">
        <v>0.27300000000000002</v>
      </c>
      <c r="F23" s="58">
        <v>0.26900000000000002</v>
      </c>
      <c r="G23" s="15">
        <f t="shared" si="2"/>
        <v>5.9872705743043229</v>
      </c>
      <c r="H23" s="18">
        <f t="shared" si="3"/>
        <v>6.7829717213674423E-2</v>
      </c>
    </row>
    <row r="24" spans="1:8">
      <c r="A24" s="51">
        <v>16</v>
      </c>
      <c r="B24" s="62">
        <v>48</v>
      </c>
      <c r="C24" s="50">
        <v>2</v>
      </c>
      <c r="D24" s="76">
        <v>0.56799999999999995</v>
      </c>
      <c r="E24" s="58">
        <v>0.56699999999999995</v>
      </c>
      <c r="F24" s="58">
        <v>0.57399999999999995</v>
      </c>
      <c r="G24" s="15">
        <f>(C24*1000*AVERAGE(D24:F24))/$B$2</f>
        <v>12.648016577856717</v>
      </c>
      <c r="H24" s="18">
        <f>(C24*1000*STDEV(D24:F24))/$B$2</f>
        <v>8.4057257930732363E-2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7" sqref="G7:H2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0" t="s">
        <v>35</v>
      </c>
      <c r="B1" s="20" t="s">
        <v>60</v>
      </c>
    </row>
    <row r="2" spans="1:8">
      <c r="A2" s="20" t="s">
        <v>43</v>
      </c>
      <c r="B2" s="16">
        <v>46.07</v>
      </c>
    </row>
    <row r="4" spans="1:8">
      <c r="A4" s="104" t="s">
        <v>43</v>
      </c>
      <c r="B4" s="105"/>
      <c r="C4" s="105"/>
      <c r="D4" s="105"/>
      <c r="E4" s="105"/>
      <c r="F4" s="105"/>
      <c r="G4" s="105"/>
      <c r="H4" s="106"/>
    </row>
    <row r="5" spans="1:8">
      <c r="A5" s="107" t="s">
        <v>61</v>
      </c>
      <c r="B5" s="105"/>
      <c r="C5" s="106"/>
      <c r="D5" s="108" t="s">
        <v>44</v>
      </c>
      <c r="E5" s="108" t="s">
        <v>45</v>
      </c>
      <c r="F5" s="108" t="s">
        <v>46</v>
      </c>
      <c r="G5" s="110" t="s">
        <v>62</v>
      </c>
      <c r="H5" s="110" t="s">
        <v>63</v>
      </c>
    </row>
    <row r="6" spans="1:8">
      <c r="A6" s="21" t="s">
        <v>4</v>
      </c>
      <c r="B6" s="21" t="s">
        <v>59</v>
      </c>
      <c r="C6" s="21" t="s">
        <v>19</v>
      </c>
      <c r="D6" s="109"/>
      <c r="E6" s="109"/>
      <c r="F6" s="109"/>
      <c r="G6" s="111"/>
      <c r="H6" s="111"/>
    </row>
    <row r="7" spans="1:8">
      <c r="A7" s="49" t="s">
        <v>6</v>
      </c>
      <c r="B7" s="62">
        <v>-0.16666666666666666</v>
      </c>
      <c r="C7" s="50">
        <v>2</v>
      </c>
      <c r="D7" s="17">
        <v>0</v>
      </c>
      <c r="E7" s="17">
        <v>0</v>
      </c>
      <c r="F7" s="17">
        <v>0</v>
      </c>
      <c r="G7" s="15">
        <f>(C7*1000*AVERAGE(D7:F7))/$B$2</f>
        <v>0</v>
      </c>
      <c r="H7" s="18">
        <f>(C7*1000*STDEV(D7:F7))/$B$2</f>
        <v>0</v>
      </c>
    </row>
    <row r="8" spans="1:8">
      <c r="A8" s="51">
        <v>0</v>
      </c>
      <c r="B8" s="62">
        <v>0.16666666666666666</v>
      </c>
      <c r="C8" s="50">
        <v>2</v>
      </c>
      <c r="D8" s="17">
        <v>0</v>
      </c>
      <c r="E8" s="17">
        <v>0</v>
      </c>
      <c r="F8" s="17">
        <v>0</v>
      </c>
      <c r="G8" s="15">
        <f t="shared" ref="G8:G17" si="0">(C8*1000*AVERAGE(D8:F8))/$B$2</f>
        <v>0</v>
      </c>
      <c r="H8" s="18">
        <f t="shared" ref="H8:H17" si="1">(C8*1000*STDEV(D8:F8))/$B$2</f>
        <v>0</v>
      </c>
    </row>
    <row r="9" spans="1:8">
      <c r="A9" s="51">
        <v>1</v>
      </c>
      <c r="B9" s="62">
        <v>2</v>
      </c>
      <c r="C9" s="50">
        <v>2</v>
      </c>
      <c r="D9" s="17">
        <v>0</v>
      </c>
      <c r="E9" s="17">
        <v>0</v>
      </c>
      <c r="F9" s="17">
        <v>0</v>
      </c>
      <c r="G9" s="15">
        <f t="shared" si="0"/>
        <v>0</v>
      </c>
      <c r="H9" s="18">
        <f t="shared" si="1"/>
        <v>0</v>
      </c>
    </row>
    <row r="10" spans="1:8">
      <c r="A10" s="51">
        <v>2</v>
      </c>
      <c r="B10" s="62">
        <v>3.3333333333333335</v>
      </c>
      <c r="C10" s="50">
        <v>2</v>
      </c>
      <c r="D10" s="17">
        <v>0</v>
      </c>
      <c r="E10" s="17">
        <v>0</v>
      </c>
      <c r="F10" s="17">
        <v>0</v>
      </c>
      <c r="G10" s="15">
        <f t="shared" si="0"/>
        <v>0</v>
      </c>
      <c r="H10" s="18">
        <f t="shared" si="1"/>
        <v>0</v>
      </c>
    </row>
    <row r="11" spans="1:8">
      <c r="A11" s="51">
        <v>3</v>
      </c>
      <c r="B11" s="62">
        <v>4.666666666666667</v>
      </c>
      <c r="C11" s="50">
        <v>2</v>
      </c>
      <c r="D11" s="17">
        <v>0</v>
      </c>
      <c r="E11" s="17">
        <v>0</v>
      </c>
      <c r="F11" s="17">
        <v>0</v>
      </c>
      <c r="G11" s="15">
        <f t="shared" si="0"/>
        <v>0</v>
      </c>
      <c r="H11" s="18">
        <f t="shared" si="1"/>
        <v>0</v>
      </c>
    </row>
    <row r="12" spans="1:8">
      <c r="A12" s="51">
        <v>4</v>
      </c>
      <c r="B12" s="62">
        <v>6</v>
      </c>
      <c r="C12" s="50">
        <v>2</v>
      </c>
      <c r="D12" s="17">
        <v>0</v>
      </c>
      <c r="E12" s="17">
        <v>0</v>
      </c>
      <c r="F12" s="17">
        <v>0</v>
      </c>
      <c r="G12" s="15">
        <f t="shared" si="0"/>
        <v>0</v>
      </c>
      <c r="H12" s="18">
        <f t="shared" si="1"/>
        <v>0</v>
      </c>
    </row>
    <row r="13" spans="1:8">
      <c r="A13" s="51">
        <v>5</v>
      </c>
      <c r="B13" s="62">
        <v>7.333333333333333</v>
      </c>
      <c r="C13" s="50">
        <v>2</v>
      </c>
      <c r="D13" s="17">
        <v>0</v>
      </c>
      <c r="E13" s="17">
        <v>0</v>
      </c>
      <c r="F13" s="17">
        <v>0</v>
      </c>
      <c r="G13" s="15">
        <f t="shared" si="0"/>
        <v>0</v>
      </c>
      <c r="H13" s="18">
        <f t="shared" si="1"/>
        <v>0</v>
      </c>
    </row>
    <row r="14" spans="1:8">
      <c r="A14" s="51">
        <v>6</v>
      </c>
      <c r="B14" s="62">
        <v>8.9166666666666661</v>
      </c>
      <c r="C14" s="50">
        <v>2</v>
      </c>
      <c r="D14" s="17">
        <v>0</v>
      </c>
      <c r="E14" s="17">
        <v>0</v>
      </c>
      <c r="F14" s="17">
        <v>0</v>
      </c>
      <c r="G14" s="15">
        <f t="shared" si="0"/>
        <v>0</v>
      </c>
      <c r="H14" s="18">
        <f t="shared" si="1"/>
        <v>0</v>
      </c>
    </row>
    <row r="15" spans="1:8">
      <c r="A15" s="51">
        <v>7</v>
      </c>
      <c r="B15" s="62">
        <v>10.333333333333334</v>
      </c>
      <c r="C15" s="50">
        <v>2</v>
      </c>
      <c r="D15" s="17">
        <v>0</v>
      </c>
      <c r="E15" s="17">
        <v>0</v>
      </c>
      <c r="F15" s="17">
        <v>0</v>
      </c>
      <c r="G15" s="15">
        <f t="shared" si="0"/>
        <v>0</v>
      </c>
      <c r="H15" s="18">
        <f t="shared" si="1"/>
        <v>0</v>
      </c>
    </row>
    <row r="16" spans="1:8">
      <c r="A16" s="51">
        <v>8</v>
      </c>
      <c r="B16" s="62">
        <v>11.333333333333334</v>
      </c>
      <c r="C16" s="50">
        <v>2</v>
      </c>
      <c r="D16" s="17">
        <v>0</v>
      </c>
      <c r="E16" s="17">
        <v>0</v>
      </c>
      <c r="F16" s="17">
        <v>0</v>
      </c>
      <c r="G16" s="15">
        <f t="shared" si="0"/>
        <v>0</v>
      </c>
      <c r="H16" s="18">
        <f t="shared" si="1"/>
        <v>0</v>
      </c>
    </row>
    <row r="17" spans="1:8">
      <c r="A17" s="51">
        <v>9</v>
      </c>
      <c r="B17" s="62">
        <v>12.666666666666666</v>
      </c>
      <c r="C17" s="50">
        <v>2</v>
      </c>
      <c r="D17" s="17">
        <v>0</v>
      </c>
      <c r="E17" s="17">
        <v>0</v>
      </c>
      <c r="F17" s="17">
        <v>0</v>
      </c>
      <c r="G17" s="15">
        <f t="shared" si="0"/>
        <v>0</v>
      </c>
      <c r="H17" s="18">
        <f t="shared" si="1"/>
        <v>0</v>
      </c>
    </row>
    <row r="18" spans="1:8">
      <c r="A18" s="51">
        <v>10</v>
      </c>
      <c r="B18" s="62">
        <v>14</v>
      </c>
      <c r="C18" s="50">
        <v>2</v>
      </c>
      <c r="D18" s="17">
        <v>0</v>
      </c>
      <c r="E18" s="17">
        <v>0</v>
      </c>
      <c r="F18" s="17">
        <v>0</v>
      </c>
      <c r="G18" s="15">
        <f t="shared" ref="G18:G23" si="2">(C18*1000*AVERAGE(D18:F18))/$B$2</f>
        <v>0</v>
      </c>
      <c r="H18" s="18">
        <f t="shared" ref="H18:H23" si="3">(C18*1000*STDEV(D18:F18))/$B$2</f>
        <v>0</v>
      </c>
    </row>
    <row r="19" spans="1:8">
      <c r="A19" s="51">
        <v>11</v>
      </c>
      <c r="B19" s="62">
        <v>15.333333333333334</v>
      </c>
      <c r="C19" s="50">
        <v>2</v>
      </c>
      <c r="D19" s="17">
        <v>0</v>
      </c>
      <c r="E19" s="17">
        <v>0</v>
      </c>
      <c r="F19" s="17">
        <v>0</v>
      </c>
      <c r="G19" s="15">
        <f t="shared" si="2"/>
        <v>0</v>
      </c>
      <c r="H19" s="18">
        <f t="shared" si="3"/>
        <v>0</v>
      </c>
    </row>
    <row r="20" spans="1:8">
      <c r="A20" s="51">
        <v>12</v>
      </c>
      <c r="B20" s="62">
        <v>16.666666666666668</v>
      </c>
      <c r="C20" s="50">
        <v>2</v>
      </c>
      <c r="D20" s="17">
        <v>0</v>
      </c>
      <c r="E20" s="17">
        <v>0</v>
      </c>
      <c r="F20" s="17">
        <v>0</v>
      </c>
      <c r="G20" s="15">
        <f t="shared" si="2"/>
        <v>0</v>
      </c>
      <c r="H20" s="18">
        <f t="shared" si="3"/>
        <v>0</v>
      </c>
    </row>
    <row r="21" spans="1:8">
      <c r="A21" s="51">
        <v>13</v>
      </c>
      <c r="B21" s="62">
        <v>18</v>
      </c>
      <c r="C21" s="50">
        <v>2</v>
      </c>
      <c r="D21" s="17">
        <v>0</v>
      </c>
      <c r="E21" s="17">
        <v>0</v>
      </c>
      <c r="F21" s="17">
        <v>0</v>
      </c>
      <c r="G21" s="15">
        <f t="shared" si="2"/>
        <v>0</v>
      </c>
      <c r="H21" s="18">
        <f t="shared" si="3"/>
        <v>0</v>
      </c>
    </row>
    <row r="22" spans="1:8">
      <c r="A22" s="51">
        <v>14</v>
      </c>
      <c r="B22" s="62">
        <v>24</v>
      </c>
      <c r="C22" s="50">
        <v>2</v>
      </c>
      <c r="D22" s="17">
        <v>0</v>
      </c>
      <c r="E22" s="17">
        <v>0</v>
      </c>
      <c r="F22" s="17">
        <v>0</v>
      </c>
      <c r="G22" s="15">
        <f t="shared" si="2"/>
        <v>0</v>
      </c>
      <c r="H22" s="18">
        <f t="shared" si="3"/>
        <v>0</v>
      </c>
    </row>
    <row r="23" spans="1:8">
      <c r="A23" s="51">
        <v>15</v>
      </c>
      <c r="B23" s="62">
        <v>29.916666666666668</v>
      </c>
      <c r="C23" s="50">
        <v>2</v>
      </c>
      <c r="D23" s="17">
        <v>0</v>
      </c>
      <c r="E23" s="17">
        <v>0</v>
      </c>
      <c r="F23" s="17">
        <v>0</v>
      </c>
      <c r="G23" s="15">
        <f t="shared" si="2"/>
        <v>0</v>
      </c>
      <c r="H23" s="18">
        <f t="shared" si="3"/>
        <v>0</v>
      </c>
    </row>
    <row r="24" spans="1:8">
      <c r="A24" s="51">
        <v>16</v>
      </c>
      <c r="B24" s="62">
        <v>48</v>
      </c>
      <c r="C24" s="50">
        <v>2</v>
      </c>
      <c r="D24" s="17">
        <v>0</v>
      </c>
      <c r="E24" s="17">
        <v>0</v>
      </c>
      <c r="F24" s="17">
        <v>0</v>
      </c>
      <c r="G24" s="15">
        <f>(C24*1000*AVERAGE(D24:F24))/$B$2</f>
        <v>0</v>
      </c>
      <c r="H24" s="18">
        <f>(C24*1000*STDEV(D24:F24))/$B$2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3"/>
  <sheetViews>
    <sheetView workbookViewId="0">
      <selection activeCell="B12" sqref="B12"/>
    </sheetView>
  </sheetViews>
  <sheetFormatPr baseColWidth="10" defaultColWidth="8.83203125" defaultRowHeight="14" x14ac:dyDescent="0"/>
  <cols>
    <col min="1" max="1" width="23.6640625" bestFit="1" customWidth="1"/>
    <col min="3" max="3" width="9.1640625" bestFit="1" customWidth="1"/>
    <col min="4" max="4" width="10.1640625" bestFit="1" customWidth="1"/>
  </cols>
  <sheetData>
    <row r="1" spans="1:4">
      <c r="B1" s="29" t="s">
        <v>77</v>
      </c>
      <c r="C1" s="29" t="s">
        <v>78</v>
      </c>
    </row>
    <row r="2" spans="1:4">
      <c r="A2" s="29" t="s">
        <v>130</v>
      </c>
      <c r="B2" s="81">
        <f>Metabolites!H4-Metabolites!H20</f>
        <v>16.709127608189</v>
      </c>
      <c r="C2" s="81">
        <f>Metabolites!I4+Metabolites!I19</f>
        <v>1.224574288073919</v>
      </c>
      <c r="D2" s="81"/>
    </row>
    <row r="3" spans="1:4">
      <c r="A3" s="29" t="s">
        <v>141</v>
      </c>
      <c r="B3" s="81">
        <f>Metabolites!P20-Metabolites!P4</f>
        <v>9.4640697400378748</v>
      </c>
      <c r="C3" s="81">
        <f>Metabolites!Q4+Metabolites!Q20</f>
        <v>0.20782519823762483</v>
      </c>
      <c r="D3" s="81"/>
    </row>
    <row r="4" spans="1:4">
      <c r="A4" s="29" t="s">
        <v>109</v>
      </c>
      <c r="B4" s="81">
        <f>Metabolites!T20-Metabolites!T4</f>
        <v>0</v>
      </c>
      <c r="C4" s="81">
        <f>Metabolites!U4+Metabolites!U20</f>
        <v>0</v>
      </c>
      <c r="D4" s="81"/>
    </row>
    <row r="5" spans="1:4">
      <c r="A5" s="29" t="s">
        <v>110</v>
      </c>
      <c r="B5" s="81">
        <f>Metabolites!L20-Metabolites!L4</f>
        <v>12.145572600935148</v>
      </c>
      <c r="C5" s="81">
        <f>Metabolites!M20+Metabolites!M4</f>
        <v>9.8307635203657082E-2</v>
      </c>
      <c r="D5" s="81"/>
    </row>
    <row r="6" spans="1:4">
      <c r="A6" s="29" t="s">
        <v>111</v>
      </c>
      <c r="B6" s="81">
        <f>Metabolites!L41-Metabolites!L25</f>
        <v>0</v>
      </c>
      <c r="C6" s="81">
        <f>Metabolites!M41+Metabolites!M25</f>
        <v>0</v>
      </c>
      <c r="D6" s="81"/>
    </row>
    <row r="7" spans="1:4">
      <c r="A7" s="29" t="s">
        <v>79</v>
      </c>
      <c r="B7" s="81">
        <f>'H2'!G101</f>
        <v>13.136381663443498</v>
      </c>
      <c r="C7" s="81"/>
      <c r="D7" s="81"/>
    </row>
    <row r="8" spans="1:4">
      <c r="A8" s="29" t="s">
        <v>80</v>
      </c>
      <c r="B8" s="81">
        <f>'CO2'!G101</f>
        <v>9.8604921766823406</v>
      </c>
      <c r="C8" s="81"/>
      <c r="D8" s="81"/>
    </row>
    <row r="9" spans="1:4">
      <c r="A9" s="29" t="s">
        <v>113</v>
      </c>
      <c r="B9" s="81">
        <f xml:space="preserve"> Calculation!G19*1.5/1000</f>
        <v>1.35E-2</v>
      </c>
      <c r="C9" s="81"/>
      <c r="D9" s="81"/>
    </row>
    <row r="10" spans="1:4" ht="16">
      <c r="A10" s="29" t="s">
        <v>114</v>
      </c>
      <c r="B10" s="81">
        <f>Calculation!H19*1.5/1000</f>
        <v>0</v>
      </c>
      <c r="C10" s="81"/>
      <c r="D10" s="81"/>
    </row>
    <row r="11" spans="1:4">
      <c r="B11" s="81"/>
      <c r="C11" s="81"/>
      <c r="D11" s="81"/>
    </row>
    <row r="12" spans="1:4">
      <c r="A12" s="29" t="s">
        <v>81</v>
      </c>
      <c r="B12" s="82">
        <f>((4*$B$6)+(3*$B$5)+($B$4)+(B8)+(2*$B$3))/((6*$B$2))</f>
        <v>0.65059599947433489</v>
      </c>
    </row>
    <row r="13" spans="1:4">
      <c r="A13" s="29" t="s">
        <v>112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D3" sqref="D3:D20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15.83203125" style="2" customWidth="1"/>
    <col min="12" max="16384" width="8.83203125" style="2"/>
  </cols>
  <sheetData>
    <row r="1" spans="1:11">
      <c r="A1" s="90" t="s">
        <v>4</v>
      </c>
      <c r="B1" s="90" t="s">
        <v>103</v>
      </c>
      <c r="C1" s="90" t="s">
        <v>103</v>
      </c>
      <c r="D1" s="90" t="s">
        <v>5</v>
      </c>
      <c r="E1" s="4" t="s">
        <v>7</v>
      </c>
      <c r="F1" s="4" t="s">
        <v>9</v>
      </c>
      <c r="G1" s="92" t="s">
        <v>11</v>
      </c>
      <c r="H1" s="92" t="s">
        <v>12</v>
      </c>
      <c r="I1" s="4" t="s">
        <v>13</v>
      </c>
      <c r="J1" s="4" t="s">
        <v>16</v>
      </c>
      <c r="K1" s="4" t="s">
        <v>16</v>
      </c>
    </row>
    <row r="2" spans="1:11">
      <c r="A2" s="91"/>
      <c r="B2" s="91"/>
      <c r="C2" s="91"/>
      <c r="D2" s="91"/>
      <c r="E2" s="5" t="s">
        <v>8</v>
      </c>
      <c r="F2" s="5" t="s">
        <v>10</v>
      </c>
      <c r="G2" s="92"/>
      <c r="H2" s="92"/>
      <c r="I2" s="5" t="s">
        <v>14</v>
      </c>
      <c r="J2" s="5" t="s">
        <v>17</v>
      </c>
      <c r="K2" s="5" t="s">
        <v>132</v>
      </c>
    </row>
    <row r="3" spans="1:11">
      <c r="A3" s="31" t="s">
        <v>6</v>
      </c>
      <c r="B3" s="49">
        <v>-10</v>
      </c>
      <c r="C3" s="50">
        <v>-10</v>
      </c>
      <c r="D3" s="62">
        <f>C3/60</f>
        <v>-0.16666666666666666</v>
      </c>
      <c r="E3" s="3">
        <v>57</v>
      </c>
      <c r="F3" s="1">
        <f>E3</f>
        <v>57</v>
      </c>
      <c r="G3" s="1">
        <v>0</v>
      </c>
      <c r="H3" s="1">
        <v>0</v>
      </c>
      <c r="I3" s="1">
        <f>F23+G3+H3</f>
        <v>1500</v>
      </c>
      <c r="J3" s="12">
        <f>F3*1500/I3</f>
        <v>57</v>
      </c>
      <c r="K3" s="12">
        <f>F24-J3</f>
        <v>1518</v>
      </c>
    </row>
    <row r="4" spans="1:11">
      <c r="A4" s="1">
        <v>0</v>
      </c>
      <c r="B4" s="51">
        <v>10</v>
      </c>
      <c r="C4" s="52">
        <v>10</v>
      </c>
      <c r="D4" s="62">
        <f t="shared" ref="D4:D19" si="0">C4/60</f>
        <v>0.16666666666666666</v>
      </c>
      <c r="E4" s="1">
        <v>47</v>
      </c>
      <c r="F4" s="1">
        <f>E4+F3</f>
        <v>104</v>
      </c>
      <c r="G4" s="1">
        <v>0</v>
      </c>
      <c r="H4" s="1">
        <v>0</v>
      </c>
      <c r="I4" s="1">
        <f t="shared" ref="I4:I20" si="1">$F$24-F3+G4+H4</f>
        <v>1518</v>
      </c>
      <c r="J4" s="12">
        <f>E4*K3/I4</f>
        <v>47</v>
      </c>
      <c r="K4" s="12">
        <f>K3-J4</f>
        <v>1471</v>
      </c>
    </row>
    <row r="5" spans="1:11">
      <c r="A5" s="1">
        <v>1</v>
      </c>
      <c r="B5" s="51">
        <v>110</v>
      </c>
      <c r="C5" s="52">
        <f>C4+B5</f>
        <v>120</v>
      </c>
      <c r="D5" s="62">
        <f t="shared" si="0"/>
        <v>2</v>
      </c>
      <c r="E5" s="1">
        <v>49</v>
      </c>
      <c r="F5" s="37">
        <f t="shared" ref="F5:F18" si="2">E5+F4</f>
        <v>153</v>
      </c>
      <c r="G5" s="37">
        <v>1</v>
      </c>
      <c r="H5" s="1">
        <v>0</v>
      </c>
      <c r="I5" s="37">
        <f t="shared" si="1"/>
        <v>1472</v>
      </c>
      <c r="J5" s="12">
        <f>E5*K4/I5</f>
        <v>48.966711956521742</v>
      </c>
      <c r="K5" s="12">
        <f>K4-J5</f>
        <v>1422.0332880434783</v>
      </c>
    </row>
    <row r="6" spans="1:11">
      <c r="A6" s="1">
        <v>2</v>
      </c>
      <c r="B6" s="51">
        <v>80</v>
      </c>
      <c r="C6" s="52">
        <f t="shared" ref="C6:C18" si="3">C5+B6</f>
        <v>200</v>
      </c>
      <c r="D6" s="62">
        <f t="shared" si="0"/>
        <v>3.3333333333333335</v>
      </c>
      <c r="E6" s="1">
        <v>50</v>
      </c>
      <c r="F6" s="37">
        <f t="shared" si="2"/>
        <v>203</v>
      </c>
      <c r="G6" s="37">
        <v>1</v>
      </c>
      <c r="H6" s="22">
        <v>0</v>
      </c>
      <c r="I6" s="37">
        <f t="shared" si="1"/>
        <v>1423</v>
      </c>
      <c r="J6" s="12">
        <f t="shared" ref="J6:J18" si="4">E6*K5/I6</f>
        <v>49.966032608695656</v>
      </c>
      <c r="K6" s="12">
        <f>K5-J6</f>
        <v>1372.0672554347825</v>
      </c>
    </row>
    <row r="7" spans="1:11">
      <c r="A7" s="1">
        <v>3</v>
      </c>
      <c r="B7" s="51">
        <v>80</v>
      </c>
      <c r="C7" s="52">
        <f>C6+B7</f>
        <v>280</v>
      </c>
      <c r="D7" s="62">
        <f t="shared" si="0"/>
        <v>4.666666666666667</v>
      </c>
      <c r="E7" s="1">
        <v>49</v>
      </c>
      <c r="F7" s="37">
        <f t="shared" si="2"/>
        <v>252</v>
      </c>
      <c r="G7" s="37">
        <v>1</v>
      </c>
      <c r="H7" s="22">
        <v>0</v>
      </c>
      <c r="I7" s="37">
        <f t="shared" si="1"/>
        <v>1373</v>
      </c>
      <c r="J7" s="12">
        <f t="shared" si="4"/>
        <v>48.966711956521735</v>
      </c>
      <c r="K7" s="12">
        <f t="shared" ref="K7:K17" si="5">K6-J7</f>
        <v>1323.1005434782608</v>
      </c>
    </row>
    <row r="8" spans="1:11">
      <c r="A8" s="1">
        <v>4</v>
      </c>
      <c r="B8" s="51">
        <v>80</v>
      </c>
      <c r="C8" s="52">
        <f t="shared" si="3"/>
        <v>360</v>
      </c>
      <c r="D8" s="62">
        <f t="shared" si="0"/>
        <v>6</v>
      </c>
      <c r="E8" s="1">
        <v>48</v>
      </c>
      <c r="F8" s="37">
        <f t="shared" si="2"/>
        <v>300</v>
      </c>
      <c r="G8" s="37">
        <v>1</v>
      </c>
      <c r="H8" s="37">
        <v>0</v>
      </c>
      <c r="I8" s="37">
        <f t="shared" si="1"/>
        <v>1324</v>
      </c>
      <c r="J8" s="12">
        <f t="shared" si="4"/>
        <v>47.967391304347821</v>
      </c>
      <c r="K8" s="12">
        <f t="shared" si="5"/>
        <v>1275.133152173913</v>
      </c>
    </row>
    <row r="9" spans="1:11">
      <c r="A9" s="1">
        <v>5</v>
      </c>
      <c r="B9" s="51">
        <v>80</v>
      </c>
      <c r="C9" s="52">
        <f t="shared" si="3"/>
        <v>440</v>
      </c>
      <c r="D9" s="62">
        <f t="shared" si="0"/>
        <v>7.333333333333333</v>
      </c>
      <c r="E9" s="1">
        <v>50</v>
      </c>
      <c r="F9" s="37">
        <f>E9+F8</f>
        <v>350</v>
      </c>
      <c r="G9" s="37">
        <v>1</v>
      </c>
      <c r="H9" s="37">
        <v>0</v>
      </c>
      <c r="I9" s="37">
        <f t="shared" si="1"/>
        <v>1276</v>
      </c>
      <c r="J9" s="12">
        <f t="shared" si="4"/>
        <v>49.966032608695649</v>
      </c>
      <c r="K9" s="12">
        <f>K8-J9</f>
        <v>1225.1671195652173</v>
      </c>
    </row>
    <row r="10" spans="1:11">
      <c r="A10" s="1">
        <v>6</v>
      </c>
      <c r="B10" s="51">
        <v>95</v>
      </c>
      <c r="C10" s="52">
        <f t="shared" si="3"/>
        <v>535</v>
      </c>
      <c r="D10" s="62">
        <f t="shared" si="0"/>
        <v>8.9166666666666661</v>
      </c>
      <c r="E10" s="1">
        <v>52</v>
      </c>
      <c r="F10" s="37">
        <f t="shared" si="2"/>
        <v>402</v>
      </c>
      <c r="G10" s="37">
        <v>2</v>
      </c>
      <c r="H10" s="37">
        <v>0</v>
      </c>
      <c r="I10" s="37">
        <f t="shared" si="1"/>
        <v>1227</v>
      </c>
      <c r="J10" s="12">
        <f t="shared" si="4"/>
        <v>51.922322915559327</v>
      </c>
      <c r="K10" s="12">
        <f>K9-J10</f>
        <v>1173.2447966496579</v>
      </c>
    </row>
    <row r="11" spans="1:11">
      <c r="A11" s="1">
        <v>7</v>
      </c>
      <c r="B11" s="51">
        <v>85</v>
      </c>
      <c r="C11" s="52">
        <f t="shared" si="3"/>
        <v>620</v>
      </c>
      <c r="D11" s="62">
        <f t="shared" si="0"/>
        <v>10.333333333333334</v>
      </c>
      <c r="E11" s="1">
        <v>51</v>
      </c>
      <c r="F11" s="37">
        <f t="shared" si="2"/>
        <v>453</v>
      </c>
      <c r="G11" s="37">
        <v>2</v>
      </c>
      <c r="H11" s="37">
        <v>0</v>
      </c>
      <c r="I11" s="37">
        <f t="shared" si="1"/>
        <v>1175</v>
      </c>
      <c r="J11" s="12">
        <f>E11*K10/I11</f>
        <v>50.923816705644725</v>
      </c>
      <c r="K11" s="12">
        <f t="shared" si="5"/>
        <v>1122.3209799440133</v>
      </c>
    </row>
    <row r="12" spans="1:11">
      <c r="A12" s="1">
        <v>8</v>
      </c>
      <c r="B12" s="51">
        <v>60</v>
      </c>
      <c r="C12" s="52">
        <f t="shared" si="3"/>
        <v>680</v>
      </c>
      <c r="D12" s="62">
        <f t="shared" si="0"/>
        <v>11.333333333333334</v>
      </c>
      <c r="E12" s="1">
        <v>49</v>
      </c>
      <c r="F12" s="37">
        <f t="shared" si="2"/>
        <v>502</v>
      </c>
      <c r="G12" s="37">
        <v>2</v>
      </c>
      <c r="H12" s="37">
        <v>0</v>
      </c>
      <c r="I12" s="37">
        <f t="shared" si="1"/>
        <v>1124</v>
      </c>
      <c r="J12" s="12">
        <f>E12*K11/I12</f>
        <v>48.926804285815528</v>
      </c>
      <c r="K12" s="12">
        <f t="shared" si="5"/>
        <v>1073.3941756581978</v>
      </c>
    </row>
    <row r="13" spans="1:11">
      <c r="A13" s="1">
        <v>9</v>
      </c>
      <c r="B13" s="51">
        <v>80</v>
      </c>
      <c r="C13" s="52">
        <f t="shared" si="3"/>
        <v>760</v>
      </c>
      <c r="D13" s="62">
        <f t="shared" si="0"/>
        <v>12.666666666666666</v>
      </c>
      <c r="E13" s="3">
        <v>49</v>
      </c>
      <c r="F13" s="37">
        <f t="shared" si="2"/>
        <v>551</v>
      </c>
      <c r="G13" s="37">
        <v>2</v>
      </c>
      <c r="H13" s="37">
        <v>0</v>
      </c>
      <c r="I13" s="37">
        <f t="shared" si="1"/>
        <v>1075</v>
      </c>
      <c r="J13" s="12">
        <f>E13*K12/I13</f>
        <v>48.926804285815528</v>
      </c>
      <c r="K13" s="12">
        <f t="shared" si="5"/>
        <v>1024.4673713723823</v>
      </c>
    </row>
    <row r="14" spans="1:11">
      <c r="A14" s="34">
        <v>10</v>
      </c>
      <c r="B14" s="51">
        <v>80</v>
      </c>
      <c r="C14" s="52">
        <f t="shared" si="3"/>
        <v>840</v>
      </c>
      <c r="D14" s="62">
        <f t="shared" si="0"/>
        <v>14</v>
      </c>
      <c r="E14" s="34">
        <v>47</v>
      </c>
      <c r="F14" s="37">
        <f t="shared" si="2"/>
        <v>598</v>
      </c>
      <c r="G14" s="37">
        <v>2</v>
      </c>
      <c r="H14" s="37">
        <v>0</v>
      </c>
      <c r="I14" s="37">
        <f t="shared" si="1"/>
        <v>1026</v>
      </c>
      <c r="J14" s="12">
        <f t="shared" si="4"/>
        <v>46.929791865986324</v>
      </c>
      <c r="K14" s="12">
        <f t="shared" si="5"/>
        <v>977.53757950639601</v>
      </c>
    </row>
    <row r="15" spans="1:11">
      <c r="A15" s="34">
        <v>11</v>
      </c>
      <c r="B15" s="51">
        <v>80</v>
      </c>
      <c r="C15" s="52">
        <f t="shared" si="3"/>
        <v>920</v>
      </c>
      <c r="D15" s="62">
        <f t="shared" si="0"/>
        <v>15.333333333333334</v>
      </c>
      <c r="E15" s="34">
        <v>46</v>
      </c>
      <c r="F15" s="37">
        <f t="shared" si="2"/>
        <v>644</v>
      </c>
      <c r="G15" s="37">
        <v>3</v>
      </c>
      <c r="H15" s="37">
        <v>0</v>
      </c>
      <c r="I15" s="37">
        <f t="shared" si="1"/>
        <v>980</v>
      </c>
      <c r="J15" s="12">
        <f t="shared" si="4"/>
        <v>45.884416997239001</v>
      </c>
      <c r="K15" s="12">
        <f t="shared" si="5"/>
        <v>931.65316250915703</v>
      </c>
    </row>
    <row r="16" spans="1:11">
      <c r="A16" s="34">
        <v>12</v>
      </c>
      <c r="B16" s="51">
        <v>80</v>
      </c>
      <c r="C16" s="52">
        <f t="shared" si="3"/>
        <v>1000</v>
      </c>
      <c r="D16" s="62">
        <f t="shared" si="0"/>
        <v>16.666666666666668</v>
      </c>
      <c r="E16" s="34">
        <v>45</v>
      </c>
      <c r="F16" s="37">
        <f t="shared" si="2"/>
        <v>689</v>
      </c>
      <c r="G16" s="37">
        <v>3</v>
      </c>
      <c r="H16" s="37">
        <v>0</v>
      </c>
      <c r="I16" s="37">
        <f t="shared" si="1"/>
        <v>934</v>
      </c>
      <c r="J16" s="12">
        <f t="shared" si="4"/>
        <v>44.886929671212066</v>
      </c>
      <c r="K16" s="12">
        <f t="shared" si="5"/>
        <v>886.76623283794493</v>
      </c>
    </row>
    <row r="17" spans="1:11">
      <c r="A17" s="34">
        <v>13</v>
      </c>
      <c r="B17" s="51">
        <v>80</v>
      </c>
      <c r="C17" s="52">
        <f t="shared" si="3"/>
        <v>1080</v>
      </c>
      <c r="D17" s="62">
        <f t="shared" si="0"/>
        <v>18</v>
      </c>
      <c r="E17" s="34">
        <v>58</v>
      </c>
      <c r="F17" s="37">
        <f t="shared" si="2"/>
        <v>747</v>
      </c>
      <c r="G17" s="37">
        <v>3</v>
      </c>
      <c r="H17" s="37">
        <v>0</v>
      </c>
      <c r="I17" s="37">
        <f t="shared" si="1"/>
        <v>889</v>
      </c>
      <c r="J17" s="12">
        <f t="shared" si="4"/>
        <v>57.854264909562211</v>
      </c>
      <c r="K17" s="12">
        <f t="shared" si="5"/>
        <v>828.91196792838275</v>
      </c>
    </row>
    <row r="18" spans="1:11">
      <c r="A18" s="34">
        <v>14</v>
      </c>
      <c r="B18" s="51">
        <v>360</v>
      </c>
      <c r="C18" s="52">
        <f t="shared" si="3"/>
        <v>1440</v>
      </c>
      <c r="D18" s="62">
        <f t="shared" si="0"/>
        <v>24</v>
      </c>
      <c r="E18" s="2">
        <v>56</v>
      </c>
      <c r="F18" s="37">
        <f t="shared" si="2"/>
        <v>803</v>
      </c>
      <c r="G18" s="37">
        <v>5</v>
      </c>
      <c r="H18" s="37">
        <v>0</v>
      </c>
      <c r="I18" s="37">
        <f t="shared" si="1"/>
        <v>833</v>
      </c>
      <c r="J18" s="12">
        <f t="shared" si="4"/>
        <v>55.725174314513126</v>
      </c>
      <c r="K18" s="12">
        <f>K17-J18</f>
        <v>773.18679361386967</v>
      </c>
    </row>
    <row r="19" spans="1:11">
      <c r="A19" s="34">
        <v>15</v>
      </c>
      <c r="B19" s="51">
        <v>355</v>
      </c>
      <c r="C19" s="52">
        <f>C18+B19</f>
        <v>1795</v>
      </c>
      <c r="D19" s="62">
        <f t="shared" si="0"/>
        <v>29.916666666666668</v>
      </c>
      <c r="E19" s="34">
        <v>52</v>
      </c>
      <c r="F19" s="37">
        <f>E19+F18</f>
        <v>855</v>
      </c>
      <c r="G19" s="37">
        <v>9</v>
      </c>
      <c r="H19" s="37">
        <v>0</v>
      </c>
      <c r="I19" s="37">
        <f t="shared" si="1"/>
        <v>781</v>
      </c>
      <c r="J19" s="12">
        <f>E19*K18/I19</f>
        <v>51.479786514623846</v>
      </c>
      <c r="K19" s="12">
        <f>K18-J19</f>
        <v>721.70700709924586</v>
      </c>
    </row>
    <row r="20" spans="1:11">
      <c r="A20" s="37">
        <v>16</v>
      </c>
      <c r="B20" s="51">
        <v>1085</v>
      </c>
      <c r="C20" s="52">
        <f>C19+B20</f>
        <v>2880</v>
      </c>
      <c r="D20" s="62">
        <f>C20/60</f>
        <v>48</v>
      </c>
      <c r="E20" s="37">
        <v>27</v>
      </c>
      <c r="F20" s="37">
        <f>E20+F19</f>
        <v>882</v>
      </c>
      <c r="G20" s="37">
        <v>14</v>
      </c>
      <c r="H20" s="37">
        <v>0</v>
      </c>
      <c r="I20" s="37">
        <f t="shared" si="1"/>
        <v>734</v>
      </c>
      <c r="J20" s="12">
        <f>E20*K19/I20</f>
        <v>26.54780543825564</v>
      </c>
      <c r="K20" s="12">
        <f>K19-J20</f>
        <v>695.15920166099022</v>
      </c>
    </row>
    <row r="21" spans="1:11">
      <c r="A21" s="9"/>
      <c r="B21" s="71"/>
      <c r="C21" s="71"/>
      <c r="D21" s="63"/>
      <c r="E21" s="9"/>
      <c r="F21" s="9"/>
      <c r="G21" s="9"/>
      <c r="H21" s="9"/>
      <c r="I21" s="9"/>
      <c r="J21" s="72"/>
      <c r="K21" s="72"/>
    </row>
    <row r="23" spans="1:11">
      <c r="A23" s="93" t="s">
        <v>15</v>
      </c>
      <c r="B23" s="84"/>
      <c r="C23" s="84"/>
      <c r="D23" s="84"/>
      <c r="E23" s="94"/>
      <c r="F23" s="1">
        <v>1500</v>
      </c>
    </row>
    <row r="24" spans="1:11">
      <c r="A24" s="87" t="s">
        <v>133</v>
      </c>
      <c r="B24" s="88"/>
      <c r="C24" s="88"/>
      <c r="D24" s="88"/>
      <c r="E24" s="89"/>
      <c r="F24" s="50">
        <v>1575</v>
      </c>
    </row>
  </sheetData>
  <mergeCells count="8">
    <mergeCell ref="A24:E24"/>
    <mergeCell ref="A1:A2"/>
    <mergeCell ref="D1:D2"/>
    <mergeCell ref="G1:G2"/>
    <mergeCell ref="H1:H2"/>
    <mergeCell ref="A23:E23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E26" sqref="E26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90" t="s">
        <v>4</v>
      </c>
      <c r="B1" s="90" t="s">
        <v>103</v>
      </c>
      <c r="C1" s="90" t="s">
        <v>103</v>
      </c>
      <c r="D1" s="90" t="s">
        <v>5</v>
      </c>
      <c r="E1" s="86" t="s">
        <v>18</v>
      </c>
      <c r="F1" s="86"/>
      <c r="G1" s="86"/>
      <c r="H1" s="86"/>
      <c r="I1" s="86" t="s">
        <v>20</v>
      </c>
      <c r="J1" s="86"/>
      <c r="K1" s="86"/>
      <c r="L1" s="86"/>
      <c r="M1" s="86" t="s">
        <v>21</v>
      </c>
      <c r="N1" s="86"/>
      <c r="O1" s="86"/>
      <c r="P1" s="86"/>
      <c r="Q1" s="35" t="s">
        <v>22</v>
      </c>
      <c r="R1" s="35" t="s">
        <v>22</v>
      </c>
      <c r="S1" s="35" t="s">
        <v>22</v>
      </c>
    </row>
    <row r="2" spans="1:19">
      <c r="A2" s="91"/>
      <c r="B2" s="91"/>
      <c r="C2" s="91"/>
      <c r="D2" s="91"/>
      <c r="E2" s="38" t="s">
        <v>19</v>
      </c>
      <c r="F2" s="38" t="s">
        <v>67</v>
      </c>
      <c r="G2" s="38" t="s">
        <v>104</v>
      </c>
      <c r="H2" s="38" t="s">
        <v>69</v>
      </c>
      <c r="I2" s="38" t="s">
        <v>19</v>
      </c>
      <c r="J2" s="38" t="s">
        <v>67</v>
      </c>
      <c r="K2" s="38" t="s">
        <v>68</v>
      </c>
      <c r="L2" s="38" t="s">
        <v>69</v>
      </c>
      <c r="M2" s="38" t="s">
        <v>19</v>
      </c>
      <c r="N2" s="38" t="s">
        <v>67</v>
      </c>
      <c r="O2" s="38" t="s">
        <v>68</v>
      </c>
      <c r="P2" s="38" t="s">
        <v>70</v>
      </c>
      <c r="Q2" s="36" t="s">
        <v>69</v>
      </c>
      <c r="R2" s="36" t="s">
        <v>23</v>
      </c>
      <c r="S2" s="36" t="s">
        <v>71</v>
      </c>
    </row>
    <row r="3" spans="1:19" s="6" customFormat="1">
      <c r="A3" s="37" t="s">
        <v>6</v>
      </c>
      <c r="B3" s="49">
        <v>-10</v>
      </c>
      <c r="C3" s="50">
        <v>-10</v>
      </c>
      <c r="D3" s="62">
        <f>C3/60</f>
        <v>-0.16666666666666666</v>
      </c>
      <c r="Q3" s="95"/>
      <c r="R3" s="96"/>
      <c r="S3" s="97"/>
    </row>
    <row r="4" spans="1:19">
      <c r="A4" s="37">
        <v>0</v>
      </c>
      <c r="B4" s="51">
        <v>10</v>
      </c>
      <c r="C4" s="52">
        <v>10</v>
      </c>
      <c r="D4" s="62">
        <f t="shared" ref="D4:D20" si="0">C4/60</f>
        <v>0.16666666666666666</v>
      </c>
      <c r="Q4" s="42" t="e">
        <f>AVERAGE('Flow cytometer'!P4,'Flow cytometer'!L4,'Flow cytometer'!H4)*Calculation!K4/Calculation!M3</f>
        <v>#DIV/0!</v>
      </c>
      <c r="R4" s="42" t="e">
        <f>STDEV('Flow cytometer'!P4,'Flow cytometer'!L4,'Flow cytometer'!H4)*Calculation!K4/Calculation!M3</f>
        <v>#DIV/0!</v>
      </c>
      <c r="S4" s="43" t="e">
        <f t="shared" ref="S4:S19" si="1">LOG(Q4)</f>
        <v>#DIV/0!</v>
      </c>
    </row>
    <row r="5" spans="1:19">
      <c r="A5" s="37">
        <v>1</v>
      </c>
      <c r="B5" s="51">
        <v>110</v>
      </c>
      <c r="C5" s="52">
        <f>C4+B5</f>
        <v>120</v>
      </c>
      <c r="D5" s="62">
        <f t="shared" si="0"/>
        <v>2</v>
      </c>
      <c r="Q5" s="42" t="e">
        <f>AVERAGE('Flow cytometer'!P5,'Flow cytometer'!L5,'Flow cytometer'!H5)*Calculation!K5/Calculation!M4</f>
        <v>#DIV/0!</v>
      </c>
      <c r="R5" s="42" t="e">
        <f>STDEV('Flow cytometer'!P5,'Flow cytometer'!L5,'Flow cytometer'!H5)*Calculation!K5/Calculation!M4</f>
        <v>#DIV/0!</v>
      </c>
      <c r="S5" s="43" t="e">
        <f t="shared" si="1"/>
        <v>#DIV/0!</v>
      </c>
    </row>
    <row r="6" spans="1:19">
      <c r="A6" s="37">
        <v>2</v>
      </c>
      <c r="B6" s="51">
        <v>80</v>
      </c>
      <c r="C6" s="52">
        <f t="shared" ref="C6:C18" si="2">C5+B6</f>
        <v>200</v>
      </c>
      <c r="D6" s="62">
        <f t="shared" si="0"/>
        <v>3.3333333333333335</v>
      </c>
      <c r="Q6" s="42" t="e">
        <f>AVERAGE('Flow cytometer'!P6,'Flow cytometer'!L6,'Flow cytometer'!H6)*Calculation!K6/Calculation!M5</f>
        <v>#DIV/0!</v>
      </c>
      <c r="R6" s="42" t="e">
        <f>STDEV('Flow cytometer'!P6,'Flow cytometer'!L6,'Flow cytometer'!H6)*Calculation!K6/Calculation!M5</f>
        <v>#DIV/0!</v>
      </c>
      <c r="S6" s="43" t="e">
        <f t="shared" si="1"/>
        <v>#DIV/0!</v>
      </c>
    </row>
    <row r="7" spans="1:19">
      <c r="A7" s="37">
        <v>3</v>
      </c>
      <c r="B7" s="51">
        <v>80</v>
      </c>
      <c r="C7" s="52">
        <f>C6+B7</f>
        <v>280</v>
      </c>
      <c r="D7" s="62">
        <f>C7/60</f>
        <v>4.666666666666667</v>
      </c>
      <c r="Q7" s="42" t="e">
        <f>AVERAGE('Flow cytometer'!P7,'Flow cytometer'!L7,'Flow cytometer'!H7)*Calculation!K7/Calculation!M6</f>
        <v>#DIV/0!</v>
      </c>
      <c r="R7" s="42" t="e">
        <f>STDEV('Flow cytometer'!P7,'Flow cytometer'!L7,'Flow cytometer'!H7)*Calculation!K7/Calculation!M6</f>
        <v>#DIV/0!</v>
      </c>
      <c r="S7" s="43" t="e">
        <f t="shared" si="1"/>
        <v>#DIV/0!</v>
      </c>
    </row>
    <row r="8" spans="1:19">
      <c r="A8" s="37">
        <v>4</v>
      </c>
      <c r="B8" s="51">
        <v>80</v>
      </c>
      <c r="C8" s="52">
        <f t="shared" si="2"/>
        <v>360</v>
      </c>
      <c r="D8" s="62">
        <f t="shared" si="0"/>
        <v>6</v>
      </c>
      <c r="Q8" s="42" t="e">
        <f>AVERAGE('Flow cytometer'!P8,'Flow cytometer'!L8,'Flow cytometer'!H8)*Calculation!K8/Calculation!M7</f>
        <v>#DIV/0!</v>
      </c>
      <c r="R8" s="42" t="e">
        <f>STDEV('Flow cytometer'!P8,'Flow cytometer'!L8,'Flow cytometer'!H8)*Calculation!K8/Calculation!M7</f>
        <v>#DIV/0!</v>
      </c>
      <c r="S8" s="43" t="e">
        <f t="shared" si="1"/>
        <v>#DIV/0!</v>
      </c>
    </row>
    <row r="9" spans="1:19">
      <c r="A9" s="37">
        <v>5</v>
      </c>
      <c r="B9" s="51">
        <v>80</v>
      </c>
      <c r="C9" s="52">
        <f t="shared" si="2"/>
        <v>440</v>
      </c>
      <c r="D9" s="62">
        <f t="shared" si="0"/>
        <v>7.333333333333333</v>
      </c>
      <c r="Q9" s="42" t="e">
        <f>AVERAGE('Flow cytometer'!P9,'Flow cytometer'!L9,'Flow cytometer'!H9)*Calculation!K9/Calculation!M8</f>
        <v>#DIV/0!</v>
      </c>
      <c r="R9" s="42" t="e">
        <f>STDEV('Flow cytometer'!P9,'Flow cytometer'!L9,'Flow cytometer'!H9)*Calculation!K9/Calculation!M8</f>
        <v>#DIV/0!</v>
      </c>
      <c r="S9" s="43" t="e">
        <f t="shared" si="1"/>
        <v>#DIV/0!</v>
      </c>
    </row>
    <row r="10" spans="1:19">
      <c r="A10" s="37">
        <v>6</v>
      </c>
      <c r="B10" s="51">
        <v>95</v>
      </c>
      <c r="C10" s="52">
        <f t="shared" si="2"/>
        <v>535</v>
      </c>
      <c r="D10" s="62">
        <f t="shared" si="0"/>
        <v>8.9166666666666661</v>
      </c>
      <c r="Q10" s="42" t="e">
        <f>AVERAGE('Flow cytometer'!P10,'Flow cytometer'!L10,'Flow cytometer'!H10)*Calculation!K10/Calculation!M9</f>
        <v>#DIV/0!</v>
      </c>
      <c r="R10" s="42" t="e">
        <f>STDEV('Flow cytometer'!P10,'Flow cytometer'!L10,'Flow cytometer'!H10)*Calculation!K10/Calculation!M9</f>
        <v>#DIV/0!</v>
      </c>
      <c r="S10" s="43" t="e">
        <f t="shared" si="1"/>
        <v>#DIV/0!</v>
      </c>
    </row>
    <row r="11" spans="1:19">
      <c r="A11" s="37">
        <v>7</v>
      </c>
      <c r="B11" s="51">
        <v>85</v>
      </c>
      <c r="C11" s="52">
        <f t="shared" si="2"/>
        <v>620</v>
      </c>
      <c r="D11" s="62">
        <f t="shared" si="0"/>
        <v>10.333333333333334</v>
      </c>
      <c r="Q11" s="42" t="e">
        <f>AVERAGE('Flow cytometer'!P11,'Flow cytometer'!L11,'Flow cytometer'!H11)*Calculation!K11/Calculation!M10</f>
        <v>#DIV/0!</v>
      </c>
      <c r="R11" s="42" t="e">
        <f>STDEV('Flow cytometer'!P11,'Flow cytometer'!L11,'Flow cytometer'!H11)*Calculation!K11/Calculation!M10</f>
        <v>#DIV/0!</v>
      </c>
      <c r="S11" s="43" t="e">
        <f t="shared" si="1"/>
        <v>#DIV/0!</v>
      </c>
    </row>
    <row r="12" spans="1:19">
      <c r="A12" s="37">
        <v>8</v>
      </c>
      <c r="B12" s="51">
        <v>60</v>
      </c>
      <c r="C12" s="52">
        <f t="shared" si="2"/>
        <v>680</v>
      </c>
      <c r="D12" s="62">
        <f t="shared" si="0"/>
        <v>11.333333333333334</v>
      </c>
      <c r="Q12" s="42" t="e">
        <f>AVERAGE('Flow cytometer'!P12,'Flow cytometer'!L12,'Flow cytometer'!H12)*Calculation!K12/Calculation!M11</f>
        <v>#DIV/0!</v>
      </c>
      <c r="R12" s="42" t="e">
        <f>STDEV('Flow cytometer'!P12,'Flow cytometer'!L12,'Flow cytometer'!H12)*Calculation!K12/Calculation!M11</f>
        <v>#DIV/0!</v>
      </c>
      <c r="S12" s="43" t="e">
        <f t="shared" si="1"/>
        <v>#DIV/0!</v>
      </c>
    </row>
    <row r="13" spans="1:19">
      <c r="A13" s="37">
        <v>9</v>
      </c>
      <c r="B13" s="51">
        <v>80</v>
      </c>
      <c r="C13" s="52">
        <f t="shared" si="2"/>
        <v>760</v>
      </c>
      <c r="D13" s="62">
        <f t="shared" si="0"/>
        <v>12.666666666666666</v>
      </c>
      <c r="Q13" s="42" t="e">
        <f>AVERAGE('Flow cytometer'!P13,'Flow cytometer'!L13,'Flow cytometer'!H13)*Calculation!K13/Calculation!M12</f>
        <v>#DIV/0!</v>
      </c>
      <c r="R13" s="42" t="e">
        <f>STDEV('Flow cytometer'!P13,'Flow cytometer'!L13,'Flow cytometer'!H13)*Calculation!K13/Calculation!M12</f>
        <v>#DIV/0!</v>
      </c>
      <c r="S13" s="43" t="e">
        <f t="shared" si="1"/>
        <v>#DIV/0!</v>
      </c>
    </row>
    <row r="14" spans="1:19">
      <c r="A14" s="37">
        <v>10</v>
      </c>
      <c r="B14" s="51">
        <v>80</v>
      </c>
      <c r="C14" s="52">
        <f t="shared" si="2"/>
        <v>840</v>
      </c>
      <c r="D14" s="62">
        <f t="shared" si="0"/>
        <v>14</v>
      </c>
      <c r="Q14" s="42" t="e">
        <f>AVERAGE('Flow cytometer'!P14,'Flow cytometer'!L14,'Flow cytometer'!H14)*Calculation!K14/Calculation!M13</f>
        <v>#DIV/0!</v>
      </c>
      <c r="R14" s="42" t="e">
        <f>STDEV('Flow cytometer'!P14,'Flow cytometer'!L14,'Flow cytometer'!H14)*Calculation!K14/Calculation!M13</f>
        <v>#DIV/0!</v>
      </c>
      <c r="S14" s="43" t="e">
        <f t="shared" si="1"/>
        <v>#DIV/0!</v>
      </c>
    </row>
    <row r="15" spans="1:19">
      <c r="A15" s="37">
        <v>11</v>
      </c>
      <c r="B15" s="51">
        <v>80</v>
      </c>
      <c r="C15" s="52">
        <f t="shared" si="2"/>
        <v>920</v>
      </c>
      <c r="D15" s="62">
        <f t="shared" si="0"/>
        <v>15.333333333333334</v>
      </c>
      <c r="Q15" s="42" t="e">
        <f>AVERAGE('Flow cytometer'!P15,'Flow cytometer'!L15,'Flow cytometer'!H15)*Calculation!K15/Calculation!M14</f>
        <v>#DIV/0!</v>
      </c>
      <c r="R15" s="42" t="e">
        <f>STDEV('Flow cytometer'!P15,'Flow cytometer'!L15,'Flow cytometer'!H15)*Calculation!K15/Calculation!M14</f>
        <v>#DIV/0!</v>
      </c>
      <c r="S15" s="43" t="e">
        <f t="shared" si="1"/>
        <v>#DIV/0!</v>
      </c>
    </row>
    <row r="16" spans="1:19">
      <c r="A16" s="37">
        <v>12</v>
      </c>
      <c r="B16" s="51">
        <v>80</v>
      </c>
      <c r="C16" s="52">
        <f t="shared" si="2"/>
        <v>1000</v>
      </c>
      <c r="D16" s="62">
        <f t="shared" si="0"/>
        <v>16.666666666666668</v>
      </c>
      <c r="Q16" s="42" t="e">
        <f>AVERAGE('Flow cytometer'!P16,'Flow cytometer'!L16,'Flow cytometer'!H16)*Calculation!K16/Calculation!M15</f>
        <v>#DIV/0!</v>
      </c>
      <c r="R16" s="42" t="e">
        <f>STDEV('Flow cytometer'!P16,'Flow cytometer'!L16,'Flow cytometer'!H16)*Calculation!K16/Calculation!M15</f>
        <v>#DIV/0!</v>
      </c>
      <c r="S16" s="43" t="e">
        <f t="shared" si="1"/>
        <v>#DIV/0!</v>
      </c>
    </row>
    <row r="17" spans="1:19">
      <c r="A17" s="37">
        <v>13</v>
      </c>
      <c r="B17" s="51">
        <v>80</v>
      </c>
      <c r="C17" s="52">
        <f t="shared" si="2"/>
        <v>1080</v>
      </c>
      <c r="D17" s="62">
        <f t="shared" si="0"/>
        <v>18</v>
      </c>
      <c r="Q17" s="42" t="e">
        <f>AVERAGE('Flow cytometer'!P17,'Flow cytometer'!L17,'Flow cytometer'!H17)*Calculation!K17/Calculation!M16</f>
        <v>#DIV/0!</v>
      </c>
      <c r="R17" s="42" t="e">
        <f>STDEV('Flow cytometer'!P17,'Flow cytometer'!L17,'Flow cytometer'!H17)*Calculation!K17/Calculation!M16</f>
        <v>#DIV/0!</v>
      </c>
      <c r="S17" s="43" t="e">
        <f t="shared" si="1"/>
        <v>#DIV/0!</v>
      </c>
    </row>
    <row r="18" spans="1:19">
      <c r="A18" s="37">
        <v>14</v>
      </c>
      <c r="B18" s="51">
        <v>360</v>
      </c>
      <c r="C18" s="52">
        <f t="shared" si="2"/>
        <v>1440</v>
      </c>
      <c r="D18" s="62">
        <f t="shared" si="0"/>
        <v>24</v>
      </c>
      <c r="Q18" s="42" t="e">
        <f>AVERAGE('Flow cytometer'!P18,'Flow cytometer'!L18,'Flow cytometer'!H18)*Calculation!K18/Calculation!M17</f>
        <v>#DIV/0!</v>
      </c>
      <c r="R18" s="42" t="e">
        <f>STDEV('Flow cytometer'!P18,'Flow cytometer'!L18,'Flow cytometer'!H18)*Calculation!K18/Calculation!M17</f>
        <v>#DIV/0!</v>
      </c>
      <c r="S18" s="43" t="e">
        <f t="shared" si="1"/>
        <v>#DIV/0!</v>
      </c>
    </row>
    <row r="19" spans="1:19">
      <c r="A19" s="37">
        <v>15</v>
      </c>
      <c r="B19" s="51">
        <v>355</v>
      </c>
      <c r="C19" s="52">
        <f>C18+B19</f>
        <v>1795</v>
      </c>
      <c r="D19" s="62">
        <f t="shared" si="0"/>
        <v>29.916666666666668</v>
      </c>
      <c r="Q19" s="42" t="e">
        <f>AVERAGE('Flow cytometer'!P19,'Flow cytometer'!L19,'Flow cytometer'!H19)*Calculation!K19/Calculation!M18</f>
        <v>#DIV/0!</v>
      </c>
      <c r="R19" s="42" t="e">
        <f>STDEV('Flow cytometer'!P19,'Flow cytometer'!L19,'Flow cytometer'!H19)*Calculation!K19/Calculation!M18</f>
        <v>#DIV/0!</v>
      </c>
      <c r="S19" s="43" t="e">
        <f t="shared" si="1"/>
        <v>#DIV/0!</v>
      </c>
    </row>
    <row r="20" spans="1:19">
      <c r="A20" s="37">
        <v>16</v>
      </c>
      <c r="B20" s="51">
        <v>1085</v>
      </c>
      <c r="C20" s="52">
        <f>C19+B20</f>
        <v>2880</v>
      </c>
      <c r="D20" s="62">
        <f t="shared" si="0"/>
        <v>48</v>
      </c>
      <c r="Q20" s="42" t="e">
        <f>AVERAGE('Flow cytometer'!P20,'Flow cytometer'!L20,'Flow cytometer'!H20)*Calculation!K20/Calculation!M19</f>
        <v>#DIV/0!</v>
      </c>
      <c r="R20" s="42" t="e">
        <f>STDEV('Flow cytometer'!P20,'Flow cytometer'!L20,'Flow cytometer'!H20)*Calculation!K20/Calculation!M19</f>
        <v>#DIV/0!</v>
      </c>
      <c r="S20" s="43" t="e">
        <f>LOG(Q20)</f>
        <v>#DIV/0!</v>
      </c>
    </row>
    <row r="23" spans="1:19">
      <c r="C23" s="2" t="s">
        <v>140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78"/>
  <sheetViews>
    <sheetView topLeftCell="F1" workbookViewId="0">
      <selection activeCell="W23" sqref="W23"/>
    </sheetView>
  </sheetViews>
  <sheetFormatPr baseColWidth="10" defaultColWidth="8.83203125" defaultRowHeight="14" x14ac:dyDescent="0"/>
  <cols>
    <col min="19" max="20" width="14.83203125" bestFit="1" customWidth="1"/>
  </cols>
  <sheetData>
    <row r="1" spans="1:24">
      <c r="A1" s="90" t="s">
        <v>4</v>
      </c>
      <c r="B1" s="90" t="s">
        <v>103</v>
      </c>
      <c r="C1" s="90" t="s">
        <v>103</v>
      </c>
      <c r="D1" s="90" t="s">
        <v>5</v>
      </c>
      <c r="E1" s="92" t="s">
        <v>105</v>
      </c>
      <c r="F1" s="92"/>
      <c r="G1" s="92"/>
      <c r="H1" s="92"/>
      <c r="I1" s="92" t="s">
        <v>106</v>
      </c>
      <c r="J1" s="92"/>
      <c r="K1" s="92"/>
      <c r="L1" s="92"/>
      <c r="M1" s="92" t="s">
        <v>107</v>
      </c>
      <c r="N1" s="92"/>
      <c r="O1" s="92"/>
      <c r="P1" s="92"/>
      <c r="Q1" s="24" t="s">
        <v>108</v>
      </c>
      <c r="R1" s="24" t="s">
        <v>108</v>
      </c>
      <c r="S1" s="24" t="s">
        <v>108</v>
      </c>
      <c r="T1" s="56" t="s">
        <v>108</v>
      </c>
      <c r="U1" s="78" t="s">
        <v>105</v>
      </c>
      <c r="V1" s="78" t="s">
        <v>106</v>
      </c>
      <c r="W1" s="78" t="s">
        <v>107</v>
      </c>
      <c r="X1" s="78" t="s">
        <v>108</v>
      </c>
    </row>
    <row r="2" spans="1:24">
      <c r="A2" s="91"/>
      <c r="B2" s="91"/>
      <c r="C2" s="91"/>
      <c r="D2" s="91"/>
      <c r="E2" s="23" t="s">
        <v>19</v>
      </c>
      <c r="F2" s="23" t="s">
        <v>67</v>
      </c>
      <c r="G2" s="23" t="s">
        <v>68</v>
      </c>
      <c r="H2" s="23" t="s">
        <v>69</v>
      </c>
      <c r="I2" s="23" t="s">
        <v>19</v>
      </c>
      <c r="J2" s="23" t="s">
        <v>67</v>
      </c>
      <c r="K2" s="23" t="s">
        <v>68</v>
      </c>
      <c r="L2" s="23" t="s">
        <v>69</v>
      </c>
      <c r="M2" s="23" t="s">
        <v>19</v>
      </c>
      <c r="N2" s="23" t="s">
        <v>67</v>
      </c>
      <c r="O2" s="23" t="s">
        <v>68</v>
      </c>
      <c r="P2" s="23" t="s">
        <v>70</v>
      </c>
      <c r="Q2" s="25" t="s">
        <v>69</v>
      </c>
      <c r="R2" s="25" t="s">
        <v>23</v>
      </c>
      <c r="S2" s="25" t="s">
        <v>71</v>
      </c>
      <c r="T2" s="57" t="s">
        <v>115</v>
      </c>
      <c r="U2" s="79" t="s">
        <v>143</v>
      </c>
      <c r="V2" s="79" t="s">
        <v>143</v>
      </c>
      <c r="W2" s="79" t="s">
        <v>143</v>
      </c>
      <c r="X2" s="79" t="s">
        <v>144</v>
      </c>
    </row>
    <row r="3" spans="1:24">
      <c r="A3" s="49" t="s">
        <v>6</v>
      </c>
      <c r="B3" s="50">
        <v>-10</v>
      </c>
      <c r="C3" s="50">
        <v>-10</v>
      </c>
      <c r="D3" s="62">
        <f>C3/60</f>
        <v>-0.16666666666666666</v>
      </c>
      <c r="E3" s="40" t="s">
        <v>90</v>
      </c>
      <c r="F3" s="40" t="s">
        <v>90</v>
      </c>
      <c r="G3" s="40" t="s">
        <v>90</v>
      </c>
      <c r="H3" s="41" t="s">
        <v>90</v>
      </c>
      <c r="I3" s="40" t="s">
        <v>90</v>
      </c>
      <c r="J3" s="40" t="s">
        <v>90</v>
      </c>
      <c r="K3" s="40" t="s">
        <v>90</v>
      </c>
      <c r="L3" s="41" t="s">
        <v>90</v>
      </c>
      <c r="M3" s="40" t="s">
        <v>90</v>
      </c>
      <c r="N3" s="40" t="s">
        <v>90</v>
      </c>
      <c r="O3" s="40" t="s">
        <v>90</v>
      </c>
      <c r="P3" s="41" t="s">
        <v>90</v>
      </c>
      <c r="Q3" s="98" t="s">
        <v>90</v>
      </c>
      <c r="R3" s="99"/>
      <c r="S3" s="100"/>
      <c r="T3" s="41" t="s">
        <v>90</v>
      </c>
      <c r="U3" s="41" t="s">
        <v>90</v>
      </c>
      <c r="V3" s="41" t="s">
        <v>90</v>
      </c>
      <c r="W3" s="41" t="s">
        <v>90</v>
      </c>
      <c r="X3" s="41" t="s">
        <v>90</v>
      </c>
    </row>
    <row r="4" spans="1:24">
      <c r="A4" s="51">
        <v>0</v>
      </c>
      <c r="B4" s="52">
        <v>10</v>
      </c>
      <c r="C4" s="52">
        <v>10</v>
      </c>
      <c r="D4" s="62">
        <f t="shared" ref="D4:D20" si="0">C4/60</f>
        <v>0.16666666666666666</v>
      </c>
      <c r="E4" s="30">
        <v>1</v>
      </c>
      <c r="F4" s="30">
        <v>42941</v>
      </c>
      <c r="G4" s="30">
        <v>7</v>
      </c>
      <c r="H4" s="41">
        <f>('Flow cytometer'!F4/'Flow cytometer'!G4)*POWER(10,'Flow cytometer'!E4+2)*10.2</f>
        <v>62571171.428571425</v>
      </c>
      <c r="I4" s="30">
        <v>1</v>
      </c>
      <c r="J4" s="30">
        <v>43120</v>
      </c>
      <c r="K4" s="30">
        <v>7</v>
      </c>
      <c r="L4" s="41">
        <f>('Flow cytometer'!J4/'Flow cytometer'!K4)*POWER(10,'Flow cytometer'!I4+2)*10.2</f>
        <v>62831999.999999993</v>
      </c>
      <c r="M4" s="30">
        <v>1</v>
      </c>
      <c r="N4" s="30">
        <v>44654</v>
      </c>
      <c r="O4" s="30">
        <v>7</v>
      </c>
      <c r="P4" s="41">
        <f>('Flow cytometer'!N4/'Flow cytometer'!O4)*POWER(10,'Flow cytometer'!M4+2)*10.2</f>
        <v>65067257.142857142</v>
      </c>
      <c r="Q4" s="44">
        <f>AVERAGE(H4,L4,P4)*Calculation!I4/Calculation!K3</f>
        <v>63490142.857142851</v>
      </c>
      <c r="R4" s="45">
        <f>STDEV(H4,L4,P4)*Calculation!I4/Calculation!K3</f>
        <v>1372033.1586996848</v>
      </c>
      <c r="S4" s="46">
        <f>LOG(Q4)</f>
        <v>7.8027063042675957</v>
      </c>
      <c r="T4" s="46">
        <f>LN(Q4)</f>
        <v>17.96639522121723</v>
      </c>
      <c r="U4" s="46">
        <f>LOG(H4)</f>
        <v>7.7963742857143323</v>
      </c>
      <c r="V4" s="46">
        <f>LOG(L4)</f>
        <v>7.7981808839263431</v>
      </c>
      <c r="W4" s="46">
        <f>LOG(P4)</f>
        <v>7.8133624997901236</v>
      </c>
      <c r="X4" s="46">
        <f xml:space="preserve"> STDEV(U4:W4)*Calculation!I4/Calculation!K3</f>
        <v>9.3304579632151278E-3</v>
      </c>
    </row>
    <row r="5" spans="1:24">
      <c r="A5" s="51">
        <v>1</v>
      </c>
      <c r="B5" s="52">
        <v>110</v>
      </c>
      <c r="C5" s="52">
        <v>120</v>
      </c>
      <c r="D5" s="62">
        <f t="shared" si="0"/>
        <v>2</v>
      </c>
      <c r="E5" s="30">
        <v>1</v>
      </c>
      <c r="F5" s="30">
        <v>46915</v>
      </c>
      <c r="G5" s="30">
        <v>7</v>
      </c>
      <c r="H5" s="41">
        <f>('Flow cytometer'!F5/'Flow cytometer'!G5)*POWER(10,'Flow cytometer'!E5+2)*10.2</f>
        <v>68361857.142857134</v>
      </c>
      <c r="I5" s="30">
        <v>1</v>
      </c>
      <c r="J5" s="30">
        <v>46332</v>
      </c>
      <c r="K5" s="30">
        <v>7</v>
      </c>
      <c r="L5" s="41">
        <f>('Flow cytometer'!J5/'Flow cytometer'!K5)*POWER(10,'Flow cytometer'!I5+2)*10.2</f>
        <v>67512342.857142851</v>
      </c>
      <c r="M5" s="30">
        <v>1</v>
      </c>
      <c r="N5" s="30">
        <v>47937</v>
      </c>
      <c r="O5" s="30">
        <v>7</v>
      </c>
      <c r="P5" s="41">
        <f>('Flow cytometer'!N5/'Flow cytometer'!O5)*POWER(10,'Flow cytometer'!M5+2)*10.2</f>
        <v>69851057.142857134</v>
      </c>
      <c r="Q5" s="44">
        <f>AVERAGE(H5,L5,P5)*Calculation!I5/Calculation!K4</f>
        <v>68621703.719529957</v>
      </c>
      <c r="R5" s="45">
        <f>STDEV(H5,L5,P5)*Calculation!I5/Calculation!K4</f>
        <v>1184652.7313691725</v>
      </c>
      <c r="S5" s="46">
        <f t="shared" ref="S5:S19" si="1">LOG(Q5)</f>
        <v>7.8364614963900072</v>
      </c>
      <c r="T5" s="46">
        <f t="shared" ref="T5:T19" si="2">LN(Q5)</f>
        <v>18.044119423409445</v>
      </c>
      <c r="U5" s="46">
        <f t="shared" ref="U5:U19" si="3">LOG(H5)</f>
        <v>7.834813852409428</v>
      </c>
      <c r="V5" s="46">
        <f t="shared" ref="V5:V19" si="4">LOG(L5)</f>
        <v>7.8293831794193345</v>
      </c>
      <c r="W5" s="46">
        <f t="shared" ref="W5:W19" si="5">LOG(P5)</f>
        <v>7.8441729832180647</v>
      </c>
      <c r="X5" s="46">
        <f xml:space="preserve"> STDEV(U5:W5)*Calculation!I5/Calculation!K4</f>
        <v>7.4864386592376478E-3</v>
      </c>
    </row>
    <row r="6" spans="1:24">
      <c r="A6" s="51">
        <v>2</v>
      </c>
      <c r="B6" s="52">
        <v>80</v>
      </c>
      <c r="C6" s="52">
        <v>200</v>
      </c>
      <c r="D6" s="62">
        <f t="shared" si="0"/>
        <v>3.3333333333333335</v>
      </c>
      <c r="E6" s="30">
        <v>1</v>
      </c>
      <c r="F6" s="30">
        <v>47502</v>
      </c>
      <c r="G6" s="30">
        <v>7</v>
      </c>
      <c r="H6" s="41">
        <f>('Flow cytometer'!F6/'Flow cytometer'!G6)*POWER(10,'Flow cytometer'!E6+2)*10.2</f>
        <v>69217200</v>
      </c>
      <c r="I6" s="30">
        <v>1</v>
      </c>
      <c r="J6" s="30">
        <v>49448</v>
      </c>
      <c r="K6" s="30">
        <v>7</v>
      </c>
      <c r="L6" s="41">
        <f>('Flow cytometer'!J6/'Flow cytometer'!K6)*POWER(10,'Flow cytometer'!I6+2)*10.2</f>
        <v>72052800</v>
      </c>
      <c r="M6" s="30">
        <v>1</v>
      </c>
      <c r="N6" s="30">
        <v>44401</v>
      </c>
      <c r="O6" s="30">
        <v>7</v>
      </c>
      <c r="P6" s="41">
        <f>('Flow cytometer'!N6/'Flow cytometer'!O6)*POWER(10,'Flow cytometer'!M6+2)*10.2</f>
        <v>64698599.999999993</v>
      </c>
      <c r="Q6" s="44">
        <f>AVERAGE(H6,L6,P6)*Calculation!I6/Calculation!K5</f>
        <v>68702873.147518694</v>
      </c>
      <c r="R6" s="45">
        <f>STDEV(H6,L6,P6)*Calculation!I6/Calculation!K5</f>
        <v>3711578.6322672744</v>
      </c>
      <c r="S6" s="46">
        <f t="shared" si="1"/>
        <v>7.8369748995926134</v>
      </c>
      <c r="T6" s="46">
        <f t="shared" si="2"/>
        <v>18.045301577970459</v>
      </c>
      <c r="U6" s="46">
        <f t="shared" si="3"/>
        <v>7.8402140270710161</v>
      </c>
      <c r="V6" s="46">
        <f t="shared" si="4"/>
        <v>7.8576508623314298</v>
      </c>
      <c r="W6" s="46">
        <f t="shared" si="5"/>
        <v>7.8108948831593814</v>
      </c>
      <c r="X6" s="46">
        <f xml:space="preserve"> STDEV(U6:W6)*Calculation!I6/Calculation!K5</f>
        <v>2.3644354440736516E-2</v>
      </c>
    </row>
    <row r="7" spans="1:24">
      <c r="A7" s="51">
        <v>3</v>
      </c>
      <c r="B7" s="52">
        <v>80</v>
      </c>
      <c r="C7" s="52">
        <v>280</v>
      </c>
      <c r="D7" s="62">
        <f>C7/60</f>
        <v>4.666666666666667</v>
      </c>
      <c r="E7" s="30">
        <v>2</v>
      </c>
      <c r="F7" s="30">
        <v>4631</v>
      </c>
      <c r="G7" s="30">
        <v>7</v>
      </c>
      <c r="H7" s="41">
        <f>('Flow cytometer'!F7/'Flow cytometer'!G7)*POWER(10,'Flow cytometer'!E7+2)*10.2</f>
        <v>67480285.714285702</v>
      </c>
      <c r="I7" s="30">
        <v>2</v>
      </c>
      <c r="J7" s="30">
        <v>4922</v>
      </c>
      <c r="K7" s="30">
        <v>7</v>
      </c>
      <c r="L7" s="41">
        <f>('Flow cytometer'!J7/'Flow cytometer'!K7)*POWER(10,'Flow cytometer'!I7+2)*10.2</f>
        <v>71720571.428571418</v>
      </c>
      <c r="M7" s="30">
        <v>2</v>
      </c>
      <c r="N7" s="30">
        <v>4627</v>
      </c>
      <c r="O7" s="30">
        <v>7</v>
      </c>
      <c r="P7" s="41">
        <f>('Flow cytometer'!N7/'Flow cytometer'!O7)*POWER(10,'Flow cytometer'!M7+2)*10.2</f>
        <v>67422000</v>
      </c>
      <c r="Q7" s="44">
        <f>AVERAGE(H7,L7,P7)*Calculation!I7/Calculation!K6</f>
        <v>68921107.11857824</v>
      </c>
      <c r="R7" s="45">
        <f>STDEV(H7,L7,P7)*Calculation!I7/Calculation!K6</f>
        <v>2466803.8229356566</v>
      </c>
      <c r="S7" s="46">
        <f t="shared" si="1"/>
        <v>7.8383522451489958</v>
      </c>
      <c r="T7" s="46">
        <f t="shared" si="2"/>
        <v>18.048473033316487</v>
      </c>
      <c r="U7" s="46">
        <f t="shared" si="3"/>
        <v>7.8291769127415538</v>
      </c>
      <c r="V7" s="46">
        <f t="shared" si="4"/>
        <v>7.8556437411144442</v>
      </c>
      <c r="W7" s="46">
        <f t="shared" si="5"/>
        <v>7.8288016312475577</v>
      </c>
      <c r="X7" s="46">
        <f xml:space="preserve"> STDEV(U7:W7)*Calculation!I7/Calculation!K6</f>
        <v>1.5400571194218469E-2</v>
      </c>
    </row>
    <row r="8" spans="1:24">
      <c r="A8" s="51">
        <v>4</v>
      </c>
      <c r="B8" s="52">
        <v>80</v>
      </c>
      <c r="C8" s="52">
        <v>360</v>
      </c>
      <c r="D8" s="62">
        <f t="shared" si="0"/>
        <v>6</v>
      </c>
      <c r="E8" s="30">
        <v>2</v>
      </c>
      <c r="F8" s="30">
        <v>5014</v>
      </c>
      <c r="G8" s="30">
        <v>7</v>
      </c>
      <c r="H8" s="41">
        <f>('Flow cytometer'!F8/'Flow cytometer'!G8)*POWER(10,'Flow cytometer'!E8+2)*10.2</f>
        <v>73061142.857142866</v>
      </c>
      <c r="I8" s="30">
        <v>2</v>
      </c>
      <c r="J8" s="30">
        <v>5299</v>
      </c>
      <c r="K8" s="30">
        <v>7</v>
      </c>
      <c r="L8" s="41">
        <f>('Flow cytometer'!J8/'Flow cytometer'!K8)*POWER(10,'Flow cytometer'!I8+2)*10.2</f>
        <v>77214000</v>
      </c>
      <c r="M8" s="30">
        <v>2</v>
      </c>
      <c r="N8" s="30">
        <v>5412</v>
      </c>
      <c r="O8" s="30">
        <v>7</v>
      </c>
      <c r="P8" s="41">
        <f>('Flow cytometer'!N8/'Flow cytometer'!O8)*POWER(10,'Flow cytometer'!M8+2)*10.2</f>
        <v>78860571.428571418</v>
      </c>
      <c r="Q8" s="44">
        <f>AVERAGE(H8,L8,P8)*Calculation!I8/Calculation!K7</f>
        <v>76430494.318733603</v>
      </c>
      <c r="R8" s="45">
        <f>STDEV(H8,L8,P8)*Calculation!I8/Calculation!K7</f>
        <v>2990643.1726022544</v>
      </c>
      <c r="S8" s="46">
        <f t="shared" si="1"/>
        <v>7.8832666684192549</v>
      </c>
      <c r="T8" s="46">
        <f t="shared" si="2"/>
        <v>18.15189231479901</v>
      </c>
      <c r="U8" s="46">
        <f t="shared" si="3"/>
        <v>7.8636864613698583</v>
      </c>
      <c r="V8" s="46">
        <f t="shared" si="4"/>
        <v>7.8876960512619902</v>
      </c>
      <c r="W8" s="46">
        <f t="shared" si="5"/>
        <v>7.8968599196732461</v>
      </c>
      <c r="X8" s="46">
        <f xml:space="preserve"> STDEV(U8:W8)*Calculation!I8/Calculation!K7</f>
        <v>1.7143075448437423E-2</v>
      </c>
    </row>
    <row r="9" spans="1:24">
      <c r="A9" s="51">
        <v>5</v>
      </c>
      <c r="B9" s="52">
        <v>80</v>
      </c>
      <c r="C9" s="52">
        <v>440</v>
      </c>
      <c r="D9" s="62">
        <f t="shared" si="0"/>
        <v>7.333333333333333</v>
      </c>
      <c r="E9" s="30">
        <v>2</v>
      </c>
      <c r="F9" s="30">
        <v>4795</v>
      </c>
      <c r="G9" s="30">
        <v>7</v>
      </c>
      <c r="H9" s="41">
        <f>('Flow cytometer'!F9/'Flow cytometer'!G9)*POWER(10,'Flow cytometer'!E9+2)*10.2</f>
        <v>69870000</v>
      </c>
      <c r="I9" s="30">
        <v>2</v>
      </c>
      <c r="J9" s="30">
        <v>4889</v>
      </c>
      <c r="K9" s="30">
        <v>7</v>
      </c>
      <c r="L9" s="41">
        <f>('Flow cytometer'!J9/'Flow cytometer'!K9)*POWER(10,'Flow cytometer'!I9+2)*10.2</f>
        <v>71239714.285714284</v>
      </c>
      <c r="M9" s="30">
        <v>2</v>
      </c>
      <c r="N9" s="30">
        <v>5503</v>
      </c>
      <c r="O9" s="30">
        <v>7</v>
      </c>
      <c r="P9" s="41">
        <f>('Flow cytometer'!N9/'Flow cytometer'!O9)*POWER(10,'Flow cytometer'!M9+2)*10.2</f>
        <v>80186571.428571418</v>
      </c>
      <c r="Q9" s="44">
        <f>AVERAGE(H9,L9,P9)*Calculation!I9/Calculation!K8</f>
        <v>73815575.021851018</v>
      </c>
      <c r="R9" s="45">
        <f>STDEV(H9,L9,P9)*Calculation!I9/Calculation!K8</f>
        <v>5606695.2952515045</v>
      </c>
      <c r="S9" s="46">
        <f t="shared" si="1"/>
        <v>7.868148007248255</v>
      </c>
      <c r="T9" s="46">
        <f t="shared" si="2"/>
        <v>18.117080310960638</v>
      </c>
      <c r="U9" s="46">
        <f t="shared" si="3"/>
        <v>7.8442907432543434</v>
      </c>
      <c r="V9" s="46">
        <f t="shared" si="4"/>
        <v>7.8527221690114963</v>
      </c>
      <c r="W9" s="46">
        <f t="shared" si="5"/>
        <v>7.9041016445588168</v>
      </c>
      <c r="X9" s="46">
        <f xml:space="preserve"> STDEV(U9:W9)*Calculation!I9/Calculation!K8</f>
        <v>3.2395565386354359E-2</v>
      </c>
    </row>
    <row r="10" spans="1:24">
      <c r="A10" s="51">
        <v>6</v>
      </c>
      <c r="B10" s="52">
        <v>95</v>
      </c>
      <c r="C10" s="52">
        <v>535</v>
      </c>
      <c r="D10" s="62">
        <f t="shared" si="0"/>
        <v>8.9166666666666661</v>
      </c>
      <c r="E10" s="30">
        <v>2</v>
      </c>
      <c r="F10" s="30">
        <v>6661</v>
      </c>
      <c r="G10" s="30">
        <v>7</v>
      </c>
      <c r="H10" s="41">
        <f>('Flow cytometer'!F10/'Flow cytometer'!G10)*POWER(10,'Flow cytometer'!E10+2)*10.2</f>
        <v>97060285.714285702</v>
      </c>
      <c r="I10" s="30">
        <v>2</v>
      </c>
      <c r="J10" s="30">
        <v>7009</v>
      </c>
      <c r="K10" s="30">
        <v>7</v>
      </c>
      <c r="L10" s="41">
        <f>('Flow cytometer'!J10/'Flow cytometer'!K10)*POWER(10,'Flow cytometer'!I10+2)*10.2</f>
        <v>102131142.85714285</v>
      </c>
      <c r="M10" s="30">
        <v>2</v>
      </c>
      <c r="N10" s="30">
        <v>5838</v>
      </c>
      <c r="O10" s="30">
        <v>7</v>
      </c>
      <c r="P10" s="41">
        <f>('Flow cytometer'!N10/'Flow cytometer'!O10)*POWER(10,'Flow cytometer'!M10+2)*10.2</f>
        <v>85068000</v>
      </c>
      <c r="Q10" s="44">
        <f>AVERAGE(H10,L10,P10)*Calculation!I10/Calculation!K9</f>
        <v>94894895.911810741</v>
      </c>
      <c r="R10" s="45">
        <f>STDEV(H10,L10,P10)*Calculation!I10/Calculation!K9</f>
        <v>8775522.3920981884</v>
      </c>
      <c r="S10" s="46">
        <f t="shared" si="1"/>
        <v>7.9772428537660849</v>
      </c>
      <c r="T10" s="46">
        <f t="shared" si="2"/>
        <v>18.368280478275068</v>
      </c>
      <c r="U10" s="46">
        <f t="shared" si="3"/>
        <v>7.9870415654045193</v>
      </c>
      <c r="V10" s="46">
        <f t="shared" si="4"/>
        <v>8.0091581917312045</v>
      </c>
      <c r="W10" s="46">
        <f t="shared" si="5"/>
        <v>7.9297662223996559</v>
      </c>
      <c r="X10" s="46">
        <f xml:space="preserve"> STDEV(U10:W10)*Calculation!I10/Calculation!K9</f>
        <v>4.103424467777704E-2</v>
      </c>
    </row>
    <row r="11" spans="1:24">
      <c r="A11" s="51">
        <v>7</v>
      </c>
      <c r="B11" s="52">
        <v>85</v>
      </c>
      <c r="C11" s="52">
        <v>620</v>
      </c>
      <c r="D11" s="62">
        <f t="shared" si="0"/>
        <v>10.333333333333334</v>
      </c>
      <c r="E11" s="30">
        <v>2</v>
      </c>
      <c r="F11" s="30">
        <v>6889</v>
      </c>
      <c r="G11" s="30">
        <v>7</v>
      </c>
      <c r="H11" s="41">
        <f>('Flow cytometer'!F11/'Flow cytometer'!G11)*POWER(10,'Flow cytometer'!E11+2)*10.2</f>
        <v>100382571.42857142</v>
      </c>
      <c r="I11" s="30">
        <v>2</v>
      </c>
      <c r="J11" s="30">
        <v>7092</v>
      </c>
      <c r="K11" s="30">
        <v>7</v>
      </c>
      <c r="L11" s="41">
        <f>('Flow cytometer'!J11/'Flow cytometer'!K11)*POWER(10,'Flow cytometer'!I11+2)*10.2</f>
        <v>103340571.42857142</v>
      </c>
      <c r="M11" s="30">
        <v>2</v>
      </c>
      <c r="N11" s="30">
        <v>6864</v>
      </c>
      <c r="O11" s="30">
        <v>7</v>
      </c>
      <c r="P11" s="41">
        <f>('Flow cytometer'!N11/'Flow cytometer'!O11)*POWER(10,'Flow cytometer'!M11+2)*10.2</f>
        <v>100018285.7142857</v>
      </c>
      <c r="Q11" s="44">
        <f>AVERAGE(H11,L11,P11)*Calculation!I11/Calculation!K10</f>
        <v>101398611.09707274</v>
      </c>
      <c r="R11" s="45">
        <f>STDEV(H11,L11,P11)*Calculation!I11/Calculation!K10</f>
        <v>1824814.9135424818</v>
      </c>
      <c r="S11" s="46">
        <f t="shared" si="1"/>
        <v>8.0060320063088728</v>
      </c>
      <c r="T11" s="46">
        <f t="shared" si="2"/>
        <v>18.434569951760022</v>
      </c>
      <c r="U11" s="46">
        <f t="shared" si="3"/>
        <v>8.0016583164998085</v>
      </c>
      <c r="V11" s="46">
        <f t="shared" si="4"/>
        <v>8.0142708586765412</v>
      </c>
      <c r="W11" s="46">
        <f t="shared" si="5"/>
        <v>8.0000794065883092</v>
      </c>
      <c r="X11" s="46">
        <f xml:space="preserve"> STDEV(U11:W11)*Calculation!I11/Calculation!K10</f>
        <v>7.7894513623100936E-3</v>
      </c>
    </row>
    <row r="12" spans="1:24">
      <c r="A12" s="51">
        <v>8</v>
      </c>
      <c r="B12" s="52">
        <v>60</v>
      </c>
      <c r="C12" s="52">
        <v>680</v>
      </c>
      <c r="D12" s="62">
        <f t="shared" si="0"/>
        <v>11.333333333333334</v>
      </c>
      <c r="E12" s="30">
        <v>2</v>
      </c>
      <c r="F12" s="30">
        <v>6820</v>
      </c>
      <c r="G12" s="30">
        <v>7</v>
      </c>
      <c r="H12" s="41">
        <f>('Flow cytometer'!F12/'Flow cytometer'!G12)*POWER(10,'Flow cytometer'!E12+2)*10.2</f>
        <v>99377142.857142866</v>
      </c>
      <c r="I12" s="30">
        <v>2</v>
      </c>
      <c r="J12" s="30">
        <v>7404</v>
      </c>
      <c r="K12" s="30">
        <v>7</v>
      </c>
      <c r="L12" s="41">
        <f>('Flow cytometer'!J12/'Flow cytometer'!K12)*POWER(10,'Flow cytometer'!I12+2)*10.2</f>
        <v>107886857.14285715</v>
      </c>
      <c r="M12" s="30">
        <v>2</v>
      </c>
      <c r="N12" s="30">
        <v>6797</v>
      </c>
      <c r="O12" s="30">
        <v>7</v>
      </c>
      <c r="P12" s="41">
        <f>('Flow cytometer'!N12/'Flow cytometer'!O12)*POWER(10,'Flow cytometer'!M12+2)*10.2</f>
        <v>99042000</v>
      </c>
      <c r="Q12" s="44">
        <f>AVERAGE(H12,L12,P12)*Calculation!I12/Calculation!K11</f>
        <v>102254747.12744379</v>
      </c>
      <c r="R12" s="45">
        <f>STDEV(H12,L12,P12)*Calculation!I12/Calculation!K11</f>
        <v>5020133.9927604683</v>
      </c>
      <c r="S12" s="46">
        <f t="shared" si="1"/>
        <v>8.0096834790597935</v>
      </c>
      <c r="T12" s="46">
        <f t="shared" si="2"/>
        <v>18.442977778483769</v>
      </c>
      <c r="U12" s="46">
        <f t="shared" si="3"/>
        <v>7.9972865064041398</v>
      </c>
      <c r="V12" s="46">
        <f t="shared" si="4"/>
        <v>8.0329685418285273</v>
      </c>
      <c r="W12" s="46">
        <f t="shared" si="5"/>
        <v>7.9958194016699222</v>
      </c>
      <c r="X12" s="46">
        <f xml:space="preserve"> STDEV(U12:W12)*Calculation!I12/Calculation!K11</f>
        <v>2.1068814831559469E-2</v>
      </c>
    </row>
    <row r="13" spans="1:24">
      <c r="A13" s="51">
        <v>9</v>
      </c>
      <c r="B13" s="52">
        <v>80</v>
      </c>
      <c r="C13" s="52">
        <v>760</v>
      </c>
      <c r="D13" s="62">
        <f t="shared" si="0"/>
        <v>12.666666666666666</v>
      </c>
      <c r="E13" s="30">
        <v>2</v>
      </c>
      <c r="F13" s="30">
        <v>7503</v>
      </c>
      <c r="G13" s="30">
        <v>7</v>
      </c>
      <c r="H13" s="41">
        <f>('Flow cytometer'!F13/'Flow cytometer'!G13)*POWER(10,'Flow cytometer'!E13+2)*10.2</f>
        <v>109329428.57142857</v>
      </c>
      <c r="I13" s="30">
        <v>2</v>
      </c>
      <c r="J13" s="30">
        <v>7543</v>
      </c>
      <c r="K13" s="30">
        <v>7</v>
      </c>
      <c r="L13" s="41">
        <f>('Flow cytometer'!J13/'Flow cytometer'!K13)*POWER(10,'Flow cytometer'!I13+2)*10.2</f>
        <v>109912285.71428572</v>
      </c>
      <c r="M13" s="30">
        <v>2</v>
      </c>
      <c r="N13" s="30">
        <v>7936</v>
      </c>
      <c r="O13" s="30">
        <v>7</v>
      </c>
      <c r="P13" s="41">
        <f>('Flow cytometer'!N13/'Flow cytometer'!O13)*POWER(10,'Flow cytometer'!M13+2)*10.2</f>
        <v>115638857.14285715</v>
      </c>
      <c r="Q13" s="44">
        <f>AVERAGE(H13,L13,P13)*Calculation!I13/Calculation!K12</f>
        <v>111793853.69311228</v>
      </c>
      <c r="R13" s="45">
        <f>STDEV(H13,L13,P13)*Calculation!I13/Calculation!K12</f>
        <v>3491910.6924578263</v>
      </c>
      <c r="S13" s="46">
        <f t="shared" si="1"/>
        <v>8.0484179271591536</v>
      </c>
      <c r="T13" s="46">
        <f t="shared" si="2"/>
        <v>18.532167141262704</v>
      </c>
      <c r="U13" s="46">
        <f t="shared" si="3"/>
        <v>8.0387370781978262</v>
      </c>
      <c r="V13" s="46">
        <f t="shared" si="4"/>
        <v>8.0410462394636042</v>
      </c>
      <c r="W13" s="46">
        <f t="shared" si="5"/>
        <v>8.0631037908937824</v>
      </c>
      <c r="X13" s="46">
        <f xml:space="preserve"> STDEV(U13:W13)*Calculation!I13/Calculation!K12</f>
        <v>1.3471297269134734E-2</v>
      </c>
    </row>
    <row r="14" spans="1:24">
      <c r="A14" s="51">
        <v>10</v>
      </c>
      <c r="B14" s="52">
        <v>80</v>
      </c>
      <c r="C14" s="52">
        <v>840</v>
      </c>
      <c r="D14" s="62">
        <f t="shared" si="0"/>
        <v>14</v>
      </c>
      <c r="E14" s="30">
        <v>2</v>
      </c>
      <c r="F14" s="30">
        <v>8255</v>
      </c>
      <c r="G14" s="30">
        <v>7</v>
      </c>
      <c r="H14" s="41">
        <f>('Flow cytometer'!F14/'Flow cytometer'!G14)*POWER(10,'Flow cytometer'!E14+2)*10.2</f>
        <v>120287142.85714284</v>
      </c>
      <c r="I14" s="30">
        <v>2</v>
      </c>
      <c r="J14" s="30">
        <v>7476</v>
      </c>
      <c r="K14" s="30">
        <v>7</v>
      </c>
      <c r="L14" s="41">
        <f>('Flow cytometer'!J14/'Flow cytometer'!K14)*POWER(10,'Flow cytometer'!I14+2)*10.2</f>
        <v>108935999.99999999</v>
      </c>
      <c r="M14" s="30">
        <v>2</v>
      </c>
      <c r="N14" s="30">
        <v>9103</v>
      </c>
      <c r="O14" s="30">
        <v>7</v>
      </c>
      <c r="P14" s="41">
        <f>('Flow cytometer'!N14/'Flow cytometer'!O14)*POWER(10,'Flow cytometer'!M14+2)*10.2</f>
        <v>132643714.28571425</v>
      </c>
      <c r="Q14" s="44">
        <f>AVERAGE(H14,L14,P14)*Calculation!I14/Calculation!K13</f>
        <v>120802739.64906229</v>
      </c>
      <c r="R14" s="45">
        <f>STDEV(H14,L14,P14)*Calculation!I14/Calculation!K13</f>
        <v>11875148.887162095</v>
      </c>
      <c r="S14" s="46">
        <f t="shared" si="1"/>
        <v>8.0820767836309599</v>
      </c>
      <c r="T14" s="46">
        <f t="shared" si="2"/>
        <v>18.60966952242191</v>
      </c>
      <c r="U14" s="46">
        <f t="shared" si="3"/>
        <v>8.080219209346474</v>
      </c>
      <c r="V14" s="46">
        <f t="shared" si="4"/>
        <v>8.0371714244544545</v>
      </c>
      <c r="W14" s="46">
        <f t="shared" si="5"/>
        <v>8.1226866744788513</v>
      </c>
      <c r="X14" s="46">
        <f xml:space="preserve"> STDEV(U14:W14)*Calculation!I14/Calculation!K13</f>
        <v>4.2821920149025361E-2</v>
      </c>
    </row>
    <row r="15" spans="1:24">
      <c r="A15" s="51">
        <v>11</v>
      </c>
      <c r="B15" s="52">
        <v>80</v>
      </c>
      <c r="C15" s="52">
        <v>920</v>
      </c>
      <c r="D15" s="62">
        <f t="shared" si="0"/>
        <v>15.333333333333334</v>
      </c>
      <c r="E15" s="30">
        <v>2</v>
      </c>
      <c r="F15" s="30">
        <v>9125</v>
      </c>
      <c r="G15" s="30">
        <v>7</v>
      </c>
      <c r="H15" s="41">
        <f>('Flow cytometer'!F15/'Flow cytometer'!G15)*POWER(10,'Flow cytometer'!E15+2)*10.2</f>
        <v>132964285.71428572</v>
      </c>
      <c r="I15" s="30">
        <v>2</v>
      </c>
      <c r="J15" s="30">
        <v>9921</v>
      </c>
      <c r="K15" s="30">
        <v>7</v>
      </c>
      <c r="L15" s="41">
        <f>('Flow cytometer'!J15/'Flow cytometer'!K15)*POWER(10,'Flow cytometer'!I15+2)*10.2</f>
        <v>144563142.85714284</v>
      </c>
      <c r="M15" s="30">
        <v>2</v>
      </c>
      <c r="N15" s="30">
        <v>9982</v>
      </c>
      <c r="O15" s="30">
        <v>7</v>
      </c>
      <c r="P15" s="41">
        <f>('Flow cytometer'!N15/'Flow cytometer'!O15)*POWER(10,'Flow cytometer'!M15+2)*10.2</f>
        <v>145452000</v>
      </c>
      <c r="Q15" s="44">
        <f>AVERAGE(H15,L15,P15)*Calculation!I15/Calculation!K14</f>
        <v>141348305.06441507</v>
      </c>
      <c r="R15" s="45">
        <f>STDEV(H15,L15,P15)*Calculation!I15/Calculation!K14</f>
        <v>6984933.9443763783</v>
      </c>
      <c r="S15" s="46">
        <f t="shared" si="1"/>
        <v>8.1502906051454183</v>
      </c>
      <c r="T15" s="46">
        <f t="shared" si="2"/>
        <v>18.766737650977259</v>
      </c>
      <c r="U15" s="46">
        <f t="shared" si="3"/>
        <v>8.1237350048761723</v>
      </c>
      <c r="V15" s="46">
        <f t="shared" si="4"/>
        <v>8.1600575813810252</v>
      </c>
      <c r="W15" s="46">
        <f t="shared" si="5"/>
        <v>8.1627196972777636</v>
      </c>
      <c r="X15" s="46">
        <f xml:space="preserve"> STDEV(U15:W15)*Calculation!I15/Calculation!K14</f>
        <v>2.1834910946292769E-2</v>
      </c>
    </row>
    <row r="16" spans="1:24">
      <c r="A16" s="51">
        <v>12</v>
      </c>
      <c r="B16" s="52">
        <v>80</v>
      </c>
      <c r="C16" s="52">
        <v>1000</v>
      </c>
      <c r="D16" s="62">
        <f t="shared" si="0"/>
        <v>16.666666666666668</v>
      </c>
      <c r="E16" s="30">
        <v>2</v>
      </c>
      <c r="F16" s="30">
        <v>11143</v>
      </c>
      <c r="G16" s="30">
        <v>7</v>
      </c>
      <c r="H16" s="41">
        <f>('Flow cytometer'!F16/'Flow cytometer'!G16)*POWER(10,'Flow cytometer'!E16+2)*10.2</f>
        <v>162369428.57142857</v>
      </c>
      <c r="I16" s="30">
        <v>2</v>
      </c>
      <c r="J16" s="30">
        <v>11861</v>
      </c>
      <c r="K16" s="30">
        <v>7</v>
      </c>
      <c r="L16" s="41">
        <f>('Flow cytometer'!J16/'Flow cytometer'!K16)*POWER(10,'Flow cytometer'!I16+2)*10.2</f>
        <v>172831714.28571427</v>
      </c>
      <c r="M16" s="30">
        <v>2</v>
      </c>
      <c r="N16" s="30">
        <v>12158</v>
      </c>
      <c r="O16" s="30">
        <v>7</v>
      </c>
      <c r="P16" s="41">
        <f>('Flow cytometer'!N16/'Flow cytometer'!O16)*POWER(10,'Flow cytometer'!M16+2)*10.2</f>
        <v>177159428.57142857</v>
      </c>
      <c r="Q16" s="44">
        <f>AVERAGE(H16,L16,P16)*Calculation!I16/Calculation!K15</f>
        <v>171217069.81793311</v>
      </c>
      <c r="R16" s="45">
        <f>STDEV(H16,L16,P16)*Calculation!I16/Calculation!K15</f>
        <v>7623239.5092870174</v>
      </c>
      <c r="S16" s="46">
        <f t="shared" si="1"/>
        <v>8.2335470603305048</v>
      </c>
      <c r="T16" s="46">
        <f t="shared" si="2"/>
        <v>18.958442723581964</v>
      </c>
      <c r="U16" s="46">
        <f t="shared" si="3"/>
        <v>8.2105042622661664</v>
      </c>
      <c r="V16" s="46">
        <f t="shared" si="4"/>
        <v>8.2376234376539585</v>
      </c>
      <c r="W16" s="46">
        <f t="shared" si="5"/>
        <v>8.2483642707960829</v>
      </c>
      <c r="X16" s="46">
        <f xml:space="preserve"> STDEV(U16:W16)*Calculation!I16/Calculation!K15</f>
        <v>1.9560665046391732E-2</v>
      </c>
    </row>
    <row r="17" spans="1:24">
      <c r="A17" s="51">
        <v>13</v>
      </c>
      <c r="B17" s="52">
        <v>80</v>
      </c>
      <c r="C17" s="52">
        <v>1080</v>
      </c>
      <c r="D17" s="62">
        <f t="shared" si="0"/>
        <v>18</v>
      </c>
      <c r="E17" s="30">
        <v>2</v>
      </c>
      <c r="F17" s="30">
        <v>12971</v>
      </c>
      <c r="G17" s="30">
        <v>7</v>
      </c>
      <c r="H17" s="41">
        <f>('Flow cytometer'!F17/'Flow cytometer'!G17)*POWER(10,'Flow cytometer'!E17+2)*10.2</f>
        <v>189006000</v>
      </c>
      <c r="I17" s="30">
        <v>2</v>
      </c>
      <c r="J17" s="30">
        <v>13583</v>
      </c>
      <c r="K17" s="30">
        <v>7</v>
      </c>
      <c r="L17" s="41">
        <f>('Flow cytometer'!J17/'Flow cytometer'!K17)*POWER(10,'Flow cytometer'!I17+2)*10.2</f>
        <v>197923714.28571427</v>
      </c>
      <c r="M17" s="30">
        <v>2</v>
      </c>
      <c r="N17" s="30">
        <v>13020</v>
      </c>
      <c r="O17" s="30">
        <v>7</v>
      </c>
      <c r="P17" s="41">
        <f>('Flow cytometer'!N17/'Flow cytometer'!O17)*POWER(10,'Flow cytometer'!M17+2)*10.2</f>
        <v>189720000</v>
      </c>
      <c r="Q17" s="44">
        <f>AVERAGE(H17,L17,P17)*Calculation!I17/Calculation!K16</f>
        <v>192700765.62695202</v>
      </c>
      <c r="R17" s="45">
        <f>STDEV(H17,L17,P17)*Calculation!I17/Calculation!K16</f>
        <v>4967889.7031233292</v>
      </c>
      <c r="S17" s="46">
        <f t="shared" si="1"/>
        <v>8.2848834401712796</v>
      </c>
      <c r="T17" s="46">
        <f t="shared" si="2"/>
        <v>19.076649106531615</v>
      </c>
      <c r="U17" s="46">
        <f t="shared" si="3"/>
        <v>8.2764755910808159</v>
      </c>
      <c r="V17" s="46">
        <f t="shared" si="4"/>
        <v>8.2964978324399254</v>
      </c>
      <c r="W17" s="46">
        <f t="shared" si="5"/>
        <v>8.2781131159798331</v>
      </c>
      <c r="X17" s="46">
        <f xml:space="preserve"> STDEV(U17:W17)*Calculation!I17/Calculation!K16</f>
        <v>1.1145329167912926E-2</v>
      </c>
    </row>
    <row r="18" spans="1:24">
      <c r="A18" s="51">
        <v>14</v>
      </c>
      <c r="B18" s="52">
        <v>360</v>
      </c>
      <c r="C18" s="52">
        <v>1440</v>
      </c>
      <c r="D18" s="62">
        <f t="shared" si="0"/>
        <v>24</v>
      </c>
      <c r="E18" s="30">
        <v>2</v>
      </c>
      <c r="F18" s="30">
        <v>36518</v>
      </c>
      <c r="G18" s="30">
        <v>7</v>
      </c>
      <c r="H18" s="41">
        <f>('Flow cytometer'!F18/'Flow cytometer'!G18)*POWER(10,'Flow cytometer'!E18+2)*10.2</f>
        <v>532119428.5714286</v>
      </c>
      <c r="I18" s="30">
        <v>2</v>
      </c>
      <c r="J18" s="30">
        <v>37717</v>
      </c>
      <c r="K18" s="30">
        <v>7</v>
      </c>
      <c r="L18" s="41">
        <f>('Flow cytometer'!J18/'Flow cytometer'!K18)*POWER(10,'Flow cytometer'!I18+2)*10.2</f>
        <v>549590571.42857134</v>
      </c>
      <c r="M18" s="30">
        <v>2</v>
      </c>
      <c r="N18" s="30">
        <v>36023</v>
      </c>
      <c r="O18" s="30">
        <v>7</v>
      </c>
      <c r="P18" s="41">
        <f>('Flow cytometer'!N18/'Flow cytometer'!O18)*POWER(10,'Flow cytometer'!M18+2)*10.2</f>
        <v>524906571.42857134</v>
      </c>
      <c r="Q18" s="44">
        <f>AVERAGE(H18,L18,P18)*Calculation!I18/Calculation!K17</f>
        <v>538180030.28102362</v>
      </c>
      <c r="R18" s="45">
        <f>STDEV(H18,L18,P18)*Calculation!I18/Calculation!K17</f>
        <v>12754890.148182373</v>
      </c>
      <c r="S18" s="46">
        <f t="shared" si="1"/>
        <v>8.7309275787869698</v>
      </c>
      <c r="T18" s="46">
        <f t="shared" si="2"/>
        <v>20.103703690925474</v>
      </c>
      <c r="U18" s="46">
        <f t="shared" si="3"/>
        <v>8.7260091160330155</v>
      </c>
      <c r="V18" s="46">
        <f t="shared" si="4"/>
        <v>8.7400392735208037</v>
      </c>
      <c r="W18" s="46">
        <f t="shared" si="5"/>
        <v>8.7200820098367284</v>
      </c>
      <c r="X18" s="46">
        <f xml:space="preserve"> STDEV(U18:W18)*Calculation!I18/Calculation!K17</f>
        <v>1.0299679047713266E-2</v>
      </c>
    </row>
    <row r="19" spans="1:24">
      <c r="A19" s="51">
        <v>15</v>
      </c>
      <c r="B19" s="52">
        <v>355</v>
      </c>
      <c r="C19" s="52">
        <v>1795</v>
      </c>
      <c r="D19" s="62">
        <f t="shared" si="0"/>
        <v>29.916666666666668</v>
      </c>
      <c r="E19" s="30">
        <v>3</v>
      </c>
      <c r="F19" s="30">
        <v>8598</v>
      </c>
      <c r="G19" s="30">
        <v>7</v>
      </c>
      <c r="H19" s="41">
        <f>('Flow cytometer'!F19/'Flow cytometer'!G19)*POWER(10,'Flow cytometer'!E19+2)*10.2</f>
        <v>1252851428.5714283</v>
      </c>
      <c r="I19" s="30">
        <v>3</v>
      </c>
      <c r="J19" s="30">
        <v>9045</v>
      </c>
      <c r="K19" s="30">
        <v>7</v>
      </c>
      <c r="L19" s="41">
        <f>('Flow cytometer'!J19/'Flow cytometer'!K19)*POWER(10,'Flow cytometer'!I19+2)*10.2</f>
        <v>1317985714.2857141</v>
      </c>
      <c r="M19" s="30">
        <v>3</v>
      </c>
      <c r="N19" s="30">
        <v>9327</v>
      </c>
      <c r="O19" s="30">
        <v>7</v>
      </c>
      <c r="P19" s="41">
        <f>('Flow cytometer'!N19/'Flow cytometer'!O19)*POWER(10,'Flow cytometer'!M19+2)*10.2</f>
        <v>1359077142.8571427</v>
      </c>
      <c r="Q19" s="44">
        <f>AVERAGE(H19,L19,P19)*Calculation!I19/Calculation!K18</f>
        <v>1323208950.4948485</v>
      </c>
      <c r="R19" s="45">
        <f>STDEV(H19,L19,P19)*Calculation!I19/Calculation!K18</f>
        <v>54105699.928379126</v>
      </c>
      <c r="S19" s="46">
        <f t="shared" si="1"/>
        <v>9.1216284298878669</v>
      </c>
      <c r="T19" s="46">
        <f t="shared" si="2"/>
        <v>21.003325646490485</v>
      </c>
      <c r="U19" s="46">
        <f t="shared" si="3"/>
        <v>9.0978995725286484</v>
      </c>
      <c r="V19" s="46">
        <f t="shared" si="4"/>
        <v>9.1199107029434927</v>
      </c>
      <c r="W19" s="46">
        <f t="shared" si="5"/>
        <v>9.1332441085105156</v>
      </c>
      <c r="X19" s="46">
        <f xml:space="preserve"> STDEV(U19:W19)*Calculation!I19/Calculation!K18</f>
        <v>1.8029296880758171E-2</v>
      </c>
    </row>
    <row r="20" spans="1:24">
      <c r="A20" s="51">
        <v>16</v>
      </c>
      <c r="B20" s="52">
        <v>1085</v>
      </c>
      <c r="C20" s="52">
        <v>2880</v>
      </c>
      <c r="D20" s="62">
        <f t="shared" si="0"/>
        <v>48</v>
      </c>
      <c r="E20" s="30">
        <v>3</v>
      </c>
      <c r="F20" s="30">
        <v>12394</v>
      </c>
      <c r="G20" s="30">
        <v>7</v>
      </c>
      <c r="H20" s="41">
        <f>('Flow cytometer'!F20/'Flow cytometer'!G20)*POWER(10,'Flow cytometer'!E20+2)*10.2</f>
        <v>1805982857.1428571</v>
      </c>
      <c r="I20" s="30">
        <v>3</v>
      </c>
      <c r="J20" s="30">
        <v>11951</v>
      </c>
      <c r="K20" s="30">
        <v>7</v>
      </c>
      <c r="L20" s="41">
        <f>('Flow cytometer'!J20/'Flow cytometer'!K20)*POWER(10,'Flow cytometer'!I20+2)*10.2</f>
        <v>1741431428.5714285</v>
      </c>
      <c r="M20" s="30">
        <v>3</v>
      </c>
      <c r="N20" s="30">
        <v>12374</v>
      </c>
      <c r="O20" s="30">
        <v>7</v>
      </c>
      <c r="P20" s="41">
        <f>('Flow cytometer'!N20/'Flow cytometer'!O20)*POWER(10,'Flow cytometer'!M20+2)*10.2</f>
        <v>1803068571.4285712</v>
      </c>
      <c r="Q20" s="44">
        <f>AVERAGE(H20,L20,P20)*Calculation!I20/Calculation!K19</f>
        <v>1813872932.9730151</v>
      </c>
      <c r="R20" s="45">
        <f>STDEV(H20,L20,P20)*Calculation!I20/Calculation!K19</f>
        <v>37077608.720429301</v>
      </c>
      <c r="S20" s="46">
        <f>LOG(Q20)</f>
        <v>9.2586068602094542</v>
      </c>
      <c r="T20" s="46">
        <f>LN(Q20)</f>
        <v>21.318730138210697</v>
      </c>
      <c r="U20" s="46">
        <f>LOG(H20)</f>
        <v>9.2567136235613212</v>
      </c>
      <c r="V20" s="46">
        <f>LOG(L20)</f>
        <v>9.240906378145759</v>
      </c>
      <c r="W20" s="46">
        <f>LOG(P20)</f>
        <v>9.256012243431643</v>
      </c>
      <c r="X20" s="46">
        <f xml:space="preserve"> STDEV(U20:W20)*Calculation!I20/Calculation!K19</f>
        <v>9.0828536063061165E-3</v>
      </c>
    </row>
    <row r="60" spans="17:19">
      <c r="Q60" t="s">
        <v>116</v>
      </c>
    </row>
    <row r="61" spans="17:19" ht="16">
      <c r="Q61" t="s">
        <v>117</v>
      </c>
      <c r="R61">
        <v>0.53339999999999999</v>
      </c>
      <c r="S61" t="s">
        <v>118</v>
      </c>
    </row>
    <row r="62" spans="17:19">
      <c r="Q62" t="s">
        <v>119</v>
      </c>
    </row>
    <row r="63" spans="17:19" ht="16">
      <c r="Q63" t="s">
        <v>120</v>
      </c>
      <c r="R63">
        <v>14.782999999999999</v>
      </c>
    </row>
    <row r="65" spans="17:21" ht="16">
      <c r="Q65" t="s">
        <v>121</v>
      </c>
      <c r="R65">
        <v>0.99528000000000005</v>
      </c>
    </row>
    <row r="68" spans="17:21">
      <c r="Q68" t="s">
        <v>122</v>
      </c>
      <c r="R68">
        <f>LN(2)/R61</f>
        <v>1.299488527483962</v>
      </c>
      <c r="S68" t="s">
        <v>123</v>
      </c>
    </row>
    <row r="71" spans="17:21">
      <c r="Q71" s="59"/>
      <c r="R71" s="59" t="s">
        <v>124</v>
      </c>
      <c r="S71" s="59"/>
      <c r="T71" s="59" t="s">
        <v>125</v>
      </c>
      <c r="U71" s="59"/>
    </row>
    <row r="72" spans="17:21">
      <c r="Q72" s="59"/>
      <c r="R72" s="59"/>
      <c r="S72" s="59"/>
      <c r="T72" s="59"/>
      <c r="U72" s="59"/>
    </row>
    <row r="73" spans="17:21" ht="16">
      <c r="Q73">
        <v>0.53339999999999999</v>
      </c>
      <c r="R73" s="60">
        <f>AVERAGE(Q73:Q74)</f>
        <v>0.53339999999999999</v>
      </c>
      <c r="S73" s="59" t="s">
        <v>126</v>
      </c>
      <c r="T73" s="60" t="e">
        <f>STDEV(Q73:Q74)</f>
        <v>#DIV/0!</v>
      </c>
      <c r="U73" s="59" t="s">
        <v>126</v>
      </c>
    </row>
    <row r="74" spans="17:21">
      <c r="Q74" s="59"/>
      <c r="R74" s="59"/>
      <c r="S74" s="59"/>
      <c r="T74" s="59"/>
      <c r="U74" s="59"/>
    </row>
    <row r="75" spans="17:21">
      <c r="Q75" s="59"/>
      <c r="R75" s="59"/>
      <c r="S75" s="59"/>
      <c r="T75" s="59"/>
      <c r="U75" s="59"/>
    </row>
    <row r="76" spans="17:21">
      <c r="R76" t="s">
        <v>127</v>
      </c>
    </row>
    <row r="78" spans="17:21">
      <c r="R78">
        <f>LN(2)/R73</f>
        <v>1.299488527483962</v>
      </c>
      <c r="S78" t="s">
        <v>123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" sqref="D3:D20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90" t="s">
        <v>4</v>
      </c>
      <c r="B1" s="90" t="s">
        <v>103</v>
      </c>
      <c r="C1" s="90" t="s">
        <v>103</v>
      </c>
      <c r="D1" s="90" t="s">
        <v>5</v>
      </c>
      <c r="E1" s="90" t="s">
        <v>19</v>
      </c>
      <c r="F1" s="90" t="s">
        <v>24</v>
      </c>
      <c r="G1" s="92" t="s">
        <v>25</v>
      </c>
      <c r="H1" s="93" t="s">
        <v>26</v>
      </c>
      <c r="I1" s="4" t="s">
        <v>27</v>
      </c>
      <c r="J1" s="53" t="s">
        <v>27</v>
      </c>
    </row>
    <row r="2" spans="1:10">
      <c r="A2" s="91"/>
      <c r="B2" s="91"/>
      <c r="C2" s="91"/>
      <c r="D2" s="91"/>
      <c r="E2" s="91"/>
      <c r="F2" s="91"/>
      <c r="G2" s="92"/>
      <c r="H2" s="93"/>
      <c r="I2" s="5" t="s">
        <v>28</v>
      </c>
      <c r="J2" s="54" t="s">
        <v>23</v>
      </c>
    </row>
    <row r="3" spans="1:10">
      <c r="A3" s="49" t="s">
        <v>6</v>
      </c>
      <c r="B3" s="50">
        <v>-10</v>
      </c>
      <c r="C3" s="50">
        <v>-10</v>
      </c>
      <c r="D3" s="62">
        <f>C3/60</f>
        <v>-0.16666666666666666</v>
      </c>
      <c r="E3" s="37">
        <v>1</v>
      </c>
      <c r="F3" s="47">
        <v>9.5000000000000001E-2</v>
      </c>
      <c r="G3" s="47">
        <v>9.5000000000000001E-2</v>
      </c>
      <c r="H3" s="47">
        <v>9.5000000000000001E-2</v>
      </c>
      <c r="I3" s="48">
        <f>E3*(AVERAGE(F3:H3)*1.6007-0.0118)</f>
        <v>0.14026650000000002</v>
      </c>
      <c r="J3" s="55">
        <f>E3*(STDEV(F3:H3)*1.6007)</f>
        <v>2.7206696834821082E-17</v>
      </c>
    </row>
    <row r="4" spans="1:10">
      <c r="A4" s="51">
        <v>0</v>
      </c>
      <c r="B4" s="52">
        <v>10</v>
      </c>
      <c r="C4" s="52">
        <v>10</v>
      </c>
      <c r="D4" s="62">
        <f t="shared" ref="D4:D20" si="0">C4/60</f>
        <v>0.16666666666666666</v>
      </c>
      <c r="E4" s="37">
        <v>1</v>
      </c>
      <c r="F4" s="47">
        <v>0.14699999999999999</v>
      </c>
      <c r="G4" s="47">
        <v>0.14699999999999999</v>
      </c>
      <c r="H4" s="47">
        <v>0.14699999999999999</v>
      </c>
      <c r="I4" s="48">
        <f>E4*(AVERAGE(F4:H4)*1.6007-0.0118)</f>
        <v>0.22350289999999998</v>
      </c>
      <c r="J4" s="55">
        <f t="shared" ref="J4:J19" si="1">E4*(STDEV(F4:H4)*1.6007)</f>
        <v>0</v>
      </c>
    </row>
    <row r="5" spans="1:10">
      <c r="A5" s="51">
        <v>1</v>
      </c>
      <c r="B5" s="52">
        <v>110</v>
      </c>
      <c r="C5" s="52">
        <v>120</v>
      </c>
      <c r="D5" s="62">
        <f t="shared" si="0"/>
        <v>2</v>
      </c>
      <c r="E5" s="37">
        <v>1</v>
      </c>
      <c r="F5" s="47">
        <v>0.13600000000000001</v>
      </c>
      <c r="G5" s="47">
        <v>0.13600000000000001</v>
      </c>
      <c r="H5" s="47">
        <v>0.13600000000000001</v>
      </c>
      <c r="I5" s="48">
        <f t="shared" ref="I5:I19" si="2">E5*(AVERAGE(F5:H5)*1.6007-0.0118)</f>
        <v>0.2058952</v>
      </c>
      <c r="J5" s="55">
        <f t="shared" si="1"/>
        <v>0</v>
      </c>
    </row>
    <row r="6" spans="1:10">
      <c r="A6" s="51">
        <v>2</v>
      </c>
      <c r="B6" s="52">
        <v>80</v>
      </c>
      <c r="C6" s="52">
        <v>200</v>
      </c>
      <c r="D6" s="62">
        <f t="shared" si="0"/>
        <v>3.3333333333333335</v>
      </c>
      <c r="E6" s="37">
        <v>1</v>
      </c>
      <c r="F6" s="47">
        <v>0.14000000000000001</v>
      </c>
      <c r="G6" s="47">
        <v>0.14000000000000001</v>
      </c>
      <c r="H6" s="47">
        <v>0.14000000000000001</v>
      </c>
      <c r="I6" s="48">
        <f t="shared" si="2"/>
        <v>0.21229800000000001</v>
      </c>
      <c r="J6" s="55">
        <f t="shared" si="1"/>
        <v>0</v>
      </c>
    </row>
    <row r="7" spans="1:10">
      <c r="A7" s="51">
        <v>3</v>
      </c>
      <c r="B7" s="52">
        <v>80</v>
      </c>
      <c r="C7" s="52">
        <v>280</v>
      </c>
      <c r="D7" s="62">
        <f>C7/60</f>
        <v>4.666666666666667</v>
      </c>
      <c r="E7" s="37">
        <v>1</v>
      </c>
      <c r="F7" s="47">
        <v>0.15</v>
      </c>
      <c r="G7" s="47">
        <v>0.15</v>
      </c>
      <c r="H7" s="47">
        <v>0.15</v>
      </c>
      <c r="I7" s="48">
        <f t="shared" si="2"/>
        <v>0.22830499999999998</v>
      </c>
      <c r="J7" s="55">
        <f t="shared" si="1"/>
        <v>0</v>
      </c>
    </row>
    <row r="8" spans="1:10">
      <c r="A8" s="51">
        <v>4</v>
      </c>
      <c r="B8" s="52">
        <v>80</v>
      </c>
      <c r="C8" s="52">
        <v>360</v>
      </c>
      <c r="D8" s="62">
        <f t="shared" si="0"/>
        <v>6</v>
      </c>
      <c r="E8" s="37">
        <v>1</v>
      </c>
      <c r="F8" s="47">
        <v>0.159</v>
      </c>
      <c r="G8" s="47">
        <v>0.159</v>
      </c>
      <c r="H8" s="47">
        <v>0.159</v>
      </c>
      <c r="I8" s="48">
        <f t="shared" si="2"/>
        <v>0.24271129999999999</v>
      </c>
      <c r="J8" s="55">
        <f t="shared" si="1"/>
        <v>0</v>
      </c>
    </row>
    <row r="9" spans="1:10">
      <c r="A9" s="51">
        <v>5</v>
      </c>
      <c r="B9" s="52">
        <v>80</v>
      </c>
      <c r="C9" s="52">
        <v>440</v>
      </c>
      <c r="D9" s="62">
        <f t="shared" si="0"/>
        <v>7.333333333333333</v>
      </c>
      <c r="E9" s="37">
        <v>1</v>
      </c>
      <c r="F9" s="47">
        <v>0.17100000000000001</v>
      </c>
      <c r="G9" s="47">
        <v>0.17100000000000001</v>
      </c>
      <c r="H9" s="47">
        <v>0.17100000000000001</v>
      </c>
      <c r="I9" s="48">
        <f t="shared" si="2"/>
        <v>0.26191970000000003</v>
      </c>
      <c r="J9" s="55">
        <f t="shared" si="1"/>
        <v>0</v>
      </c>
    </row>
    <row r="10" spans="1:10">
      <c r="A10" s="51">
        <v>6</v>
      </c>
      <c r="B10" s="52">
        <v>95</v>
      </c>
      <c r="C10" s="52">
        <v>535</v>
      </c>
      <c r="D10" s="62">
        <f t="shared" si="0"/>
        <v>8.9166666666666661</v>
      </c>
      <c r="E10" s="37">
        <v>1</v>
      </c>
      <c r="F10" s="47">
        <v>0.17899999999999999</v>
      </c>
      <c r="G10" s="47">
        <v>0.17899999999999999</v>
      </c>
      <c r="H10" s="47">
        <v>0.17899999999999999</v>
      </c>
      <c r="I10" s="48">
        <f t="shared" si="2"/>
        <v>0.27472529999999995</v>
      </c>
      <c r="J10" s="55">
        <f t="shared" si="1"/>
        <v>5.4413393669642165E-17</v>
      </c>
    </row>
    <row r="11" spans="1:10">
      <c r="A11" s="51">
        <v>7</v>
      </c>
      <c r="B11" s="52">
        <v>85</v>
      </c>
      <c r="C11" s="52">
        <v>620</v>
      </c>
      <c r="D11" s="62">
        <f t="shared" si="0"/>
        <v>10.333333333333334</v>
      </c>
      <c r="E11" s="37">
        <v>1</v>
      </c>
      <c r="F11" s="47">
        <v>0.188</v>
      </c>
      <c r="G11" s="47">
        <v>0.188</v>
      </c>
      <c r="H11" s="47">
        <v>0.188</v>
      </c>
      <c r="I11" s="48">
        <f t="shared" si="2"/>
        <v>0.28913160000000004</v>
      </c>
      <c r="J11" s="55">
        <f t="shared" si="1"/>
        <v>5.4413393669642165E-17</v>
      </c>
    </row>
    <row r="12" spans="1:10">
      <c r="A12" s="51">
        <v>8</v>
      </c>
      <c r="B12" s="52">
        <v>60</v>
      </c>
      <c r="C12" s="52">
        <v>680</v>
      </c>
      <c r="D12" s="62">
        <f t="shared" si="0"/>
        <v>11.333333333333334</v>
      </c>
      <c r="E12" s="37">
        <v>1</v>
      </c>
      <c r="F12" s="47">
        <v>0.189</v>
      </c>
      <c r="G12" s="47">
        <v>0.189</v>
      </c>
      <c r="H12" s="47">
        <v>0.189</v>
      </c>
      <c r="I12" s="48">
        <f t="shared" si="2"/>
        <v>0.2907323</v>
      </c>
      <c r="J12" s="55">
        <f t="shared" si="1"/>
        <v>5.4413393669642165E-17</v>
      </c>
    </row>
    <row r="13" spans="1:10">
      <c r="A13" s="51">
        <v>9</v>
      </c>
      <c r="B13" s="52">
        <v>80</v>
      </c>
      <c r="C13" s="52">
        <v>760</v>
      </c>
      <c r="D13" s="62">
        <f t="shared" si="0"/>
        <v>12.666666666666666</v>
      </c>
      <c r="E13" s="37">
        <v>1</v>
      </c>
      <c r="F13" s="47">
        <v>0.189</v>
      </c>
      <c r="G13" s="47">
        <v>0.189</v>
      </c>
      <c r="H13" s="47">
        <v>0.189</v>
      </c>
      <c r="I13" s="48">
        <f t="shared" si="2"/>
        <v>0.2907323</v>
      </c>
      <c r="J13" s="55">
        <f t="shared" si="1"/>
        <v>5.4413393669642165E-17</v>
      </c>
    </row>
    <row r="14" spans="1:10">
      <c r="A14" s="51">
        <v>10</v>
      </c>
      <c r="B14" s="52">
        <v>80</v>
      </c>
      <c r="C14" s="52">
        <v>840</v>
      </c>
      <c r="D14" s="62">
        <f t="shared" si="0"/>
        <v>14</v>
      </c>
      <c r="E14" s="37">
        <v>1</v>
      </c>
      <c r="F14" s="47">
        <v>0.191</v>
      </c>
      <c r="G14" s="47">
        <v>0.191</v>
      </c>
      <c r="H14" s="47">
        <v>0.191</v>
      </c>
      <c r="I14" s="48">
        <f t="shared" si="2"/>
        <v>0.29393369999999996</v>
      </c>
      <c r="J14" s="55">
        <f t="shared" si="1"/>
        <v>5.4413393669642165E-17</v>
      </c>
    </row>
    <row r="15" spans="1:10">
      <c r="A15" s="51">
        <v>11</v>
      </c>
      <c r="B15" s="52">
        <v>80</v>
      </c>
      <c r="C15" s="52">
        <v>920</v>
      </c>
      <c r="D15" s="62">
        <f t="shared" si="0"/>
        <v>15.333333333333334</v>
      </c>
      <c r="E15" s="37">
        <v>1</v>
      </c>
      <c r="F15" s="47">
        <v>0.193</v>
      </c>
      <c r="G15" s="47">
        <v>0.193</v>
      </c>
      <c r="H15" s="47">
        <v>0.193</v>
      </c>
      <c r="I15" s="48">
        <f t="shared" si="2"/>
        <v>0.29713509999999999</v>
      </c>
      <c r="J15" s="55">
        <f t="shared" si="1"/>
        <v>5.4413393669642165E-17</v>
      </c>
    </row>
    <row r="16" spans="1:10">
      <c r="A16" s="51">
        <v>12</v>
      </c>
      <c r="B16" s="52">
        <v>80</v>
      </c>
      <c r="C16" s="52">
        <v>1000</v>
      </c>
      <c r="D16" s="62">
        <f t="shared" si="0"/>
        <v>16.666666666666668</v>
      </c>
      <c r="E16" s="37">
        <v>1</v>
      </c>
      <c r="F16" s="47">
        <v>0.20699999999999999</v>
      </c>
      <c r="G16" s="47">
        <v>0.20699999999999999</v>
      </c>
      <c r="H16" s="47">
        <v>0.20699999999999999</v>
      </c>
      <c r="I16" s="48">
        <f t="shared" si="2"/>
        <v>0.31954490000000002</v>
      </c>
      <c r="J16" s="55">
        <f t="shared" si="1"/>
        <v>0</v>
      </c>
    </row>
    <row r="17" spans="1:10">
      <c r="A17" s="51">
        <v>13</v>
      </c>
      <c r="B17" s="52">
        <v>80</v>
      </c>
      <c r="C17" s="52">
        <v>1080</v>
      </c>
      <c r="D17" s="62">
        <f t="shared" si="0"/>
        <v>18</v>
      </c>
      <c r="E17" s="37">
        <v>1</v>
      </c>
      <c r="F17" s="47">
        <v>0.219</v>
      </c>
      <c r="G17" s="47">
        <v>0.219</v>
      </c>
      <c r="H17" s="47">
        <v>0.219</v>
      </c>
      <c r="I17" s="48">
        <f t="shared" si="2"/>
        <v>0.33875330000000003</v>
      </c>
      <c r="J17" s="55">
        <f t="shared" si="1"/>
        <v>0</v>
      </c>
    </row>
    <row r="18" spans="1:10">
      <c r="A18" s="51">
        <v>14</v>
      </c>
      <c r="B18" s="52">
        <v>360</v>
      </c>
      <c r="C18" s="52">
        <v>1440</v>
      </c>
      <c r="D18" s="62">
        <f t="shared" si="0"/>
        <v>24</v>
      </c>
      <c r="E18" s="37">
        <v>10</v>
      </c>
      <c r="F18" s="47">
        <v>5.1999999999999998E-2</v>
      </c>
      <c r="G18" s="47">
        <v>5.0999999999999997E-2</v>
      </c>
      <c r="H18" s="47">
        <v>0.05</v>
      </c>
      <c r="I18" s="48">
        <f t="shared" si="2"/>
        <v>0.69835699999999989</v>
      </c>
      <c r="J18" s="55">
        <f t="shared" si="1"/>
        <v>1.6006999999999959E-2</v>
      </c>
    </row>
    <row r="19" spans="1:10">
      <c r="A19" s="51">
        <v>15</v>
      </c>
      <c r="B19" s="52">
        <v>355</v>
      </c>
      <c r="C19" s="52">
        <v>1795</v>
      </c>
      <c r="D19" s="62">
        <f t="shared" si="0"/>
        <v>29.916666666666668</v>
      </c>
      <c r="E19" s="37">
        <v>10</v>
      </c>
      <c r="F19" s="47">
        <v>0.104</v>
      </c>
      <c r="G19" s="47">
        <v>0.13100000000000001</v>
      </c>
      <c r="H19" s="47">
        <v>8.8999999999999996E-2</v>
      </c>
      <c r="I19" s="48">
        <f t="shared" si="2"/>
        <v>1.6107559999999999</v>
      </c>
      <c r="J19" s="55">
        <f t="shared" si="1"/>
        <v>0.3406897330372628</v>
      </c>
    </row>
    <row r="20" spans="1:10">
      <c r="A20" s="51">
        <v>16</v>
      </c>
      <c r="B20" s="52">
        <v>1085</v>
      </c>
      <c r="C20" s="52">
        <v>2880</v>
      </c>
      <c r="D20" s="62">
        <f t="shared" si="0"/>
        <v>48</v>
      </c>
      <c r="E20" s="37">
        <v>10</v>
      </c>
      <c r="F20" s="47">
        <v>7.8E-2</v>
      </c>
      <c r="G20" s="47" t="s">
        <v>139</v>
      </c>
      <c r="H20" s="47">
        <v>7.6999999999999999E-2</v>
      </c>
      <c r="I20" s="48">
        <f>E20*(AVERAGE(F20:H20)*1.6007-0.0118)</f>
        <v>1.1225425</v>
      </c>
      <c r="J20" s="55">
        <f>E20*(STDEV(F20:H20)*1.6007)</f>
        <v>1.1318658246453077E-2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4" sqref="D14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90" t="s">
        <v>4</v>
      </c>
      <c r="B1" s="90" t="s">
        <v>103</v>
      </c>
      <c r="C1" s="90" t="s">
        <v>103</v>
      </c>
      <c r="D1" s="90" t="s">
        <v>5</v>
      </c>
      <c r="E1" s="4" t="s">
        <v>29</v>
      </c>
      <c r="F1" s="4" t="s">
        <v>2</v>
      </c>
      <c r="G1" s="4" t="s">
        <v>32</v>
      </c>
    </row>
    <row r="2" spans="1:7">
      <c r="A2" s="91"/>
      <c r="B2" s="91"/>
      <c r="C2" s="91"/>
      <c r="D2" s="91"/>
      <c r="E2" s="5" t="s">
        <v>30</v>
      </c>
      <c r="F2" s="5" t="s">
        <v>31</v>
      </c>
      <c r="G2" s="5" t="s">
        <v>33</v>
      </c>
    </row>
    <row r="3" spans="1:7">
      <c r="A3" s="49" t="s">
        <v>6</v>
      </c>
      <c r="B3" s="50">
        <v>-10</v>
      </c>
      <c r="C3" s="50">
        <v>-10</v>
      </c>
      <c r="D3" s="62">
        <f>C3/60</f>
        <v>-0.16666666666666666</v>
      </c>
      <c r="E3" s="1"/>
      <c r="F3" s="1"/>
      <c r="G3" s="1" t="e">
        <f>(F3-$C$22)/E3*1000*Calculation!I4/Calculation!K3</f>
        <v>#DIV/0!</v>
      </c>
    </row>
    <row r="4" spans="1:7">
      <c r="A4" s="51">
        <v>0</v>
      </c>
      <c r="B4" s="52">
        <v>10</v>
      </c>
      <c r="C4" s="52">
        <v>10</v>
      </c>
      <c r="D4" s="62">
        <f t="shared" ref="D4:D20" si="0">C4/60</f>
        <v>0.16666666666666666</v>
      </c>
      <c r="E4" s="1"/>
      <c r="F4" s="1"/>
      <c r="G4" s="1" t="e">
        <f>(F4-$C$22)/E4*1000*Calculation!I5/Calculation!K4</f>
        <v>#DIV/0!</v>
      </c>
    </row>
    <row r="5" spans="1:7">
      <c r="A5" s="51">
        <v>1</v>
      </c>
      <c r="B5" s="52">
        <v>110</v>
      </c>
      <c r="C5" s="52">
        <v>120</v>
      </c>
      <c r="D5" s="62">
        <f t="shared" si="0"/>
        <v>2</v>
      </c>
      <c r="E5" s="1"/>
      <c r="F5" s="1"/>
      <c r="G5" s="1" t="e">
        <f>(F5-$C$22)/E5*1000*Calculation!I6/Calculation!K5</f>
        <v>#DIV/0!</v>
      </c>
    </row>
    <row r="6" spans="1:7">
      <c r="A6" s="51">
        <v>2</v>
      </c>
      <c r="B6" s="52">
        <v>80</v>
      </c>
      <c r="C6" s="52">
        <v>200</v>
      </c>
      <c r="D6" s="62">
        <f t="shared" si="0"/>
        <v>3.3333333333333335</v>
      </c>
      <c r="E6" s="1"/>
      <c r="F6" s="1"/>
      <c r="G6" s="1" t="e">
        <f>(F6-$C$22)/E6*1000*Calculation!I7/Calculation!K6</f>
        <v>#DIV/0!</v>
      </c>
    </row>
    <row r="7" spans="1:7">
      <c r="A7" s="51">
        <v>3</v>
      </c>
      <c r="B7" s="52">
        <v>80</v>
      </c>
      <c r="C7" s="52">
        <v>280</v>
      </c>
      <c r="D7" s="62">
        <f>C7/60</f>
        <v>4.666666666666667</v>
      </c>
      <c r="E7" s="1"/>
      <c r="F7" s="1"/>
      <c r="G7" s="1" t="e">
        <f>(F7-$C$22)/E7*1000*Calculation!I8/Calculation!K7</f>
        <v>#DIV/0!</v>
      </c>
    </row>
    <row r="8" spans="1:7">
      <c r="A8" s="51">
        <v>4</v>
      </c>
      <c r="B8" s="52">
        <v>80</v>
      </c>
      <c r="C8" s="52">
        <v>360</v>
      </c>
      <c r="D8" s="62">
        <f t="shared" si="0"/>
        <v>6</v>
      </c>
      <c r="E8" s="1"/>
      <c r="F8" s="1"/>
      <c r="G8" s="1" t="e">
        <f>(F8-$C$22)/E8*1000*Calculation!I9/Calculation!K8</f>
        <v>#DIV/0!</v>
      </c>
    </row>
    <row r="9" spans="1:7">
      <c r="A9" s="51">
        <v>5</v>
      </c>
      <c r="B9" s="52">
        <v>80</v>
      </c>
      <c r="C9" s="52">
        <v>440</v>
      </c>
      <c r="D9" s="62">
        <f t="shared" si="0"/>
        <v>7.333333333333333</v>
      </c>
      <c r="E9" s="1"/>
      <c r="F9" s="1"/>
      <c r="G9" s="1" t="e">
        <f>(F9-$C$22)/E9*1000*Calculation!I10/Calculation!K9</f>
        <v>#DIV/0!</v>
      </c>
    </row>
    <row r="10" spans="1:7">
      <c r="A10" s="51">
        <v>6</v>
      </c>
      <c r="B10" s="52">
        <v>95</v>
      </c>
      <c r="C10" s="52">
        <v>535</v>
      </c>
      <c r="D10" s="62">
        <f t="shared" si="0"/>
        <v>8.9166666666666661</v>
      </c>
      <c r="E10" s="1"/>
      <c r="F10" s="1"/>
      <c r="G10" s="1" t="e">
        <f>(F10-$C$22)/E10*1000*Calculation!I11/Calculation!K10</f>
        <v>#DIV/0!</v>
      </c>
    </row>
    <row r="11" spans="1:7">
      <c r="A11" s="51">
        <v>7</v>
      </c>
      <c r="B11" s="52">
        <v>85</v>
      </c>
      <c r="C11" s="52">
        <v>620</v>
      </c>
      <c r="D11" s="62">
        <f t="shared" si="0"/>
        <v>10.333333333333334</v>
      </c>
      <c r="E11" s="1"/>
      <c r="F11" s="1"/>
      <c r="G11" s="1" t="e">
        <f>(F11-$C$22)/E11*1000*Calculation!I12/Calculation!K11</f>
        <v>#DIV/0!</v>
      </c>
    </row>
    <row r="12" spans="1:7">
      <c r="A12" s="51">
        <v>8</v>
      </c>
      <c r="B12" s="52">
        <v>60</v>
      </c>
      <c r="C12" s="52">
        <v>680</v>
      </c>
      <c r="D12" s="62">
        <f t="shared" si="0"/>
        <v>11.333333333333334</v>
      </c>
      <c r="E12" s="1"/>
      <c r="F12" s="1"/>
      <c r="G12" s="1" t="e">
        <f>(F12-$C$22)/E12*1000*Calculation!I13/Calculation!K12</f>
        <v>#DIV/0!</v>
      </c>
    </row>
    <row r="13" spans="1:7">
      <c r="A13" s="51">
        <v>9</v>
      </c>
      <c r="B13" s="52">
        <v>80</v>
      </c>
      <c r="C13" s="52">
        <v>760</v>
      </c>
      <c r="D13" s="62">
        <f t="shared" si="0"/>
        <v>12.666666666666666</v>
      </c>
      <c r="E13" s="34"/>
      <c r="F13" s="34"/>
      <c r="G13" s="34" t="e">
        <f>(F13-$C$22)/E13*1000*Calculation!I14/Calculation!K13</f>
        <v>#DIV/0!</v>
      </c>
    </row>
    <row r="14" spans="1:7">
      <c r="A14" s="51">
        <v>10</v>
      </c>
      <c r="B14" s="52">
        <v>80</v>
      </c>
      <c r="C14" s="52">
        <v>840</v>
      </c>
      <c r="D14" s="62">
        <f t="shared" si="0"/>
        <v>14</v>
      </c>
      <c r="E14" s="34"/>
      <c r="F14" s="34"/>
      <c r="G14" s="34" t="e">
        <f>(F14-$C$22)/E14*1000*Calculation!I15/Calculation!K14</f>
        <v>#DIV/0!</v>
      </c>
    </row>
    <row r="15" spans="1:7">
      <c r="A15" s="51">
        <v>11</v>
      </c>
      <c r="B15" s="52">
        <v>80</v>
      </c>
      <c r="C15" s="52">
        <v>920</v>
      </c>
      <c r="D15" s="62">
        <f t="shared" si="0"/>
        <v>15.333333333333334</v>
      </c>
      <c r="E15" s="34"/>
      <c r="F15" s="34"/>
      <c r="G15" s="34" t="e">
        <f>(F15-$C$22)/E15*1000*Calculation!I16/Calculation!K15</f>
        <v>#DIV/0!</v>
      </c>
    </row>
    <row r="16" spans="1:7">
      <c r="A16" s="51">
        <v>12</v>
      </c>
      <c r="B16" s="52">
        <v>80</v>
      </c>
      <c r="C16" s="52">
        <v>1000</v>
      </c>
      <c r="D16" s="62">
        <f t="shared" si="0"/>
        <v>16.666666666666668</v>
      </c>
      <c r="E16" s="34"/>
      <c r="F16" s="34"/>
      <c r="G16" s="34" t="e">
        <f>(F16-$C$22)/E16*1000*Calculation!I17/Calculation!K16</f>
        <v>#DIV/0!</v>
      </c>
    </row>
    <row r="17" spans="1:7" ht="15" customHeight="1">
      <c r="A17" s="51">
        <v>13</v>
      </c>
      <c r="B17" s="52">
        <v>80</v>
      </c>
      <c r="C17" s="52">
        <v>1080</v>
      </c>
      <c r="D17" s="62">
        <f t="shared" si="0"/>
        <v>18</v>
      </c>
      <c r="E17" s="34"/>
      <c r="F17" s="34"/>
      <c r="G17" s="34" t="e">
        <f>(F17-$C$22)/E17*1000*Calculation!I18/Calculation!K17</f>
        <v>#DIV/0!</v>
      </c>
    </row>
    <row r="18" spans="1:7">
      <c r="A18" s="51">
        <v>14</v>
      </c>
      <c r="B18" s="52">
        <v>360</v>
      </c>
      <c r="C18" s="52">
        <v>1440</v>
      </c>
      <c r="D18" s="62">
        <f t="shared" si="0"/>
        <v>24</v>
      </c>
      <c r="E18" s="34"/>
      <c r="F18" s="34"/>
      <c r="G18" s="34" t="e">
        <f>(F18-$C$22)/E18*1000*Calculation!I19/Calculation!K18</f>
        <v>#DIV/0!</v>
      </c>
    </row>
    <row r="19" spans="1:7">
      <c r="A19" s="51">
        <v>15</v>
      </c>
      <c r="B19" s="52">
        <v>355</v>
      </c>
      <c r="C19" s="52">
        <v>1795</v>
      </c>
      <c r="D19" s="62">
        <f t="shared" si="0"/>
        <v>29.916666666666668</v>
      </c>
      <c r="E19" s="37"/>
      <c r="F19" s="37"/>
      <c r="G19" s="37" t="e">
        <f>(F19-$C$22)/E19*1000*Calculation!I22/Calculation!K19</f>
        <v>#DIV/0!</v>
      </c>
    </row>
    <row r="20" spans="1:7">
      <c r="A20" s="51">
        <v>16</v>
      </c>
      <c r="B20" s="52">
        <v>1085</v>
      </c>
      <c r="C20" s="52">
        <v>2880</v>
      </c>
      <c r="D20" s="62">
        <f t="shared" si="0"/>
        <v>48</v>
      </c>
      <c r="E20" s="37"/>
      <c r="F20" s="37"/>
      <c r="G20" s="37" t="e">
        <f>(F20-$C$22)/E20*1000*Calculation!I23/Calculation!K20</f>
        <v>#DIV/0!</v>
      </c>
    </row>
    <row r="21" spans="1:7">
      <c r="A21" s="61"/>
      <c r="B21" s="52"/>
      <c r="C21" s="52"/>
      <c r="D21" s="63"/>
    </row>
    <row r="22" spans="1:7">
      <c r="A22" s="101" t="s">
        <v>3</v>
      </c>
      <c r="B22" s="102"/>
      <c r="C22" s="1"/>
    </row>
  </sheetData>
  <mergeCells count="5">
    <mergeCell ref="A22:B22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16"/>
  <sheetViews>
    <sheetView topLeftCell="A96" workbookViewId="0">
      <selection activeCell="F5" sqref="F5:F116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10" max="10" width="12" bestFit="1" customWidth="1"/>
    <col min="11" max="11" width="8.5" customWidth="1"/>
  </cols>
  <sheetData>
    <row r="1" spans="1:10">
      <c r="A1" s="23" t="s">
        <v>49</v>
      </c>
      <c r="B1" s="11">
        <v>70.099999999999994</v>
      </c>
      <c r="C1" s="26" t="s">
        <v>50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92" t="s">
        <v>5</v>
      </c>
      <c r="B3" s="92" t="s">
        <v>36</v>
      </c>
      <c r="C3" s="92"/>
      <c r="D3" s="92" t="s">
        <v>51</v>
      </c>
      <c r="E3" s="92"/>
      <c r="F3" s="92"/>
      <c r="G3" s="23" t="s">
        <v>52</v>
      </c>
    </row>
    <row r="4" spans="1:10">
      <c r="A4" s="92"/>
      <c r="B4" s="23" t="s">
        <v>53</v>
      </c>
      <c r="C4" s="23" t="s">
        <v>54</v>
      </c>
      <c r="D4" s="23" t="s">
        <v>55</v>
      </c>
      <c r="E4" s="23" t="s">
        <v>56</v>
      </c>
      <c r="F4" s="23" t="s">
        <v>57</v>
      </c>
      <c r="G4" s="23" t="s">
        <v>58</v>
      </c>
    </row>
    <row r="5" spans="1:10">
      <c r="A5" s="11">
        <v>0</v>
      </c>
      <c r="B5" s="11">
        <v>161.16</v>
      </c>
      <c r="C5" s="11">
        <f>B5/1000</f>
        <v>0.16116</v>
      </c>
      <c r="D5" s="11">
        <f>C5/1000*$B$1</f>
        <v>1.1297316E-2</v>
      </c>
      <c r="E5" s="11">
        <f>D5/22.4</f>
        <v>5.0434446428571436E-4</v>
      </c>
      <c r="F5" s="11">
        <f>E5/Calculation!K$4*1000</f>
        <v>3.4285823540837143E-4</v>
      </c>
      <c r="G5" s="11">
        <f>(0+F5)/2*30</f>
        <v>5.1428735311255715E-3</v>
      </c>
      <c r="I5" s="81">
        <v>-0.16666666666666666</v>
      </c>
      <c r="J5" t="s">
        <v>145</v>
      </c>
    </row>
    <row r="6" spans="1:10">
      <c r="A6" s="11">
        <v>0.5</v>
      </c>
      <c r="B6" s="11">
        <v>1292.67</v>
      </c>
      <c r="C6" s="11">
        <f t="shared" ref="C6:C69" si="0">B6/1000</f>
        <v>1.29267</v>
      </c>
      <c r="D6" s="11">
        <f>C6/1000*$B$1</f>
        <v>9.0616166999999984E-2</v>
      </c>
      <c r="E6" s="11">
        <f>D6/22.4</f>
        <v>4.0453645982142855E-3</v>
      </c>
      <c r="F6" s="11">
        <f>E6/Calculation!K$4*1000</f>
        <v>2.750077904972322E-3</v>
      </c>
      <c r="G6" s="11">
        <f>G5+(F6+F5)/2*30</f>
        <v>5.1536915636835975E-2</v>
      </c>
      <c r="I6" s="81">
        <v>0.16666666666666666</v>
      </c>
      <c r="J6" t="s">
        <v>146</v>
      </c>
    </row>
    <row r="7" spans="1:10">
      <c r="A7" s="11">
        <v>1</v>
      </c>
      <c r="B7" s="11">
        <v>1795.47</v>
      </c>
      <c r="C7" s="11">
        <f t="shared" si="0"/>
        <v>1.7954700000000001</v>
      </c>
      <c r="D7" s="11">
        <f t="shared" ref="D7:D69" si="1">C7/1000*$B$1</f>
        <v>0.12586244700000002</v>
      </c>
      <c r="E7" s="11">
        <f t="shared" ref="E7:E69" si="2">D7/22.4</f>
        <v>5.6188592410714297E-3</v>
      </c>
      <c r="F7" s="11">
        <f>E7/Calculation!K$4*1000</f>
        <v>3.8197547525978446E-3</v>
      </c>
      <c r="G7" s="11">
        <f t="shared" ref="G7:G70" si="3">G6+(F7+F6)/2*30</f>
        <v>0.15008440550038848</v>
      </c>
      <c r="I7" s="81">
        <v>2</v>
      </c>
      <c r="J7" t="s">
        <v>147</v>
      </c>
    </row>
    <row r="8" spans="1:10">
      <c r="A8" s="11">
        <v>1.5</v>
      </c>
      <c r="B8" s="11">
        <v>1820.65</v>
      </c>
      <c r="C8" s="11">
        <f t="shared" si="0"/>
        <v>1.8206500000000001</v>
      </c>
      <c r="D8" s="11">
        <f t="shared" si="1"/>
        <v>0.127627565</v>
      </c>
      <c r="E8" s="11">
        <f t="shared" si="2"/>
        <v>5.697659151785715E-3</v>
      </c>
      <c r="F8" s="11">
        <f>E8/Calculation!K$4*1000</f>
        <v>3.8733236925803638E-3</v>
      </c>
      <c r="G8" s="11">
        <f t="shared" si="3"/>
        <v>0.26548058217806159</v>
      </c>
      <c r="I8" s="81">
        <v>3.3333333333333335</v>
      </c>
      <c r="J8" t="s">
        <v>148</v>
      </c>
    </row>
    <row r="9" spans="1:10">
      <c r="A9" s="11">
        <v>2</v>
      </c>
      <c r="B9" s="11">
        <v>1616.68</v>
      </c>
      <c r="C9" s="11">
        <f t="shared" si="0"/>
        <v>1.6166800000000001</v>
      </c>
      <c r="D9" s="11">
        <f t="shared" si="1"/>
        <v>0.113329268</v>
      </c>
      <c r="E9" s="11">
        <f t="shared" si="2"/>
        <v>5.0593423214285718E-3</v>
      </c>
      <c r="F9" s="11">
        <f>E9/Calculation!K$5*1000</f>
        <v>3.5578227063794896E-3</v>
      </c>
      <c r="G9" s="11">
        <f t="shared" si="3"/>
        <v>0.37694777816245939</v>
      </c>
      <c r="I9" s="81">
        <v>4.666666666666667</v>
      </c>
      <c r="J9" t="s">
        <v>149</v>
      </c>
    </row>
    <row r="10" spans="1:10">
      <c r="A10" s="11">
        <v>2.5</v>
      </c>
      <c r="B10" s="11">
        <v>1280.08</v>
      </c>
      <c r="C10" s="11">
        <f t="shared" si="0"/>
        <v>1.2800799999999999</v>
      </c>
      <c r="D10" s="11">
        <f t="shared" si="1"/>
        <v>8.9733607999999979E-2</v>
      </c>
      <c r="E10" s="11">
        <f t="shared" si="2"/>
        <v>4.0059646428571424E-3</v>
      </c>
      <c r="F10" s="11">
        <f>E10/Calculation!K$5*1000</f>
        <v>2.8170681210766858E-3</v>
      </c>
      <c r="G10" s="11">
        <f t="shared" si="3"/>
        <v>0.47257114057430205</v>
      </c>
      <c r="I10" s="81">
        <v>6</v>
      </c>
      <c r="J10" t="s">
        <v>150</v>
      </c>
    </row>
    <row r="11" spans="1:10">
      <c r="A11" s="11">
        <v>3</v>
      </c>
      <c r="B11" s="11">
        <v>1048.4100000000001</v>
      </c>
      <c r="C11" s="11">
        <f t="shared" si="0"/>
        <v>1.0484100000000001</v>
      </c>
      <c r="D11" s="11">
        <f t="shared" si="1"/>
        <v>7.3493540999999996E-2</v>
      </c>
      <c r="E11" s="11">
        <f t="shared" si="2"/>
        <v>3.2809616517857141E-3</v>
      </c>
      <c r="F11" s="11">
        <f>E11/Calculation!K$5*1000</f>
        <v>2.3072326642225548E-3</v>
      </c>
      <c r="G11" s="11">
        <f t="shared" si="3"/>
        <v>0.54943565235379066</v>
      </c>
      <c r="I11" s="81">
        <v>7.333333333333333</v>
      </c>
      <c r="J11" t="s">
        <v>151</v>
      </c>
    </row>
    <row r="12" spans="1:10">
      <c r="A12" s="11">
        <v>3.5</v>
      </c>
      <c r="B12" s="11">
        <v>843.59</v>
      </c>
      <c r="C12" s="11">
        <f t="shared" si="0"/>
        <v>0.84359000000000006</v>
      </c>
      <c r="D12" s="11">
        <f t="shared" si="1"/>
        <v>5.9135659E-2</v>
      </c>
      <c r="E12" s="11">
        <f t="shared" si="2"/>
        <v>2.6399847767857145E-3</v>
      </c>
      <c r="F12" s="11">
        <f>E12/Calculation!K$6*1000</f>
        <v>1.9240928360681215E-3</v>
      </c>
      <c r="G12" s="11">
        <f t="shared" si="3"/>
        <v>0.6129055348581508</v>
      </c>
      <c r="I12" s="81">
        <v>8.9166666666666661</v>
      </c>
      <c r="J12" t="s">
        <v>152</v>
      </c>
    </row>
    <row r="13" spans="1:10">
      <c r="A13" s="11">
        <v>4</v>
      </c>
      <c r="B13" s="11">
        <v>764.69</v>
      </c>
      <c r="C13" s="11">
        <f t="shared" si="0"/>
        <v>0.76469000000000009</v>
      </c>
      <c r="D13" s="11">
        <f t="shared" si="1"/>
        <v>5.3604768999999997E-2</v>
      </c>
      <c r="E13" s="11">
        <f t="shared" si="2"/>
        <v>2.3930700446428573E-3</v>
      </c>
      <c r="F13" s="11">
        <f>E13/Calculation!K$6*1000</f>
        <v>1.7441346516826088E-3</v>
      </c>
      <c r="G13" s="11">
        <f t="shared" si="3"/>
        <v>0.66792894717441176</v>
      </c>
      <c r="I13" s="81">
        <v>10.333333333333334</v>
      </c>
      <c r="J13" t="s">
        <v>153</v>
      </c>
    </row>
    <row r="14" spans="1:10">
      <c r="A14" s="11">
        <v>4.5</v>
      </c>
      <c r="B14" s="11">
        <v>684.95</v>
      </c>
      <c r="C14" s="11">
        <f t="shared" si="0"/>
        <v>0.68495000000000006</v>
      </c>
      <c r="D14" s="11">
        <f t="shared" si="1"/>
        <v>4.8014994999999998E-2</v>
      </c>
      <c r="E14" s="11">
        <f t="shared" si="2"/>
        <v>2.1435265624999999E-3</v>
      </c>
      <c r="F14" s="11">
        <f>E14/Calculation!K$6*1000</f>
        <v>1.562260562672459E-3</v>
      </c>
      <c r="G14" s="11">
        <f t="shared" si="3"/>
        <v>0.71752487538973775</v>
      </c>
      <c r="I14" s="81">
        <v>11.333333333333334</v>
      </c>
      <c r="J14" t="s">
        <v>154</v>
      </c>
    </row>
    <row r="15" spans="1:10">
      <c r="A15" s="11">
        <v>5</v>
      </c>
      <c r="B15" s="11">
        <v>687.47</v>
      </c>
      <c r="C15" s="11">
        <f t="shared" si="0"/>
        <v>0.68747000000000003</v>
      </c>
      <c r="D15" s="11">
        <f t="shared" si="1"/>
        <v>4.8191646999999997E-2</v>
      </c>
      <c r="E15" s="11">
        <f t="shared" si="2"/>
        <v>2.1514128125000001E-3</v>
      </c>
      <c r="F15" s="11">
        <f>E15/Calculation!K$7*1000</f>
        <v>1.6260387943339612E-3</v>
      </c>
      <c r="G15" s="11">
        <f t="shared" si="3"/>
        <v>0.76534936574483403</v>
      </c>
      <c r="I15" s="81">
        <v>12.666666666666666</v>
      </c>
      <c r="J15" t="s">
        <v>155</v>
      </c>
    </row>
    <row r="16" spans="1:10">
      <c r="A16" s="11">
        <v>5.5</v>
      </c>
      <c r="B16" s="11">
        <v>742.03</v>
      </c>
      <c r="C16" s="11">
        <f t="shared" si="0"/>
        <v>0.74202999999999997</v>
      </c>
      <c r="D16" s="11">
        <f t="shared" si="1"/>
        <v>5.2016302999999993E-2</v>
      </c>
      <c r="E16" s="11">
        <f t="shared" si="2"/>
        <v>2.3221563839285714E-3</v>
      </c>
      <c r="F16" s="11">
        <f>E16/Calculation!K$7*1000</f>
        <v>1.7550868642408094E-3</v>
      </c>
      <c r="G16" s="11">
        <f t="shared" si="3"/>
        <v>0.81606625062345561</v>
      </c>
      <c r="I16" s="81">
        <v>14</v>
      </c>
      <c r="J16" t="s">
        <v>156</v>
      </c>
    </row>
    <row r="17" spans="1:10">
      <c r="A17" s="11">
        <v>6</v>
      </c>
      <c r="B17" s="11">
        <v>742.03</v>
      </c>
      <c r="C17" s="11">
        <f t="shared" si="0"/>
        <v>0.74202999999999997</v>
      </c>
      <c r="D17" s="11">
        <f t="shared" si="1"/>
        <v>5.2016302999999993E-2</v>
      </c>
      <c r="E17" s="11">
        <f t="shared" si="2"/>
        <v>2.3221563839285714E-3</v>
      </c>
      <c r="F17" s="11">
        <f>E17/Calculation!K$8*1000</f>
        <v>1.8211089406385825E-3</v>
      </c>
      <c r="G17" s="11">
        <f t="shared" si="3"/>
        <v>0.86970918769664651</v>
      </c>
      <c r="I17" s="81">
        <v>15.333333333333334</v>
      </c>
      <c r="J17" t="s">
        <v>157</v>
      </c>
    </row>
    <row r="18" spans="1:10">
      <c r="A18" s="11">
        <v>6.5</v>
      </c>
      <c r="B18" s="11">
        <v>702.57</v>
      </c>
      <c r="C18" s="11">
        <f t="shared" si="0"/>
        <v>0.70257000000000003</v>
      </c>
      <c r="D18" s="11">
        <f t="shared" si="1"/>
        <v>4.9250156999999996E-2</v>
      </c>
      <c r="E18" s="11">
        <f t="shared" si="2"/>
        <v>2.1986677232142858E-3</v>
      </c>
      <c r="F18" s="11">
        <f>E18/Calculation!K$8*1000</f>
        <v>1.7242652027875545E-3</v>
      </c>
      <c r="G18" s="11">
        <f t="shared" si="3"/>
        <v>0.92288979984803854</v>
      </c>
      <c r="I18" s="81">
        <v>16.666666666666668</v>
      </c>
      <c r="J18" t="s">
        <v>158</v>
      </c>
    </row>
    <row r="19" spans="1:10">
      <c r="A19" s="11">
        <v>7</v>
      </c>
      <c r="B19" s="11">
        <v>712.65</v>
      </c>
      <c r="C19" s="11">
        <f t="shared" si="0"/>
        <v>0.71265000000000001</v>
      </c>
      <c r="D19" s="11">
        <f t="shared" si="1"/>
        <v>4.9956764999999993E-2</v>
      </c>
      <c r="E19" s="11">
        <f t="shared" si="2"/>
        <v>2.2302127232142854E-3</v>
      </c>
      <c r="F19" s="11">
        <f>E19/Calculation!K$8*1000</f>
        <v>1.7490037957307465E-3</v>
      </c>
      <c r="G19" s="11">
        <f t="shared" si="3"/>
        <v>0.97498883482581311</v>
      </c>
      <c r="I19" s="81">
        <v>18</v>
      </c>
      <c r="J19" t="s">
        <v>159</v>
      </c>
    </row>
    <row r="20" spans="1:10">
      <c r="A20" s="11">
        <v>7.5</v>
      </c>
      <c r="B20" s="11">
        <v>731.95</v>
      </c>
      <c r="C20" s="11">
        <f t="shared" si="0"/>
        <v>0.7319500000000001</v>
      </c>
      <c r="D20" s="11">
        <f t="shared" si="1"/>
        <v>5.1309695000000002E-2</v>
      </c>
      <c r="E20" s="11">
        <f t="shared" si="2"/>
        <v>2.2906113839285718E-3</v>
      </c>
      <c r="F20" s="11">
        <f>E20/Calculation!K$9*1000</f>
        <v>1.8696317811250562E-3</v>
      </c>
      <c r="G20" s="11">
        <f t="shared" si="3"/>
        <v>1.0292683684786501</v>
      </c>
      <c r="I20" s="81">
        <v>24</v>
      </c>
      <c r="J20" t="s">
        <v>160</v>
      </c>
    </row>
    <row r="21" spans="1:10">
      <c r="A21" s="11">
        <v>8</v>
      </c>
      <c r="B21" s="11">
        <v>763.85</v>
      </c>
      <c r="C21" s="11">
        <f t="shared" si="0"/>
        <v>0.76385000000000003</v>
      </c>
      <c r="D21" s="11">
        <f t="shared" si="1"/>
        <v>5.3545885000000001E-2</v>
      </c>
      <c r="E21" s="11">
        <f t="shared" si="2"/>
        <v>2.3904412946428575E-3</v>
      </c>
      <c r="F21" s="11">
        <f>E21/Calculation!K$9*1000</f>
        <v>1.951114469584499E-3</v>
      </c>
      <c r="G21" s="11">
        <f t="shared" si="3"/>
        <v>1.0865795622392935</v>
      </c>
      <c r="I21" s="81">
        <v>29.916666666666668</v>
      </c>
      <c r="J21" t="s">
        <v>161</v>
      </c>
    </row>
    <row r="22" spans="1:10">
      <c r="A22" s="11">
        <v>8.5</v>
      </c>
      <c r="B22" s="11">
        <v>695.86</v>
      </c>
      <c r="C22" s="11">
        <f t="shared" si="0"/>
        <v>0.69586000000000003</v>
      </c>
      <c r="D22" s="11">
        <f t="shared" si="1"/>
        <v>4.8779785999999999E-2</v>
      </c>
      <c r="E22" s="11">
        <f t="shared" si="2"/>
        <v>2.177669017857143E-3</v>
      </c>
      <c r="F22" s="11">
        <f>E22/Calculation!K$9*1000</f>
        <v>1.7774465075670216E-3</v>
      </c>
      <c r="G22" s="11">
        <f t="shared" si="3"/>
        <v>1.1425079768965662</v>
      </c>
      <c r="I22" s="81">
        <v>48</v>
      </c>
      <c r="J22" t="s">
        <v>162</v>
      </c>
    </row>
    <row r="23" spans="1:10">
      <c r="A23" s="11">
        <v>9</v>
      </c>
      <c r="B23" s="11">
        <v>749.58</v>
      </c>
      <c r="C23" s="11">
        <f t="shared" si="0"/>
        <v>0.74958000000000002</v>
      </c>
      <c r="D23" s="11">
        <f t="shared" si="1"/>
        <v>5.2545557999999999E-2</v>
      </c>
      <c r="E23" s="11">
        <f t="shared" si="2"/>
        <v>2.3457838392857144E-3</v>
      </c>
      <c r="F23" s="11">
        <f>E23/Calculation!K$10*1000</f>
        <v>1.9993984597113774E-3</v>
      </c>
      <c r="G23" s="11">
        <f t="shared" si="3"/>
        <v>1.1991606514057422</v>
      </c>
    </row>
    <row r="24" spans="1:10">
      <c r="A24" s="11">
        <v>9.5</v>
      </c>
      <c r="B24" s="11">
        <v>757.97</v>
      </c>
      <c r="C24" s="11">
        <f t="shared" si="0"/>
        <v>0.75797000000000003</v>
      </c>
      <c r="D24" s="11">
        <f t="shared" si="1"/>
        <v>5.3133697000000001E-2</v>
      </c>
      <c r="E24" s="11">
        <f t="shared" si="2"/>
        <v>2.3720400446428573E-3</v>
      </c>
      <c r="F24" s="11">
        <f>E24/Calculation!K$10*1000</f>
        <v>2.0217775961304104E-3</v>
      </c>
      <c r="G24" s="11">
        <f t="shared" si="3"/>
        <v>1.2594782922433692</v>
      </c>
    </row>
    <row r="25" spans="1:10">
      <c r="A25" s="11">
        <v>10</v>
      </c>
      <c r="B25" s="11">
        <v>796.59</v>
      </c>
      <c r="C25" s="11">
        <f t="shared" si="0"/>
        <v>0.79659000000000002</v>
      </c>
      <c r="D25" s="11">
        <f t="shared" si="1"/>
        <v>5.5840958999999996E-2</v>
      </c>
      <c r="E25" s="11">
        <f t="shared" si="2"/>
        <v>2.492899955357143E-3</v>
      </c>
      <c r="F25" s="11">
        <f>E25/Calculation!K$10*1000</f>
        <v>2.1247909749746341E-3</v>
      </c>
      <c r="G25" s="11">
        <f t="shared" si="3"/>
        <v>1.3216768208099448</v>
      </c>
    </row>
    <row r="26" spans="1:10">
      <c r="A26" s="11">
        <v>10.5</v>
      </c>
      <c r="B26" s="11">
        <v>786.51</v>
      </c>
      <c r="C26" s="11">
        <f t="shared" si="0"/>
        <v>0.78651000000000004</v>
      </c>
      <c r="D26" s="11">
        <f t="shared" si="1"/>
        <v>5.5134350999999998E-2</v>
      </c>
      <c r="E26" s="11">
        <f t="shared" si="2"/>
        <v>2.461354955357143E-3</v>
      </c>
      <c r="F26" s="11">
        <f>E26/Calculation!K$11*1000</f>
        <v>2.1930935974126824E-3</v>
      </c>
      <c r="G26" s="11">
        <f t="shared" si="3"/>
        <v>1.3864450893957545</v>
      </c>
    </row>
    <row r="27" spans="1:10">
      <c r="A27" s="11">
        <v>11</v>
      </c>
      <c r="B27" s="11">
        <v>1064.3499999999999</v>
      </c>
      <c r="C27" s="11">
        <f t="shared" si="0"/>
        <v>1.0643499999999999</v>
      </c>
      <c r="D27" s="11">
        <f t="shared" si="1"/>
        <v>7.4610934999999989E-2</v>
      </c>
      <c r="E27" s="11">
        <f t="shared" si="2"/>
        <v>3.3308453124999996E-3</v>
      </c>
      <c r="F27" s="11">
        <f>E27/Calculation!K$11*1000</f>
        <v>2.9678188076517628E-3</v>
      </c>
      <c r="G27" s="11">
        <f t="shared" si="3"/>
        <v>1.4638587754717212</v>
      </c>
    </row>
    <row r="28" spans="1:10">
      <c r="A28" s="11">
        <v>11.5</v>
      </c>
      <c r="B28" s="11">
        <v>723.56</v>
      </c>
      <c r="C28" s="11">
        <f t="shared" si="0"/>
        <v>0.72355999999999998</v>
      </c>
      <c r="D28" s="11">
        <f t="shared" si="1"/>
        <v>5.0721555999999994E-2</v>
      </c>
      <c r="E28" s="11">
        <f t="shared" si="2"/>
        <v>2.2643551785714285E-3</v>
      </c>
      <c r="F28" s="11">
        <f>E28/Calculation!K$12*1000</f>
        <v>2.1095281024633298E-3</v>
      </c>
      <c r="G28" s="11">
        <f t="shared" si="3"/>
        <v>1.5400189791234475</v>
      </c>
    </row>
    <row r="29" spans="1:10">
      <c r="A29" s="11">
        <v>12</v>
      </c>
      <c r="B29" s="11">
        <v>712.65</v>
      </c>
      <c r="C29" s="11">
        <f t="shared" si="0"/>
        <v>0.71265000000000001</v>
      </c>
      <c r="D29" s="11">
        <f t="shared" si="1"/>
        <v>4.9956764999999993E-2</v>
      </c>
      <c r="E29" s="11">
        <f t="shared" si="2"/>
        <v>2.2302127232142854E-3</v>
      </c>
      <c r="F29" s="11">
        <f>E29/Calculation!K$12*1000</f>
        <v>2.0777201644929131E-3</v>
      </c>
      <c r="G29" s="11">
        <f t="shared" si="3"/>
        <v>1.6028277031277911</v>
      </c>
    </row>
    <row r="30" spans="1:10">
      <c r="A30" s="11">
        <v>12.5</v>
      </c>
      <c r="B30" s="11">
        <v>736.15</v>
      </c>
      <c r="C30" s="11">
        <f t="shared" si="0"/>
        <v>0.73614999999999997</v>
      </c>
      <c r="D30" s="11">
        <f t="shared" si="1"/>
        <v>5.1604114999999992E-2</v>
      </c>
      <c r="E30" s="11">
        <f t="shared" si="2"/>
        <v>2.3037551339285711E-3</v>
      </c>
      <c r="F30" s="11">
        <f>E30/Calculation!K$12*1000</f>
        <v>2.1462340547133349E-3</v>
      </c>
      <c r="G30" s="11">
        <f t="shared" si="3"/>
        <v>1.6661870164158847</v>
      </c>
    </row>
    <row r="31" spans="1:10">
      <c r="A31" s="11">
        <v>13</v>
      </c>
      <c r="B31" s="11">
        <v>762.17</v>
      </c>
      <c r="C31" s="11">
        <f t="shared" si="0"/>
        <v>0.76217000000000001</v>
      </c>
      <c r="D31" s="11">
        <f t="shared" si="1"/>
        <v>5.3428116999999997E-2</v>
      </c>
      <c r="E31" s="11">
        <f t="shared" si="2"/>
        <v>2.3851837946428571E-3</v>
      </c>
      <c r="F31" s="11">
        <f>E31/Calculation!K$13*1000</f>
        <v>2.3282184101653244E-3</v>
      </c>
      <c r="G31" s="11">
        <f t="shared" si="3"/>
        <v>1.7333038033890646</v>
      </c>
    </row>
    <row r="32" spans="1:10">
      <c r="A32" s="11">
        <v>13.5</v>
      </c>
      <c r="B32" s="11">
        <v>786.51</v>
      </c>
      <c r="C32" s="11">
        <f t="shared" si="0"/>
        <v>0.78651000000000004</v>
      </c>
      <c r="D32" s="11">
        <f t="shared" si="1"/>
        <v>5.5134350999999998E-2</v>
      </c>
      <c r="E32" s="11">
        <f t="shared" si="2"/>
        <v>2.461354955357143E-3</v>
      </c>
      <c r="F32" s="11">
        <f>E32/Calculation!K$13*1000</f>
        <v>2.4025703737737374E-3</v>
      </c>
      <c r="G32" s="11">
        <f t="shared" si="3"/>
        <v>1.8042656351481505</v>
      </c>
    </row>
    <row r="33" spans="1:7">
      <c r="A33" s="11">
        <v>14</v>
      </c>
      <c r="B33" s="11">
        <v>820.09</v>
      </c>
      <c r="C33" s="11">
        <f t="shared" si="0"/>
        <v>0.82008999999999999</v>
      </c>
      <c r="D33" s="11">
        <f t="shared" si="1"/>
        <v>5.7488308999999994E-2</v>
      </c>
      <c r="E33" s="11">
        <f t="shared" si="2"/>
        <v>2.5664423660714283E-3</v>
      </c>
      <c r="F33" s="11">
        <f>E33/Calculation!K$14*1000</f>
        <v>2.6254155542207841E-3</v>
      </c>
      <c r="G33" s="11">
        <f t="shared" si="3"/>
        <v>1.8796854240680683</v>
      </c>
    </row>
    <row r="34" spans="1:7">
      <c r="A34" s="11">
        <v>14.5</v>
      </c>
      <c r="B34" s="11">
        <v>894.8</v>
      </c>
      <c r="C34" s="11">
        <f t="shared" si="0"/>
        <v>0.89479999999999993</v>
      </c>
      <c r="D34" s="11">
        <f t="shared" si="1"/>
        <v>6.2725479999999986E-2</v>
      </c>
      <c r="E34" s="11">
        <f t="shared" si="2"/>
        <v>2.8002446428571424E-3</v>
      </c>
      <c r="F34" s="11">
        <f>E34/Calculation!K$14*1000</f>
        <v>2.8645902741366892E-3</v>
      </c>
      <c r="G34" s="11">
        <f t="shared" si="3"/>
        <v>1.9620355114934305</v>
      </c>
    </row>
    <row r="35" spans="1:7">
      <c r="A35" s="11">
        <v>15</v>
      </c>
      <c r="B35" s="11">
        <v>865.42</v>
      </c>
      <c r="C35" s="11">
        <f t="shared" si="0"/>
        <v>0.86541999999999997</v>
      </c>
      <c r="D35" s="11">
        <f t="shared" si="1"/>
        <v>6.0665941999999994E-2</v>
      </c>
      <c r="E35" s="11">
        <f t="shared" si="2"/>
        <v>2.7083009821428569E-3</v>
      </c>
      <c r="F35" s="11">
        <f>E35/Calculation!K$14*1000</f>
        <v>2.7705338791275966E-3</v>
      </c>
      <c r="G35" s="11">
        <f t="shared" si="3"/>
        <v>2.0465623737923946</v>
      </c>
    </row>
    <row r="36" spans="1:7">
      <c r="A36" s="11">
        <v>15.5</v>
      </c>
      <c r="B36" s="11">
        <v>895.64</v>
      </c>
      <c r="C36" s="11">
        <f t="shared" si="0"/>
        <v>0.89563999999999999</v>
      </c>
      <c r="D36" s="11">
        <f t="shared" si="1"/>
        <v>6.2784363999999995E-2</v>
      </c>
      <c r="E36" s="11">
        <f t="shared" si="2"/>
        <v>2.8028733928571426E-3</v>
      </c>
      <c r="F36" s="11">
        <f>E36/Calculation!K$15*1000</f>
        <v>3.0084944758931079E-3</v>
      </c>
      <c r="G36" s="11">
        <f t="shared" si="3"/>
        <v>2.1332477991177052</v>
      </c>
    </row>
    <row r="37" spans="1:7">
      <c r="A37" s="11">
        <v>16</v>
      </c>
      <c r="B37" s="11">
        <v>911.58</v>
      </c>
      <c r="C37" s="11">
        <f t="shared" si="0"/>
        <v>0.91158000000000006</v>
      </c>
      <c r="D37" s="11">
        <f t="shared" si="1"/>
        <v>6.3901758000000003E-2</v>
      </c>
      <c r="E37" s="11">
        <f t="shared" si="2"/>
        <v>2.852757053571429E-3</v>
      </c>
      <c r="F37" s="11">
        <f>E37/Calculation!K$15*1000</f>
        <v>3.0620376427299358E-3</v>
      </c>
      <c r="G37" s="11">
        <f t="shared" si="3"/>
        <v>2.2243057808970508</v>
      </c>
    </row>
    <row r="38" spans="1:7">
      <c r="A38" s="11">
        <v>16.5</v>
      </c>
      <c r="B38" s="11">
        <v>937.61</v>
      </c>
      <c r="C38" s="11">
        <f t="shared" si="0"/>
        <v>0.93761000000000005</v>
      </c>
      <c r="D38" s="11">
        <f t="shared" si="1"/>
        <v>6.5726461E-2</v>
      </c>
      <c r="E38" s="11">
        <f t="shared" si="2"/>
        <v>2.9342170089285717E-3</v>
      </c>
      <c r="F38" s="11">
        <f>E38/Calculation!K$15*1000</f>
        <v>3.1494735669935878E-3</v>
      </c>
      <c r="G38" s="11">
        <f t="shared" si="3"/>
        <v>2.3174784490429037</v>
      </c>
    </row>
    <row r="39" spans="1:7">
      <c r="A39" s="11">
        <v>17</v>
      </c>
      <c r="B39" s="11">
        <v>966.15</v>
      </c>
      <c r="C39" s="11">
        <f t="shared" si="0"/>
        <v>0.96614999999999995</v>
      </c>
      <c r="D39" s="11">
        <f t="shared" si="1"/>
        <v>6.7727114999999991E-2</v>
      </c>
      <c r="E39" s="11">
        <f t="shared" si="2"/>
        <v>3.023531919642857E-3</v>
      </c>
      <c r="F39" s="11">
        <f>E39/Calculation!K$16*1000</f>
        <v>3.4096155307657078E-3</v>
      </c>
      <c r="G39" s="11">
        <f t="shared" si="3"/>
        <v>2.4158647855092932</v>
      </c>
    </row>
    <row r="40" spans="1:7">
      <c r="A40" s="11">
        <v>17.5</v>
      </c>
      <c r="B40" s="11">
        <v>1049.25</v>
      </c>
      <c r="C40" s="11">
        <f t="shared" si="0"/>
        <v>1.04925</v>
      </c>
      <c r="D40" s="11">
        <f t="shared" si="1"/>
        <v>7.3552425000000005E-2</v>
      </c>
      <c r="E40" s="11">
        <f t="shared" si="2"/>
        <v>3.2835904017857148E-3</v>
      </c>
      <c r="F40" s="11">
        <f>E40/Calculation!K$16*1000</f>
        <v>3.7028816391408374E-3</v>
      </c>
      <c r="G40" s="11">
        <f t="shared" si="3"/>
        <v>2.5225522430578913</v>
      </c>
    </row>
    <row r="41" spans="1:7">
      <c r="A41" s="11">
        <v>18</v>
      </c>
      <c r="B41" s="11">
        <v>1211.25</v>
      </c>
      <c r="C41" s="11">
        <f t="shared" si="0"/>
        <v>1.2112499999999999</v>
      </c>
      <c r="D41" s="11">
        <f t="shared" si="1"/>
        <v>8.4908624999999988E-2</v>
      </c>
      <c r="E41" s="11">
        <f t="shared" si="2"/>
        <v>3.7905636160714281E-3</v>
      </c>
      <c r="F41" s="11">
        <f>E41/Calculation!K$17*1000</f>
        <v>4.5729386988401276E-3</v>
      </c>
      <c r="G41" s="11">
        <f t="shared" si="3"/>
        <v>2.6466895481276058</v>
      </c>
    </row>
    <row r="42" spans="1:7">
      <c r="A42" s="11">
        <v>18.5</v>
      </c>
      <c r="B42" s="11">
        <v>1263.29</v>
      </c>
      <c r="C42" s="11">
        <f t="shared" si="0"/>
        <v>1.26329</v>
      </c>
      <c r="D42" s="11">
        <f t="shared" si="1"/>
        <v>8.8556628999999998E-2</v>
      </c>
      <c r="E42" s="11">
        <f t="shared" si="2"/>
        <v>3.9534209375000004E-3</v>
      </c>
      <c r="F42" s="11">
        <f>E42/Calculation!K$17*1000</f>
        <v>4.7694098896658372E-3</v>
      </c>
      <c r="G42" s="11">
        <f t="shared" si="3"/>
        <v>2.7868247769551955</v>
      </c>
    </row>
    <row r="43" spans="1:7">
      <c r="A43" s="11">
        <v>19</v>
      </c>
      <c r="B43" s="11">
        <v>1311.14</v>
      </c>
      <c r="C43" s="11">
        <f t="shared" si="0"/>
        <v>1.3111400000000002</v>
      </c>
      <c r="D43" s="11">
        <f t="shared" si="1"/>
        <v>9.1910913999999996E-2</v>
      </c>
      <c r="E43" s="11">
        <f t="shared" si="2"/>
        <v>4.1031658035714288E-3</v>
      </c>
      <c r="F43" s="11">
        <f>E43/Calculation!K$17*1000</f>
        <v>4.9500622048274474E-3</v>
      </c>
      <c r="G43" s="11">
        <f t="shared" si="3"/>
        <v>2.9326168583725947</v>
      </c>
    </row>
    <row r="44" spans="1:7">
      <c r="A44" s="11">
        <v>19.5</v>
      </c>
      <c r="B44" s="11">
        <v>1400.11</v>
      </c>
      <c r="C44" s="11">
        <f t="shared" si="0"/>
        <v>1.40011</v>
      </c>
      <c r="D44" s="11">
        <f t="shared" si="1"/>
        <v>9.8147710999999985E-2</v>
      </c>
      <c r="E44" s="11">
        <f t="shared" si="2"/>
        <v>4.3815942410714284E-3</v>
      </c>
      <c r="F44" s="11">
        <f>E44/Calculation!K$17*1000</f>
        <v>5.2859584740004555E-3</v>
      </c>
      <c r="G44" s="11">
        <f t="shared" si="3"/>
        <v>3.0861571685550131</v>
      </c>
    </row>
    <row r="45" spans="1:7">
      <c r="A45" s="11">
        <v>20</v>
      </c>
      <c r="B45" s="11">
        <v>1535.26</v>
      </c>
      <c r="C45" s="11">
        <f t="shared" si="0"/>
        <v>1.5352600000000001</v>
      </c>
      <c r="D45" s="11">
        <f t="shared" si="1"/>
        <v>0.107621726</v>
      </c>
      <c r="E45" s="11">
        <f t="shared" si="2"/>
        <v>4.8045413392857148E-3</v>
      </c>
      <c r="F45" s="11">
        <f>E45/Calculation!K$17*1000</f>
        <v>5.7962021603973546E-3</v>
      </c>
      <c r="G45" s="11">
        <f t="shared" si="3"/>
        <v>3.2523895780709804</v>
      </c>
    </row>
    <row r="46" spans="1:7">
      <c r="A46" s="11">
        <v>20.5</v>
      </c>
      <c r="B46" s="11">
        <v>1731.67</v>
      </c>
      <c r="C46" s="11">
        <f t="shared" si="0"/>
        <v>1.73167</v>
      </c>
      <c r="D46" s="11">
        <f t="shared" si="1"/>
        <v>0.12139006699999999</v>
      </c>
      <c r="E46" s="11">
        <f t="shared" si="2"/>
        <v>5.4191994196428573E-3</v>
      </c>
      <c r="F46" s="11">
        <f>E46/Calculation!K$17*1000</f>
        <v>6.5377261148569527E-3</v>
      </c>
      <c r="G46" s="11">
        <f t="shared" si="3"/>
        <v>3.437398502199795</v>
      </c>
    </row>
    <row r="47" spans="1:7">
      <c r="A47" s="11">
        <v>21</v>
      </c>
      <c r="B47" s="11">
        <v>2608.84</v>
      </c>
      <c r="C47" s="11">
        <f t="shared" si="0"/>
        <v>2.6088400000000003</v>
      </c>
      <c r="D47" s="11">
        <f t="shared" si="1"/>
        <v>0.18287968400000001</v>
      </c>
      <c r="E47" s="11">
        <f t="shared" si="2"/>
        <v>8.1642716071428575E-3</v>
      </c>
      <c r="F47" s="11">
        <f>E47/Calculation!K$17*1000</f>
        <v>9.8493831951142041E-3</v>
      </c>
      <c r="G47" s="11">
        <f t="shared" si="3"/>
        <v>3.6832051418493625</v>
      </c>
    </row>
    <row r="48" spans="1:7">
      <c r="A48" s="11">
        <v>21.5</v>
      </c>
      <c r="B48" s="11">
        <v>2213.4899999999998</v>
      </c>
      <c r="C48" s="11">
        <f t="shared" si="0"/>
        <v>2.2134899999999997</v>
      </c>
      <c r="D48" s="11">
        <f t="shared" si="1"/>
        <v>0.15516564899999996</v>
      </c>
      <c r="E48" s="11">
        <f t="shared" si="2"/>
        <v>6.9270379017857134E-3</v>
      </c>
      <c r="F48" s="11">
        <f>E48/Calculation!K$17*1000</f>
        <v>8.3567835545887582E-3</v>
      </c>
      <c r="G48" s="11">
        <f t="shared" si="3"/>
        <v>3.9562976430949068</v>
      </c>
    </row>
    <row r="49" spans="1:7">
      <c r="A49" s="11">
        <v>22</v>
      </c>
      <c r="B49" s="11">
        <v>2248.7399999999998</v>
      </c>
      <c r="C49" s="11">
        <f t="shared" si="0"/>
        <v>2.2487399999999997</v>
      </c>
      <c r="D49" s="11">
        <f t="shared" si="1"/>
        <v>0.15763667399999998</v>
      </c>
      <c r="E49" s="11">
        <f t="shared" si="2"/>
        <v>7.0373515178571424E-3</v>
      </c>
      <c r="F49" s="11">
        <f>E49/Calculation!K$17*1000</f>
        <v>8.4898659811184721E-3</v>
      </c>
      <c r="G49" s="11">
        <f t="shared" si="3"/>
        <v>4.2089973861305152</v>
      </c>
    </row>
    <row r="50" spans="1:7">
      <c r="A50" s="11">
        <v>22.5</v>
      </c>
      <c r="B50" s="11">
        <v>2396.48</v>
      </c>
      <c r="C50" s="11">
        <f t="shared" si="0"/>
        <v>2.3964799999999999</v>
      </c>
      <c r="D50" s="11">
        <f t="shared" si="1"/>
        <v>0.16799324799999998</v>
      </c>
      <c r="E50" s="11">
        <f t="shared" si="2"/>
        <v>7.4996985714285711E-3</v>
      </c>
      <c r="F50" s="11">
        <f>E50/Calculation!K$17*1000</f>
        <v>9.0476418022674022E-3</v>
      </c>
      <c r="G50" s="11">
        <f t="shared" si="3"/>
        <v>4.4720600028813031</v>
      </c>
    </row>
    <row r="51" spans="1:7">
      <c r="A51" s="11">
        <v>23</v>
      </c>
      <c r="B51" s="11">
        <v>2395.64</v>
      </c>
      <c r="C51" s="11">
        <f t="shared" si="0"/>
        <v>2.3956399999999998</v>
      </c>
      <c r="D51" s="11">
        <f t="shared" si="1"/>
        <v>0.16793436399999997</v>
      </c>
      <c r="E51" s="11">
        <f t="shared" si="2"/>
        <v>7.4970698214285704E-3</v>
      </c>
      <c r="F51" s="11">
        <f>E51/Calculation!K$17*1000</f>
        <v>9.0444704763586077E-3</v>
      </c>
      <c r="G51" s="11">
        <f t="shared" si="3"/>
        <v>4.7434416870606935</v>
      </c>
    </row>
    <row r="52" spans="1:7">
      <c r="A52" s="11">
        <v>23.5</v>
      </c>
      <c r="B52" s="11">
        <v>2328.4899999999998</v>
      </c>
      <c r="C52" s="11">
        <f t="shared" si="0"/>
        <v>2.3284899999999999</v>
      </c>
      <c r="D52" s="11">
        <f t="shared" si="1"/>
        <v>0.16322714899999999</v>
      </c>
      <c r="E52" s="11">
        <f t="shared" si="2"/>
        <v>7.286926294642857E-3</v>
      </c>
      <c r="F52" s="11">
        <f>E52/Calculation!K$17*1000</f>
        <v>8.7909531730544881E-3</v>
      </c>
      <c r="G52" s="11">
        <f t="shared" si="3"/>
        <v>5.0109730418018898</v>
      </c>
    </row>
    <row r="53" spans="1:7">
      <c r="A53" s="11">
        <v>24</v>
      </c>
      <c r="B53" s="11">
        <v>2356.19</v>
      </c>
      <c r="C53" s="11">
        <f t="shared" si="0"/>
        <v>2.3561900000000002</v>
      </c>
      <c r="D53" s="11">
        <f t="shared" si="1"/>
        <v>0.165168919</v>
      </c>
      <c r="E53" s="11">
        <f t="shared" si="2"/>
        <v>7.3736124553571434E-3</v>
      </c>
      <c r="F53" s="11">
        <f>E53/Calculation!K$18*1000</f>
        <v>9.5366508019270879E-3</v>
      </c>
      <c r="G53" s="11">
        <f t="shared" si="3"/>
        <v>5.2858871014266136</v>
      </c>
    </row>
    <row r="54" spans="1:7">
      <c r="A54" s="11">
        <v>24.5</v>
      </c>
      <c r="B54" s="11">
        <v>2398.16</v>
      </c>
      <c r="C54" s="11">
        <f t="shared" si="0"/>
        <v>2.3981599999999998</v>
      </c>
      <c r="D54" s="11">
        <f t="shared" si="1"/>
        <v>0.16811101599999997</v>
      </c>
      <c r="E54" s="11">
        <f t="shared" si="2"/>
        <v>7.5049560714285707E-3</v>
      </c>
      <c r="F54" s="11">
        <f>E54/Calculation!K$18*1000</f>
        <v>9.7065238741992181E-3</v>
      </c>
      <c r="G54" s="11">
        <f t="shared" si="3"/>
        <v>5.5745347215685079</v>
      </c>
    </row>
    <row r="55" spans="1:7">
      <c r="A55" s="11">
        <v>25</v>
      </c>
      <c r="B55" s="11">
        <v>2686.91</v>
      </c>
      <c r="C55" s="11">
        <f t="shared" si="0"/>
        <v>2.6869099999999997</v>
      </c>
      <c r="D55" s="11">
        <f t="shared" si="1"/>
        <v>0.18835239099999998</v>
      </c>
      <c r="E55" s="11">
        <f t="shared" si="2"/>
        <v>8.4085888839285708E-3</v>
      </c>
      <c r="F55" s="11">
        <f>E55/Calculation!K$18*1000</f>
        <v>1.0875236040474625E-2</v>
      </c>
      <c r="G55" s="11">
        <f t="shared" si="3"/>
        <v>5.8832611202886156</v>
      </c>
    </row>
    <row r="56" spans="1:7">
      <c r="A56" s="11">
        <v>25.5</v>
      </c>
      <c r="B56" s="11">
        <v>3134.31</v>
      </c>
      <c r="C56" s="11">
        <f t="shared" si="0"/>
        <v>3.1343100000000002</v>
      </c>
      <c r="D56" s="11">
        <f t="shared" si="1"/>
        <v>0.21971513099999998</v>
      </c>
      <c r="E56" s="11">
        <f t="shared" si="2"/>
        <v>9.8087112053571422E-3</v>
      </c>
      <c r="F56" s="11">
        <f>E56/Calculation!K$18*1000</f>
        <v>1.2686082181397969E-2</v>
      </c>
      <c r="G56" s="11">
        <f t="shared" si="3"/>
        <v>6.2366808936167049</v>
      </c>
    </row>
    <row r="57" spans="1:7">
      <c r="A57" s="11">
        <v>26</v>
      </c>
      <c r="B57" s="11">
        <v>2977.34</v>
      </c>
      <c r="C57" s="11">
        <f t="shared" si="0"/>
        <v>2.9773400000000003</v>
      </c>
      <c r="D57" s="11">
        <f t="shared" si="1"/>
        <v>0.208711534</v>
      </c>
      <c r="E57" s="11">
        <f t="shared" si="2"/>
        <v>9.3174791964285714E-3</v>
      </c>
      <c r="F57" s="11">
        <f>E57/Calculation!K$18*1000</f>
        <v>1.2050747986626541E-2</v>
      </c>
      <c r="G57" s="11">
        <f t="shared" si="3"/>
        <v>6.6077333461370724</v>
      </c>
    </row>
    <row r="58" spans="1:7">
      <c r="A58" s="11">
        <v>26.5</v>
      </c>
      <c r="B58" s="11">
        <v>2753.22</v>
      </c>
      <c r="C58" s="11">
        <f t="shared" si="0"/>
        <v>2.7532199999999998</v>
      </c>
      <c r="D58" s="11">
        <f t="shared" si="1"/>
        <v>0.19300072199999996</v>
      </c>
      <c r="E58" s="11">
        <f t="shared" si="2"/>
        <v>8.6161036607142836E-3</v>
      </c>
      <c r="F58" s="11">
        <f>E58/Calculation!K$18*1000</f>
        <v>1.1143624971195738E-2</v>
      </c>
      <c r="G58" s="11">
        <f t="shared" si="3"/>
        <v>6.9556489405044069</v>
      </c>
    </row>
    <row r="59" spans="1:7">
      <c r="A59" s="11">
        <v>27</v>
      </c>
      <c r="B59" s="11">
        <v>2657.53</v>
      </c>
      <c r="C59" s="11">
        <f t="shared" si="0"/>
        <v>2.6575300000000004</v>
      </c>
      <c r="D59" s="11">
        <f t="shared" si="1"/>
        <v>0.18629285300000001</v>
      </c>
      <c r="E59" s="11">
        <f t="shared" si="2"/>
        <v>8.3166452232142866E-3</v>
      </c>
      <c r="F59" s="11">
        <f>E59/Calculation!K$18*1000</f>
        <v>1.0756320842396111E-2</v>
      </c>
      <c r="G59" s="11">
        <f t="shared" si="3"/>
        <v>7.2841481277082849</v>
      </c>
    </row>
    <row r="60" spans="1:7">
      <c r="A60" s="11">
        <v>27.5</v>
      </c>
      <c r="B60" s="11">
        <v>2639.06</v>
      </c>
      <c r="C60" s="11">
        <f t="shared" si="0"/>
        <v>2.6390599999999997</v>
      </c>
      <c r="D60" s="11">
        <f t="shared" si="1"/>
        <v>0.18499810599999997</v>
      </c>
      <c r="E60" s="11">
        <f t="shared" si="2"/>
        <v>8.2588440178571424E-3</v>
      </c>
      <c r="F60" s="11">
        <f>E60/Calculation!K$18*1000</f>
        <v>1.06815637386347E-2</v>
      </c>
      <c r="G60" s="11">
        <f t="shared" si="3"/>
        <v>7.6057163964237473</v>
      </c>
    </row>
    <row r="61" spans="1:7">
      <c r="A61" s="11">
        <v>28</v>
      </c>
      <c r="B61" s="11">
        <v>2166.48</v>
      </c>
      <c r="C61" s="11">
        <f t="shared" si="0"/>
        <v>2.16648</v>
      </c>
      <c r="D61" s="11">
        <f t="shared" si="1"/>
        <v>0.15187024799999999</v>
      </c>
      <c r="E61" s="11">
        <f t="shared" si="2"/>
        <v>6.7799217857142857E-3</v>
      </c>
      <c r="F61" s="11">
        <f>E61/Calculation!K$18*1000</f>
        <v>8.7688018493241177E-3</v>
      </c>
      <c r="G61" s="11">
        <f t="shared" si="3"/>
        <v>7.8974718802431294</v>
      </c>
    </row>
    <row r="62" spans="1:7">
      <c r="A62" s="11">
        <v>28.5</v>
      </c>
      <c r="B62" s="11">
        <v>1973.42</v>
      </c>
      <c r="C62" s="11">
        <f t="shared" si="0"/>
        <v>1.9734200000000002</v>
      </c>
      <c r="D62" s="11">
        <f t="shared" si="1"/>
        <v>0.13833674199999998</v>
      </c>
      <c r="E62" s="11">
        <f t="shared" si="2"/>
        <v>6.1757474107142852E-3</v>
      </c>
      <c r="F62" s="11">
        <f>E62/Calculation!K$18*1000</f>
        <v>7.9873938118483444E-3</v>
      </c>
      <c r="G62" s="11">
        <f t="shared" si="3"/>
        <v>8.1488148151607156</v>
      </c>
    </row>
    <row r="63" spans="1:7">
      <c r="A63" s="11">
        <v>29</v>
      </c>
      <c r="B63" s="11">
        <v>1760.21</v>
      </c>
      <c r="C63" s="11">
        <f t="shared" si="0"/>
        <v>1.7602100000000001</v>
      </c>
      <c r="D63" s="11">
        <f t="shared" si="1"/>
        <v>0.12339072099999999</v>
      </c>
      <c r="E63" s="11">
        <f t="shared" si="2"/>
        <v>5.5085143303571426E-3</v>
      </c>
      <c r="F63" s="11">
        <f>E63/Calculation!K$18*1000</f>
        <v>7.1244288907346505E-3</v>
      </c>
      <c r="G63" s="11">
        <f t="shared" si="3"/>
        <v>8.3754921556994599</v>
      </c>
    </row>
    <row r="64" spans="1:7">
      <c r="A64" s="11">
        <v>29.5</v>
      </c>
      <c r="B64" s="11">
        <v>1687.19</v>
      </c>
      <c r="C64" s="11">
        <f t="shared" si="0"/>
        <v>1.68719</v>
      </c>
      <c r="D64" s="11">
        <f t="shared" si="1"/>
        <v>0.11827201899999998</v>
      </c>
      <c r="E64" s="11">
        <f t="shared" si="2"/>
        <v>5.2800008482142852E-3</v>
      </c>
      <c r="F64" s="11">
        <f>E64/Calculation!K$18*1000</f>
        <v>6.8288813153877066E-3</v>
      </c>
      <c r="G64" s="11">
        <f t="shared" si="3"/>
        <v>8.5847918087912944</v>
      </c>
    </row>
    <row r="65" spans="1:7">
      <c r="A65" s="11">
        <v>30</v>
      </c>
      <c r="B65" s="11">
        <v>1721.6</v>
      </c>
      <c r="C65" s="11">
        <f t="shared" si="0"/>
        <v>1.7216</v>
      </c>
      <c r="D65" s="11">
        <f t="shared" si="1"/>
        <v>0.12068415999999998</v>
      </c>
      <c r="E65" s="11">
        <f t="shared" si="2"/>
        <v>5.3876857142857136E-3</v>
      </c>
      <c r="F65" s="11">
        <f>E65/Calculation!K$19*1000</f>
        <v>7.4651980115038891E-3</v>
      </c>
      <c r="G65" s="11">
        <f t="shared" si="3"/>
        <v>8.7992029986946676</v>
      </c>
    </row>
    <row r="66" spans="1:7">
      <c r="A66" s="11">
        <v>30.5</v>
      </c>
      <c r="B66" s="11">
        <v>1729.16</v>
      </c>
      <c r="C66" s="11">
        <f t="shared" si="0"/>
        <v>1.72916</v>
      </c>
      <c r="D66" s="11">
        <f t="shared" si="1"/>
        <v>0.12121411599999998</v>
      </c>
      <c r="E66" s="11">
        <f t="shared" si="2"/>
        <v>5.4113444642857143E-3</v>
      </c>
      <c r="F66" s="11">
        <f>E66/Calculation!K$19*1000</f>
        <v>7.4979796663406529E-3</v>
      </c>
      <c r="G66" s="11">
        <f t="shared" si="3"/>
        <v>9.0236506638623357</v>
      </c>
    </row>
    <row r="67" spans="1:7">
      <c r="A67" s="11">
        <v>31</v>
      </c>
      <c r="B67" s="11">
        <v>1709.85</v>
      </c>
      <c r="C67" s="11">
        <f t="shared" si="0"/>
        <v>1.7098499999999999</v>
      </c>
      <c r="D67" s="11">
        <f t="shared" si="1"/>
        <v>0.11986048499999999</v>
      </c>
      <c r="E67" s="11">
        <f t="shared" si="2"/>
        <v>5.3509145089285712E-3</v>
      </c>
      <c r="F67" s="11">
        <f>E67/Calculation!K$19*1000</f>
        <v>7.4142476881795573E-3</v>
      </c>
      <c r="G67" s="11">
        <f t="shared" si="3"/>
        <v>9.247334074180138</v>
      </c>
    </row>
    <row r="68" spans="1:7">
      <c r="A68" s="11">
        <v>31.5</v>
      </c>
      <c r="B68" s="11">
        <v>1659.49</v>
      </c>
      <c r="C68" s="11">
        <f t="shared" si="0"/>
        <v>1.6594899999999999</v>
      </c>
      <c r="D68" s="11">
        <f t="shared" si="1"/>
        <v>0.116330249</v>
      </c>
      <c r="E68" s="11">
        <f t="shared" si="2"/>
        <v>5.1933146875000006E-3</v>
      </c>
      <c r="F68" s="11">
        <f>E68/Calculation!K$19*1000</f>
        <v>7.1958767705103347E-3</v>
      </c>
      <c r="G68" s="11">
        <f t="shared" si="3"/>
        <v>9.4664859410604869</v>
      </c>
    </row>
    <row r="69" spans="1:7">
      <c r="A69" s="11">
        <v>32</v>
      </c>
      <c r="B69" s="11">
        <v>1533.58</v>
      </c>
      <c r="C69" s="11">
        <f t="shared" si="0"/>
        <v>1.5335799999999999</v>
      </c>
      <c r="D69" s="11">
        <f t="shared" si="1"/>
        <v>0.10750395799999998</v>
      </c>
      <c r="E69" s="11">
        <f t="shared" si="2"/>
        <v>4.7992838392857135E-3</v>
      </c>
      <c r="F69" s="11">
        <f>E69/Calculation!K$19*1000</f>
        <v>6.649906114359976E-3</v>
      </c>
      <c r="G69" s="11">
        <f t="shared" si="3"/>
        <v>9.6741726843335414</v>
      </c>
    </row>
    <row r="70" spans="1:7">
      <c r="A70" s="11">
        <v>32.5</v>
      </c>
      <c r="B70" s="11">
        <v>1372.41</v>
      </c>
      <c r="C70" s="11">
        <f t="shared" ref="C70:C101" si="4">B70/1000</f>
        <v>1.3724100000000001</v>
      </c>
      <c r="D70" s="11">
        <f t="shared" ref="D70:D101" si="5">C70/1000*$B$1</f>
        <v>9.6205941000000003E-2</v>
      </c>
      <c r="E70" s="11">
        <f t="shared" ref="E70:E101" si="6">D70/22.4</f>
        <v>4.2949080803571429E-3</v>
      </c>
      <c r="F70" s="11">
        <f>E70/Calculation!K$19*1000</f>
        <v>5.9510411262593248E-3</v>
      </c>
      <c r="G70" s="11">
        <f t="shared" si="3"/>
        <v>9.8631868929428315</v>
      </c>
    </row>
    <row r="71" spans="1:7">
      <c r="A71" s="11">
        <v>33</v>
      </c>
      <c r="B71" s="11">
        <v>1217.1199999999999</v>
      </c>
      <c r="C71" s="11">
        <f t="shared" si="4"/>
        <v>1.21712</v>
      </c>
      <c r="D71" s="11">
        <f t="shared" si="5"/>
        <v>8.532011199999999E-2</v>
      </c>
      <c r="E71" s="11">
        <f t="shared" si="6"/>
        <v>3.8089335714285712E-3</v>
      </c>
      <c r="F71" s="11">
        <f>E71/Calculation!K$19*1000</f>
        <v>5.2776729808094881E-3</v>
      </c>
      <c r="G71" s="11">
        <f t="shared" ref="G71:G101" si="7">G70+(F71+F70)/2*30</f>
        <v>10.031617604548863</v>
      </c>
    </row>
    <row r="72" spans="1:7">
      <c r="A72" s="11">
        <v>33.5</v>
      </c>
      <c r="B72" s="11">
        <v>1088.7</v>
      </c>
      <c r="C72" s="11">
        <f t="shared" si="4"/>
        <v>1.0887</v>
      </c>
      <c r="D72" s="11">
        <f t="shared" si="5"/>
        <v>7.6317869999999996E-2</v>
      </c>
      <c r="E72" s="11">
        <f t="shared" si="6"/>
        <v>3.4070477678571427E-3</v>
      </c>
      <c r="F72" s="11">
        <f>E72/Calculation!K$19*1000</f>
        <v>4.7208184683575072E-3</v>
      </c>
      <c r="G72" s="11">
        <f t="shared" si="7"/>
        <v>10.181594976286368</v>
      </c>
    </row>
    <row r="73" spans="1:7">
      <c r="A73" s="11">
        <v>34</v>
      </c>
      <c r="B73" s="11">
        <v>1028.26</v>
      </c>
      <c r="C73" s="11">
        <f t="shared" si="4"/>
        <v>1.02826</v>
      </c>
      <c r="D73" s="11">
        <f t="shared" si="5"/>
        <v>7.2081025999999992E-2</v>
      </c>
      <c r="E73" s="11">
        <f t="shared" si="6"/>
        <v>3.2179029464285713E-3</v>
      </c>
      <c r="F73" s="11">
        <f>E73/Calculation!K$19*1000</f>
        <v>4.4587386775726007E-3</v>
      </c>
      <c r="G73" s="11">
        <f t="shared" si="7"/>
        <v>10.319288333475319</v>
      </c>
    </row>
    <row r="74" spans="1:7">
      <c r="A74" s="11">
        <v>34.5</v>
      </c>
      <c r="B74" s="11">
        <v>951.04</v>
      </c>
      <c r="C74" s="11">
        <f t="shared" si="4"/>
        <v>0.95104</v>
      </c>
      <c r="D74" s="11">
        <f t="shared" si="5"/>
        <v>6.6667904E-2</v>
      </c>
      <c r="E74" s="11">
        <f t="shared" si="6"/>
        <v>2.9762457142857145E-3</v>
      </c>
      <c r="F74" s="11">
        <f>E74/Calculation!K$19*1000</f>
        <v>4.1238974888828184E-3</v>
      </c>
      <c r="G74" s="11">
        <f t="shared" si="7"/>
        <v>10.44802787597215</v>
      </c>
    </row>
    <row r="75" spans="1:7">
      <c r="A75" s="11">
        <v>35</v>
      </c>
      <c r="B75" s="11">
        <v>859.54</v>
      </c>
      <c r="C75" s="11">
        <f t="shared" si="4"/>
        <v>0.85953999999999997</v>
      </c>
      <c r="D75" s="11">
        <f t="shared" si="5"/>
        <v>6.0253753999999993E-2</v>
      </c>
      <c r="E75" s="11">
        <f t="shared" si="6"/>
        <v>2.6898997321428571E-3</v>
      </c>
      <c r="F75" s="11">
        <f>E75/Calculation!K$19*1000</f>
        <v>3.727135396612485E-3</v>
      </c>
      <c r="G75" s="11">
        <f t="shared" si="7"/>
        <v>10.56579336925458</v>
      </c>
    </row>
    <row r="76" spans="1:7">
      <c r="A76" s="11">
        <v>35.5</v>
      </c>
      <c r="B76" s="11">
        <v>882.21</v>
      </c>
      <c r="C76" s="11">
        <f t="shared" si="4"/>
        <v>0.88221000000000005</v>
      </c>
      <c r="D76" s="11">
        <f t="shared" si="5"/>
        <v>6.1842920999999995E-2</v>
      </c>
      <c r="E76" s="11">
        <f t="shared" si="6"/>
        <v>2.7608446874999998E-3</v>
      </c>
      <c r="F76" s="11">
        <f>E76/Calculation!K$19*1000</f>
        <v>3.8254369991454736E-3</v>
      </c>
      <c r="G76" s="11">
        <f t="shared" si="7"/>
        <v>10.679081955190949</v>
      </c>
    </row>
    <row r="77" spans="1:7">
      <c r="A77" s="11">
        <v>36</v>
      </c>
      <c r="B77" s="11">
        <v>808.34</v>
      </c>
      <c r="C77" s="11">
        <f t="shared" si="4"/>
        <v>0.80834000000000006</v>
      </c>
      <c r="D77" s="11">
        <f t="shared" si="5"/>
        <v>5.6664633999999998E-2</v>
      </c>
      <c r="E77" s="11">
        <f t="shared" si="6"/>
        <v>2.5296711607142859E-3</v>
      </c>
      <c r="F77" s="11">
        <f>E77/Calculation!K$19*1000</f>
        <v>3.5051220728502877E-3</v>
      </c>
      <c r="G77" s="11">
        <f t="shared" si="7"/>
        <v>10.789040341270885</v>
      </c>
    </row>
    <row r="78" spans="1:7">
      <c r="A78" s="11">
        <v>36.5</v>
      </c>
      <c r="B78" s="11">
        <v>822.61</v>
      </c>
      <c r="C78" s="11">
        <f t="shared" si="4"/>
        <v>0.82261000000000006</v>
      </c>
      <c r="D78" s="11">
        <f t="shared" si="5"/>
        <v>5.7664961000000001E-2</v>
      </c>
      <c r="E78" s="11">
        <f t="shared" si="6"/>
        <v>2.574328616071429E-3</v>
      </c>
      <c r="F78" s="11">
        <f>E78/Calculation!K$19*1000</f>
        <v>3.5669996144535414E-3</v>
      </c>
      <c r="G78" s="11">
        <f t="shared" si="7"/>
        <v>10.895122166580443</v>
      </c>
    </row>
    <row r="79" spans="1:7">
      <c r="A79" s="11">
        <v>37</v>
      </c>
      <c r="B79" s="11">
        <v>756.3</v>
      </c>
      <c r="C79" s="11">
        <f t="shared" si="4"/>
        <v>0.75629999999999997</v>
      </c>
      <c r="D79" s="11">
        <f t="shared" si="5"/>
        <v>5.3016629999999995E-2</v>
      </c>
      <c r="E79" s="11">
        <f t="shared" si="6"/>
        <v>2.366813839285714E-3</v>
      </c>
      <c r="F79" s="11">
        <f>E79/Calculation!K$19*1000</f>
        <v>3.2794663429951162E-3</v>
      </c>
      <c r="G79" s="11">
        <f t="shared" si="7"/>
        <v>10.997819155942173</v>
      </c>
    </row>
    <row r="80" spans="1:7">
      <c r="A80" s="11">
        <v>37.5</v>
      </c>
      <c r="B80" s="11">
        <v>807.5</v>
      </c>
      <c r="C80" s="11">
        <f t="shared" si="4"/>
        <v>0.8075</v>
      </c>
      <c r="D80" s="11">
        <f t="shared" si="5"/>
        <v>5.6605749999999989E-2</v>
      </c>
      <c r="E80" s="11">
        <f t="shared" si="6"/>
        <v>2.5270424107142852E-3</v>
      </c>
      <c r="F80" s="11">
        <f>E80/Calculation!K$19*1000</f>
        <v>3.501479666757313E-3</v>
      </c>
      <c r="G80" s="11">
        <f t="shared" si="7"/>
        <v>11.099533346088458</v>
      </c>
    </row>
    <row r="81" spans="1:7">
      <c r="A81" s="11">
        <v>38</v>
      </c>
      <c r="B81" s="11">
        <v>882.21</v>
      </c>
      <c r="C81" s="11">
        <f t="shared" si="4"/>
        <v>0.88221000000000005</v>
      </c>
      <c r="D81" s="11">
        <f t="shared" si="5"/>
        <v>6.1842920999999995E-2</v>
      </c>
      <c r="E81" s="11">
        <f t="shared" si="6"/>
        <v>2.7608446874999998E-3</v>
      </c>
      <c r="F81" s="11">
        <f>E81/Calculation!K$19*1000</f>
        <v>3.8254369991454736E-3</v>
      </c>
      <c r="G81" s="11">
        <f t="shared" si="7"/>
        <v>11.209437096077</v>
      </c>
    </row>
    <row r="82" spans="1:7">
      <c r="A82" s="11">
        <v>38.5</v>
      </c>
      <c r="B82" s="11">
        <v>784.84</v>
      </c>
      <c r="C82" s="11">
        <f t="shared" si="4"/>
        <v>0.78483999999999998</v>
      </c>
      <c r="D82" s="11">
        <f t="shared" si="5"/>
        <v>5.5017283999999993E-2</v>
      </c>
      <c r="E82" s="11">
        <f t="shared" si="6"/>
        <v>2.4561287499999997E-3</v>
      </c>
      <c r="F82" s="11">
        <f>E82/Calculation!K$19*1000</f>
        <v>3.4032214262016223E-3</v>
      </c>
      <c r="G82" s="11">
        <f t="shared" si="7"/>
        <v>11.317866972457207</v>
      </c>
    </row>
    <row r="83" spans="1:7">
      <c r="A83" s="11">
        <v>39</v>
      </c>
      <c r="B83" s="11">
        <v>800.78</v>
      </c>
      <c r="C83" s="11">
        <f t="shared" si="4"/>
        <v>0.80077999999999994</v>
      </c>
      <c r="D83" s="11">
        <f t="shared" si="5"/>
        <v>5.6134677999999993E-2</v>
      </c>
      <c r="E83" s="11">
        <f t="shared" si="6"/>
        <v>2.5060124107142857E-3</v>
      </c>
      <c r="F83" s="11">
        <f>E83/Calculation!K$19*1000</f>
        <v>3.4723404180135257E-3</v>
      </c>
      <c r="G83" s="11">
        <f t="shared" si="7"/>
        <v>11.421000400120434</v>
      </c>
    </row>
    <row r="84" spans="1:7">
      <c r="A84" s="11">
        <v>39.5</v>
      </c>
      <c r="B84" s="11">
        <v>748.74</v>
      </c>
      <c r="C84" s="11">
        <f t="shared" si="4"/>
        <v>0.74873999999999996</v>
      </c>
      <c r="D84" s="11">
        <f t="shared" si="5"/>
        <v>5.248667399999999E-2</v>
      </c>
      <c r="E84" s="11">
        <f t="shared" si="6"/>
        <v>2.3431550892857138E-3</v>
      </c>
      <c r="F84" s="11">
        <f>E84/Calculation!K$19*1000</f>
        <v>3.2466846881583538E-3</v>
      </c>
      <c r="G84" s="11">
        <f t="shared" si="7"/>
        <v>11.521785776713012</v>
      </c>
    </row>
    <row r="85" spans="1:7">
      <c r="A85" s="11">
        <v>40</v>
      </c>
      <c r="B85" s="11">
        <v>793.23</v>
      </c>
      <c r="C85" s="11">
        <f t="shared" si="4"/>
        <v>0.79322999999999999</v>
      </c>
      <c r="D85" s="11">
        <f t="shared" si="5"/>
        <v>5.5605422999999994E-2</v>
      </c>
      <c r="E85" s="11">
        <f t="shared" si="6"/>
        <v>2.4823849553571426E-3</v>
      </c>
      <c r="F85" s="11">
        <f>E85/Calculation!K$19*1000</f>
        <v>3.4396021251540607E-3</v>
      </c>
      <c r="G85" s="11">
        <f t="shared" si="7"/>
        <v>11.622080078912697</v>
      </c>
    </row>
    <row r="86" spans="1:7">
      <c r="A86" s="11">
        <v>40.5</v>
      </c>
      <c r="B86" s="11">
        <v>776.44</v>
      </c>
      <c r="C86" s="11">
        <f t="shared" si="4"/>
        <v>0.77644000000000002</v>
      </c>
      <c r="D86" s="11">
        <f t="shared" si="5"/>
        <v>5.4428443999999992E-2</v>
      </c>
      <c r="E86" s="11">
        <f t="shared" si="6"/>
        <v>2.4298412499999997E-3</v>
      </c>
      <c r="F86" s="11">
        <f>E86/Calculation!K$19*1000</f>
        <v>3.3667973652718869E-3</v>
      </c>
      <c r="G86" s="11">
        <f t="shared" si="7"/>
        <v>11.724176071269087</v>
      </c>
    </row>
    <row r="87" spans="1:7">
      <c r="A87" s="11">
        <v>41</v>
      </c>
      <c r="B87" s="11">
        <v>781.48</v>
      </c>
      <c r="C87" s="11">
        <f t="shared" si="4"/>
        <v>0.78148000000000006</v>
      </c>
      <c r="D87" s="11">
        <f t="shared" si="5"/>
        <v>5.4781748000000005E-2</v>
      </c>
      <c r="E87" s="11">
        <f t="shared" si="6"/>
        <v>2.4456137500000006E-3</v>
      </c>
      <c r="F87" s="11">
        <f>E87/Calculation!K$19*1000</f>
        <v>3.3886518018297293E-3</v>
      </c>
      <c r="G87" s="11">
        <f t="shared" si="7"/>
        <v>11.82550780877561</v>
      </c>
    </row>
    <row r="88" spans="1:7">
      <c r="A88" s="11">
        <v>41.5</v>
      </c>
      <c r="B88" s="11">
        <v>778.96</v>
      </c>
      <c r="C88" s="11">
        <f t="shared" si="4"/>
        <v>0.77895999999999999</v>
      </c>
      <c r="D88" s="11">
        <f t="shared" si="5"/>
        <v>5.4605095999999992E-2</v>
      </c>
      <c r="E88" s="11">
        <f t="shared" si="6"/>
        <v>2.4377274999999999E-3</v>
      </c>
      <c r="F88" s="11">
        <f>E88/Calculation!K$19*1000</f>
        <v>3.3777245835508074E-3</v>
      </c>
      <c r="G88" s="11">
        <f t="shared" si="7"/>
        <v>11.927003454556319</v>
      </c>
    </row>
    <row r="89" spans="1:7">
      <c r="A89" s="11">
        <v>42</v>
      </c>
      <c r="B89" s="11">
        <v>769.73</v>
      </c>
      <c r="C89" s="11">
        <f t="shared" si="4"/>
        <v>0.76973000000000003</v>
      </c>
      <c r="D89" s="11">
        <f t="shared" si="5"/>
        <v>5.3958073000000002E-2</v>
      </c>
      <c r="E89" s="11">
        <f t="shared" si="6"/>
        <v>2.4088425446428573E-3</v>
      </c>
      <c r="F89" s="11">
        <f>E89/Calculation!K$19*1000</f>
        <v>3.3377014785053961E-3</v>
      </c>
      <c r="G89" s="11">
        <f t="shared" si="7"/>
        <v>12.027734845487162</v>
      </c>
    </row>
    <row r="90" spans="1:7">
      <c r="A90" s="11">
        <v>42.5</v>
      </c>
      <c r="B90" s="11">
        <v>737.83</v>
      </c>
      <c r="C90" s="11">
        <f t="shared" si="4"/>
        <v>0.73782999999999999</v>
      </c>
      <c r="D90" s="11">
        <f t="shared" si="5"/>
        <v>5.1721882999999996E-2</v>
      </c>
      <c r="E90" s="11">
        <f t="shared" si="6"/>
        <v>2.3090126339285716E-3</v>
      </c>
      <c r="F90" s="11">
        <f>E90/Calculation!K$19*1000</f>
        <v>3.1993767709269957E-3</v>
      </c>
      <c r="G90" s="11">
        <f t="shared" si="7"/>
        <v>12.125791019228648</v>
      </c>
    </row>
    <row r="91" spans="1:7">
      <c r="A91" s="11">
        <v>43</v>
      </c>
      <c r="B91" s="11">
        <v>700.9</v>
      </c>
      <c r="C91" s="11">
        <f t="shared" si="4"/>
        <v>0.70089999999999997</v>
      </c>
      <c r="D91" s="11">
        <f t="shared" si="5"/>
        <v>4.913308999999999E-2</v>
      </c>
      <c r="E91" s="11">
        <f t="shared" si="6"/>
        <v>2.1934415178571426E-3</v>
      </c>
      <c r="F91" s="11">
        <f>E91/Calculation!K$19*1000</f>
        <v>3.0392409887680504E-3</v>
      </c>
      <c r="G91" s="11">
        <f t="shared" si="7"/>
        <v>12.219370285624073</v>
      </c>
    </row>
    <row r="92" spans="1:7">
      <c r="A92" s="11">
        <v>43.5</v>
      </c>
      <c r="B92" s="11">
        <v>728.6</v>
      </c>
      <c r="C92" s="11">
        <f t="shared" si="4"/>
        <v>0.72860000000000003</v>
      </c>
      <c r="D92" s="11">
        <f t="shared" si="5"/>
        <v>5.107486E-2</v>
      </c>
      <c r="E92" s="11">
        <f t="shared" si="6"/>
        <v>2.2801276785714285E-3</v>
      </c>
      <c r="F92" s="11">
        <f>E92/Calculation!K$19*1000</f>
        <v>3.1593536658815835E-3</v>
      </c>
      <c r="G92" s="11">
        <f t="shared" si="7"/>
        <v>12.312349205443818</v>
      </c>
    </row>
    <row r="93" spans="1:7">
      <c r="A93" s="11">
        <v>44</v>
      </c>
      <c r="B93" s="11">
        <v>996.36</v>
      </c>
      <c r="C93" s="11">
        <f t="shared" si="4"/>
        <v>0.99636000000000002</v>
      </c>
      <c r="D93" s="11">
        <f t="shared" si="5"/>
        <v>6.9844835999999993E-2</v>
      </c>
      <c r="E93" s="11">
        <f t="shared" si="6"/>
        <v>3.1180730357142855E-3</v>
      </c>
      <c r="F93" s="11">
        <f>E93/Calculation!K$19*1000</f>
        <v>4.3204139699942008E-3</v>
      </c>
      <c r="G93" s="11">
        <f t="shared" si="7"/>
        <v>12.424545719981955</v>
      </c>
    </row>
    <row r="94" spans="1:7">
      <c r="A94" s="11">
        <v>44.5</v>
      </c>
      <c r="B94" s="11">
        <v>724.4</v>
      </c>
      <c r="C94" s="11">
        <f t="shared" si="4"/>
        <v>0.72439999999999993</v>
      </c>
      <c r="D94" s="11">
        <f t="shared" si="5"/>
        <v>5.0780439999999989E-2</v>
      </c>
      <c r="E94" s="11">
        <f t="shared" si="6"/>
        <v>2.2669839285714283E-3</v>
      </c>
      <c r="F94" s="11">
        <f>E94/Calculation!K$19*1000</f>
        <v>3.1411416354167154E-3</v>
      </c>
      <c r="G94" s="11">
        <f t="shared" si="7"/>
        <v>12.536469054063119</v>
      </c>
    </row>
    <row r="95" spans="1:7">
      <c r="A95" s="11">
        <v>45</v>
      </c>
      <c r="B95" s="11">
        <v>689.98</v>
      </c>
      <c r="C95" s="11">
        <f t="shared" si="4"/>
        <v>0.68998000000000004</v>
      </c>
      <c r="D95" s="11">
        <f t="shared" si="5"/>
        <v>4.8367598000000005E-2</v>
      </c>
      <c r="E95" s="11">
        <f t="shared" si="6"/>
        <v>2.1592677678571432E-3</v>
      </c>
      <c r="F95" s="11">
        <f>E95/Calculation!K$19*1000</f>
        <v>2.9918897095593954E-3</v>
      </c>
      <c r="G95" s="11">
        <f t="shared" si="7"/>
        <v>12.62846452423776</v>
      </c>
    </row>
    <row r="96" spans="1:7">
      <c r="A96" s="11">
        <v>45.5</v>
      </c>
      <c r="B96" s="11">
        <v>698.38</v>
      </c>
      <c r="C96" s="11">
        <f t="shared" si="4"/>
        <v>0.69838</v>
      </c>
      <c r="D96" s="11">
        <f t="shared" si="5"/>
        <v>4.8956437999999991E-2</v>
      </c>
      <c r="E96" s="11">
        <f t="shared" si="6"/>
        <v>2.1855552678571428E-3</v>
      </c>
      <c r="F96" s="11">
        <f>E96/Calculation!K$19*1000</f>
        <v>3.0283137704891303E-3</v>
      </c>
      <c r="G96" s="11">
        <f t="shared" si="7"/>
        <v>12.718767576438488</v>
      </c>
    </row>
    <row r="97" spans="1:7">
      <c r="A97" s="11">
        <v>46</v>
      </c>
      <c r="B97" s="11">
        <v>652.21</v>
      </c>
      <c r="C97" s="11">
        <f t="shared" si="4"/>
        <v>0.65221000000000007</v>
      </c>
      <c r="D97" s="11">
        <f t="shared" si="5"/>
        <v>4.5719921000000004E-2</v>
      </c>
      <c r="E97" s="11">
        <f t="shared" si="6"/>
        <v>2.0410679017857144E-3</v>
      </c>
      <c r="F97" s="11">
        <f>E97/Calculation!K$19*1000</f>
        <v>2.8281115213074771E-3</v>
      </c>
      <c r="G97" s="11">
        <f t="shared" si="7"/>
        <v>12.806613955815436</v>
      </c>
    </row>
    <row r="98" spans="1:7">
      <c r="A98" s="11">
        <v>46.5</v>
      </c>
      <c r="B98" s="11">
        <v>637.94000000000005</v>
      </c>
      <c r="C98" s="11">
        <f t="shared" si="4"/>
        <v>0.63794000000000006</v>
      </c>
      <c r="D98" s="11">
        <f t="shared" si="5"/>
        <v>4.4719594000000001E-2</v>
      </c>
      <c r="E98" s="11">
        <f t="shared" si="6"/>
        <v>1.9964104464285717E-3</v>
      </c>
      <c r="F98" s="11">
        <f>E98/Calculation!K$19*1000</f>
        <v>2.7662339797042243E-3</v>
      </c>
      <c r="G98" s="11">
        <f t="shared" si="7"/>
        <v>12.890529138330612</v>
      </c>
    </row>
    <row r="99" spans="1:7">
      <c r="A99" s="11">
        <v>47</v>
      </c>
      <c r="B99" s="11">
        <v>603.53</v>
      </c>
      <c r="C99" s="11">
        <f t="shared" si="4"/>
        <v>0.60353000000000001</v>
      </c>
      <c r="D99" s="11">
        <f t="shared" si="5"/>
        <v>4.2307452999999995E-2</v>
      </c>
      <c r="E99" s="11">
        <f t="shared" si="6"/>
        <v>1.8887255803571427E-3</v>
      </c>
      <c r="F99" s="11">
        <f>E99/Calculation!K$19*1000</f>
        <v>2.6170254158242E-3</v>
      </c>
      <c r="G99" s="11">
        <f t="shared" si="7"/>
        <v>12.971278029263537</v>
      </c>
    </row>
    <row r="100" spans="1:7">
      <c r="A100" s="11">
        <v>47.5</v>
      </c>
      <c r="B100" s="11">
        <v>624.51</v>
      </c>
      <c r="C100" s="11">
        <f t="shared" si="4"/>
        <v>0.62451000000000001</v>
      </c>
      <c r="D100" s="11">
        <f t="shared" si="5"/>
        <v>4.3778150999999994E-2</v>
      </c>
      <c r="E100" s="11">
        <f t="shared" si="6"/>
        <v>1.9543817410714284E-3</v>
      </c>
      <c r="F100" s="11">
        <f>E100/Calculation!K$19*1000</f>
        <v>2.707998844193944E-3</v>
      </c>
      <c r="G100" s="11">
        <f t="shared" si="7"/>
        <v>13.05115339316381</v>
      </c>
    </row>
    <row r="101" spans="1:7">
      <c r="A101" s="11">
        <v>48</v>
      </c>
      <c r="B101" s="11">
        <v>660.6</v>
      </c>
      <c r="C101" s="11">
        <f t="shared" si="4"/>
        <v>0.66060000000000008</v>
      </c>
      <c r="D101" s="11">
        <f t="shared" si="5"/>
        <v>4.6308060000000005E-2</v>
      </c>
      <c r="E101" s="11">
        <f t="shared" si="6"/>
        <v>2.0673241071428577E-3</v>
      </c>
      <c r="F101" s="11">
        <f>E101/Calculation!K$20*1000</f>
        <v>2.9738858411184985E-3</v>
      </c>
      <c r="G101" s="11">
        <f t="shared" si="7"/>
        <v>13.136381663443498</v>
      </c>
    </row>
    <row r="102" spans="1:7">
      <c r="A102" s="11">
        <v>48.5</v>
      </c>
      <c r="B102" s="11">
        <v>656.41</v>
      </c>
      <c r="C102" s="11">
        <f t="shared" ref="C102:C116" si="8">B102/1000</f>
        <v>0.65640999999999994</v>
      </c>
      <c r="D102" s="11">
        <f t="shared" ref="D102:D116" si="9">C102/1000*$B$1</f>
        <v>4.6014340999999993E-2</v>
      </c>
      <c r="E102" s="11">
        <f t="shared" ref="E102:E116" si="10">D102/22.4</f>
        <v>2.0542116517857142E-3</v>
      </c>
      <c r="F102" s="11">
        <f>E102/Calculation!K$20*1000</f>
        <v>2.955023319661812E-3</v>
      </c>
      <c r="G102" s="11">
        <f t="shared" ref="G102:G116" si="11">G101+(F102+F101)/2*30</f>
        <v>13.225315300855202</v>
      </c>
    </row>
    <row r="103" spans="1:7">
      <c r="A103" s="11">
        <v>49</v>
      </c>
      <c r="B103" s="11">
        <v>631.23</v>
      </c>
      <c r="C103" s="11">
        <f t="shared" si="8"/>
        <v>0.63123000000000007</v>
      </c>
      <c r="D103" s="11">
        <f t="shared" si="9"/>
        <v>4.4249223000000004E-2</v>
      </c>
      <c r="E103" s="11">
        <f t="shared" si="10"/>
        <v>1.9754117410714289E-3</v>
      </c>
      <c r="F103" s="11">
        <f>E103/Calculation!K$20*1000</f>
        <v>2.8416681191178162E-3</v>
      </c>
      <c r="G103" s="11">
        <f t="shared" si="11"/>
        <v>13.312265672436897</v>
      </c>
    </row>
    <row r="104" spans="1:7">
      <c r="A104" s="11">
        <v>49.5</v>
      </c>
      <c r="B104" s="11">
        <v>607.72</v>
      </c>
      <c r="C104" s="11">
        <f t="shared" si="8"/>
        <v>0.60772000000000004</v>
      </c>
      <c r="D104" s="11">
        <f t="shared" si="9"/>
        <v>4.2601172E-2</v>
      </c>
      <c r="E104" s="11">
        <f t="shared" si="10"/>
        <v>1.9018380357142858E-3</v>
      </c>
      <c r="F104" s="11">
        <f>E104/Calculation!K$20*1000</f>
        <v>2.7358309163859119E-3</v>
      </c>
      <c r="G104" s="11">
        <f t="shared" si="11"/>
        <v>13.395928157969454</v>
      </c>
    </row>
    <row r="105" spans="1:7">
      <c r="A105" s="11">
        <v>50</v>
      </c>
      <c r="B105" s="11">
        <v>763.01</v>
      </c>
      <c r="C105" s="11">
        <f t="shared" si="8"/>
        <v>0.76300999999999997</v>
      </c>
      <c r="D105" s="11">
        <f t="shared" si="9"/>
        <v>5.3487000999999992E-2</v>
      </c>
      <c r="E105" s="11">
        <f t="shared" si="10"/>
        <v>2.3878125446428569E-3</v>
      </c>
      <c r="F105" s="11">
        <f>E105/Calculation!K$20*1000</f>
        <v>3.4349146770085142E-3</v>
      </c>
      <c r="G105" s="11">
        <f t="shared" si="11"/>
        <v>13.48848934187037</v>
      </c>
    </row>
    <row r="106" spans="1:7">
      <c r="A106" s="11">
        <v>50.5</v>
      </c>
      <c r="B106" s="11">
        <v>590.1</v>
      </c>
      <c r="C106" s="11">
        <f t="shared" si="8"/>
        <v>0.59010000000000007</v>
      </c>
      <c r="D106" s="11">
        <f t="shared" si="9"/>
        <v>4.1366010000000002E-2</v>
      </c>
      <c r="E106" s="11">
        <f t="shared" si="10"/>
        <v>1.8466968750000003E-3</v>
      </c>
      <c r="F106" s="11">
        <f>E106/Calculation!K$20*1000</f>
        <v>2.6565092867756974E-3</v>
      </c>
      <c r="G106" s="11">
        <f t="shared" si="11"/>
        <v>13.579860701327133</v>
      </c>
    </row>
    <row r="107" spans="1:7">
      <c r="A107" s="11">
        <v>51</v>
      </c>
      <c r="B107" s="11">
        <v>588.41999999999996</v>
      </c>
      <c r="C107" s="11">
        <f t="shared" si="8"/>
        <v>0.58841999999999994</v>
      </c>
      <c r="D107" s="11">
        <f t="shared" si="9"/>
        <v>4.1248241999999997E-2</v>
      </c>
      <c r="E107" s="11">
        <f t="shared" si="10"/>
        <v>1.8414393750000001E-3</v>
      </c>
      <c r="F107" s="11">
        <f>E107/Calculation!K$20*1000</f>
        <v>2.6489462710126348E-3</v>
      </c>
      <c r="G107" s="11">
        <f t="shared" si="11"/>
        <v>13.659442534693959</v>
      </c>
    </row>
    <row r="108" spans="1:7">
      <c r="A108" s="11">
        <v>51.5</v>
      </c>
      <c r="B108" s="11">
        <v>559.04</v>
      </c>
      <c r="C108" s="11">
        <f t="shared" si="8"/>
        <v>0.55903999999999998</v>
      </c>
      <c r="D108" s="11">
        <f t="shared" si="9"/>
        <v>3.9188703999999998E-2</v>
      </c>
      <c r="E108" s="11">
        <f t="shared" si="10"/>
        <v>1.7494957142857143E-3</v>
      </c>
      <c r="F108" s="11">
        <f>E108/Calculation!K$20*1000</f>
        <v>2.5166835310609821E-3</v>
      </c>
      <c r="G108" s="11">
        <f t="shared" si="11"/>
        <v>13.736926981725063</v>
      </c>
    </row>
    <row r="109" spans="1:7">
      <c r="A109" s="11">
        <v>52</v>
      </c>
      <c r="B109" s="11">
        <v>552.32000000000005</v>
      </c>
      <c r="C109" s="11">
        <f t="shared" si="8"/>
        <v>0.55232000000000003</v>
      </c>
      <c r="D109" s="11">
        <f t="shared" si="9"/>
        <v>3.8717632000000002E-2</v>
      </c>
      <c r="E109" s="11">
        <f t="shared" si="10"/>
        <v>1.7284657142857146E-3</v>
      </c>
      <c r="F109" s="11">
        <f>E109/Calculation!K$20*1000</f>
        <v>2.4864314680087328E-3</v>
      </c>
      <c r="G109" s="11">
        <f t="shared" si="11"/>
        <v>13.811973706711107</v>
      </c>
    </row>
    <row r="110" spans="1:7">
      <c r="A110" s="11">
        <v>52.5</v>
      </c>
      <c r="B110" s="11">
        <v>541.41</v>
      </c>
      <c r="C110" s="11">
        <f t="shared" si="8"/>
        <v>0.54140999999999995</v>
      </c>
      <c r="D110" s="11">
        <f t="shared" si="9"/>
        <v>3.7952840999999994E-2</v>
      </c>
      <c r="E110" s="11">
        <f t="shared" si="10"/>
        <v>1.6943232589285713E-3</v>
      </c>
      <c r="F110" s="11">
        <f>E110/Calculation!K$20*1000</f>
        <v>2.4373168834997965E-3</v>
      </c>
      <c r="G110" s="11">
        <f t="shared" si="11"/>
        <v>13.885829931983736</v>
      </c>
    </row>
    <row r="111" spans="1:7">
      <c r="A111" s="11">
        <v>53</v>
      </c>
      <c r="B111" s="11">
        <v>535.53</v>
      </c>
      <c r="C111" s="11">
        <f t="shared" si="8"/>
        <v>0.53552999999999995</v>
      </c>
      <c r="D111" s="11">
        <f t="shared" si="9"/>
        <v>3.7540652999999993E-2</v>
      </c>
      <c r="E111" s="11">
        <f t="shared" si="10"/>
        <v>1.6759220089285713E-3</v>
      </c>
      <c r="F111" s="11">
        <f>E111/Calculation!K$20*1000</f>
        <v>2.4108463283290778E-3</v>
      </c>
      <c r="G111" s="11">
        <f t="shared" si="11"/>
        <v>13.958552380161169</v>
      </c>
    </row>
    <row r="112" spans="1:7">
      <c r="A112" s="11">
        <v>53.5</v>
      </c>
      <c r="B112" s="11">
        <v>527.14</v>
      </c>
      <c r="C112" s="11">
        <f t="shared" si="8"/>
        <v>0.52713999999999994</v>
      </c>
      <c r="D112" s="11">
        <f t="shared" si="9"/>
        <v>3.6952513999999992E-2</v>
      </c>
      <c r="E112" s="11">
        <f t="shared" si="10"/>
        <v>1.6496658035714284E-3</v>
      </c>
      <c r="F112" s="11">
        <f>E112/Calculation!K$20*1000</f>
        <v>2.3730762674647357E-3</v>
      </c>
      <c r="G112" s="11">
        <f t="shared" si="11"/>
        <v>14.030311219098076</v>
      </c>
    </row>
    <row r="113" spans="1:7">
      <c r="A113" s="11">
        <v>54</v>
      </c>
      <c r="B113" s="11">
        <v>669.84</v>
      </c>
      <c r="C113" s="11">
        <f t="shared" si="8"/>
        <v>0.66983999999999999</v>
      </c>
      <c r="D113" s="11">
        <f t="shared" si="9"/>
        <v>4.6955783999999993E-2</v>
      </c>
      <c r="E113" s="11">
        <f t="shared" si="10"/>
        <v>2.096240357142857E-3</v>
      </c>
      <c r="F113" s="11">
        <f>E113/Calculation!K$20*1000</f>
        <v>3.0154824278153408E-3</v>
      </c>
      <c r="G113" s="11">
        <f t="shared" si="11"/>
        <v>14.111139599527277</v>
      </c>
    </row>
    <row r="114" spans="1:7">
      <c r="A114" s="11">
        <v>54.5</v>
      </c>
      <c r="B114" s="11">
        <v>440.68</v>
      </c>
      <c r="C114" s="11">
        <f t="shared" si="8"/>
        <v>0.44068000000000002</v>
      </c>
      <c r="D114" s="11">
        <f t="shared" si="9"/>
        <v>3.0891668000000001E-2</v>
      </c>
      <c r="E114" s="11">
        <f t="shared" si="10"/>
        <v>1.3790923214285716E-3</v>
      </c>
      <c r="F114" s="11">
        <f>E114/Calculation!K$20*1000</f>
        <v>1.9838510633728426E-3</v>
      </c>
      <c r="G114" s="11">
        <f t="shared" si="11"/>
        <v>14.1861296018951</v>
      </c>
    </row>
    <row r="115" spans="1:7">
      <c r="A115" s="11">
        <v>55</v>
      </c>
      <c r="B115" s="11">
        <v>466.7</v>
      </c>
      <c r="C115" s="11">
        <f t="shared" si="8"/>
        <v>0.4667</v>
      </c>
      <c r="D115" s="11">
        <f t="shared" si="9"/>
        <v>3.2715669999999995E-2</v>
      </c>
      <c r="E115" s="11">
        <f t="shared" si="10"/>
        <v>1.4605209821428569E-3</v>
      </c>
      <c r="F115" s="11">
        <f>E115/Calculation!K$20*1000</f>
        <v>2.100987771798369E-3</v>
      </c>
      <c r="G115" s="11">
        <f t="shared" si="11"/>
        <v>14.247402184422668</v>
      </c>
    </row>
    <row r="116" spans="1:7">
      <c r="A116" s="11">
        <v>55.5</v>
      </c>
      <c r="B116" s="11">
        <v>444.04</v>
      </c>
      <c r="C116" s="11">
        <f t="shared" si="8"/>
        <v>0.44404000000000005</v>
      </c>
      <c r="D116" s="11">
        <f t="shared" si="9"/>
        <v>3.1127203999999999E-2</v>
      </c>
      <c r="E116" s="11">
        <f t="shared" si="10"/>
        <v>1.3896073214285714E-3</v>
      </c>
      <c r="F116" s="11">
        <f>E116/Calculation!K$20*1000</f>
        <v>1.998977094898967E-3</v>
      </c>
      <c r="G116" s="11">
        <f t="shared" si="11"/>
        <v>14.308901657423128</v>
      </c>
    </row>
  </sheetData>
  <mergeCells count="3">
    <mergeCell ref="A3:A4"/>
    <mergeCell ref="B3:C3"/>
    <mergeCell ref="D3:F3"/>
  </mergeCells>
  <pageMargins left="0.7" right="0.7" top="0.75" bottom="0.75" header="0.3" footer="0.3"/>
  <ignoredErrors>
    <ignoredError sqref="C5" evalError="1"/>
    <ignoredError sqref="F9 F10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3"/>
  <sheetViews>
    <sheetView topLeftCell="A95" zoomScale="98" zoomScaleNormal="98" zoomScalePageLayoutView="98" workbookViewId="0">
      <selection activeCell="F110" sqref="F110:F117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7" t="s">
        <v>49</v>
      </c>
      <c r="B1" s="11">
        <v>70.099999999999994</v>
      </c>
      <c r="C1" s="8" t="s">
        <v>50</v>
      </c>
    </row>
    <row r="3" spans="1:12">
      <c r="A3" s="92" t="s">
        <v>5</v>
      </c>
      <c r="B3" s="92" t="s">
        <v>36</v>
      </c>
      <c r="C3" s="92"/>
      <c r="D3" s="92" t="s">
        <v>51</v>
      </c>
      <c r="E3" s="92"/>
      <c r="F3" s="92"/>
      <c r="G3" s="7" t="s">
        <v>52</v>
      </c>
    </row>
    <row r="4" spans="1:12">
      <c r="A4" s="92"/>
      <c r="B4" s="7" t="s">
        <v>53</v>
      </c>
      <c r="C4" s="7" t="s">
        <v>54</v>
      </c>
      <c r="D4" s="7" t="s">
        <v>55</v>
      </c>
      <c r="E4" s="7" t="s">
        <v>56</v>
      </c>
      <c r="F4" s="7" t="s">
        <v>57</v>
      </c>
      <c r="G4" s="7" t="s">
        <v>58</v>
      </c>
    </row>
    <row r="5" spans="1:12">
      <c r="A5" s="32">
        <v>0</v>
      </c>
      <c r="B5" s="11">
        <v>348.86</v>
      </c>
      <c r="C5" s="33">
        <f>B5/1000</f>
        <v>0.34886</v>
      </c>
      <c r="D5" s="11">
        <f>C5/1000*$B$1</f>
        <v>2.4455085999999997E-2</v>
      </c>
      <c r="E5" s="11">
        <f>D5/22.4</f>
        <v>1.0917449107142856E-3</v>
      </c>
      <c r="F5" s="11">
        <f>E5/Calculation!K$4*1000</f>
        <v>7.4217872924152656E-4</v>
      </c>
      <c r="G5" s="11">
        <f>(0+F5)/2*30</f>
        <v>1.1132680938622899E-2</v>
      </c>
    </row>
    <row r="6" spans="1:12">
      <c r="A6" s="32">
        <v>0.5</v>
      </c>
      <c r="B6" s="11">
        <v>371.11</v>
      </c>
      <c r="C6" s="33">
        <f t="shared" ref="C6:C69" si="0">B6/1000</f>
        <v>0.37111</v>
      </c>
      <c r="D6" s="11">
        <f t="shared" ref="D6:D69" si="1">C6/1000*$B$1</f>
        <v>2.6014810999999999E-2</v>
      </c>
      <c r="E6" s="11">
        <f t="shared" ref="E6:E69" si="2">D6/22.4</f>
        <v>1.1613754910714286E-3</v>
      </c>
      <c r="F6" s="11">
        <f>E6/Calculation!K$4*1000</f>
        <v>7.8951426993299019E-4</v>
      </c>
      <c r="G6" s="11">
        <f>G5+(F6+F5)/2*30</f>
        <v>3.4108075926240655E-2</v>
      </c>
    </row>
    <row r="7" spans="1:12">
      <c r="A7" s="32">
        <v>1</v>
      </c>
      <c r="B7" s="11">
        <v>424.12</v>
      </c>
      <c r="C7" s="33">
        <f t="shared" si="0"/>
        <v>0.42412</v>
      </c>
      <c r="D7" s="11">
        <f t="shared" si="1"/>
        <v>2.9730811999999999E-2</v>
      </c>
      <c r="E7" s="11">
        <f t="shared" si="2"/>
        <v>1.3272683928571428E-3</v>
      </c>
      <c r="F7" s="11">
        <f>E7/Calculation!K$4*1000</f>
        <v>9.0228986598038258E-4</v>
      </c>
      <c r="G7" s="11">
        <f>G6+(F7+F6)/2*30</f>
        <v>5.9485137964941245E-2</v>
      </c>
    </row>
    <row r="8" spans="1:12">
      <c r="A8" s="32">
        <v>1.5</v>
      </c>
      <c r="B8" s="11">
        <v>511.25</v>
      </c>
      <c r="C8" s="33">
        <f t="shared" si="0"/>
        <v>0.51124999999999998</v>
      </c>
      <c r="D8" s="11">
        <f t="shared" si="1"/>
        <v>3.5838624999999999E-2</v>
      </c>
      <c r="E8" s="11">
        <f t="shared" si="2"/>
        <v>1.5999386160714286E-3</v>
      </c>
      <c r="F8" s="11">
        <f>E8/Calculation!K$4*1000</f>
        <v>1.0876537158881229E-3</v>
      </c>
      <c r="G8" s="11">
        <f t="shared" ref="G8:G70" si="3">G7+(F8+F7)/2*30</f>
        <v>8.9334291692968831E-2</v>
      </c>
      <c r="K8" s="2">
        <f>0.001977/44.01</f>
        <v>4.492160872528971E-5</v>
      </c>
      <c r="L8" s="2">
        <f>1/K8</f>
        <v>22261.001517450681</v>
      </c>
    </row>
    <row r="9" spans="1:12">
      <c r="A9" s="32">
        <v>2</v>
      </c>
      <c r="B9" s="11">
        <v>530.99</v>
      </c>
      <c r="C9" s="33">
        <f t="shared" si="0"/>
        <v>0.53098999999999996</v>
      </c>
      <c r="D9" s="11">
        <f t="shared" si="1"/>
        <v>3.7222398999999996E-2</v>
      </c>
      <c r="E9" s="11">
        <f t="shared" si="2"/>
        <v>1.6617142410714286E-3</v>
      </c>
      <c r="F9" s="11">
        <f>E9/Calculation!K$5*1000</f>
        <v>1.1685480607544132E-3</v>
      </c>
      <c r="G9" s="11">
        <f t="shared" si="3"/>
        <v>0.12317731834260687</v>
      </c>
    </row>
    <row r="10" spans="1:12">
      <c r="A10" s="32">
        <v>2.5</v>
      </c>
      <c r="B10" s="11">
        <v>506.4</v>
      </c>
      <c r="C10" s="33">
        <f t="shared" si="0"/>
        <v>0.50639999999999996</v>
      </c>
      <c r="D10" s="11">
        <f t="shared" si="1"/>
        <v>3.5498639999999991E-2</v>
      </c>
      <c r="E10" s="11">
        <f t="shared" si="2"/>
        <v>1.5847607142857141E-3</v>
      </c>
      <c r="F10" s="11">
        <f>E10/Calculation!K$5*1000</f>
        <v>1.1144329233432548E-3</v>
      </c>
      <c r="G10" s="11">
        <f t="shared" si="3"/>
        <v>0.15742203310407188</v>
      </c>
    </row>
    <row r="11" spans="1:12">
      <c r="A11" s="32">
        <v>3</v>
      </c>
      <c r="B11" s="11">
        <v>509.25</v>
      </c>
      <c r="C11" s="33">
        <f t="shared" si="0"/>
        <v>0.50924999999999998</v>
      </c>
      <c r="D11" s="11">
        <f t="shared" si="1"/>
        <v>3.5698424999999992E-2</v>
      </c>
      <c r="E11" s="11">
        <f t="shared" si="2"/>
        <v>1.5936796874999998E-3</v>
      </c>
      <c r="F11" s="11">
        <f>E11/Calculation!K$5*1000</f>
        <v>1.1207049095824494E-3</v>
      </c>
      <c r="G11" s="11">
        <f t="shared" si="3"/>
        <v>0.19094910059795744</v>
      </c>
    </row>
    <row r="12" spans="1:12">
      <c r="A12" s="32">
        <v>3.5</v>
      </c>
      <c r="B12" s="11">
        <v>497.54</v>
      </c>
      <c r="C12" s="33">
        <f t="shared" si="0"/>
        <v>0.49754000000000004</v>
      </c>
      <c r="D12" s="11">
        <f t="shared" si="1"/>
        <v>3.4877554000000005E-2</v>
      </c>
      <c r="E12" s="11">
        <f t="shared" si="2"/>
        <v>1.557033660714286E-3</v>
      </c>
      <c r="F12" s="11">
        <f>E12/Calculation!K$6*1000</f>
        <v>1.1348085558829922E-3</v>
      </c>
      <c r="G12" s="11">
        <f t="shared" si="3"/>
        <v>0.22478180257993907</v>
      </c>
    </row>
    <row r="13" spans="1:12">
      <c r="A13" s="32">
        <v>4</v>
      </c>
      <c r="B13" s="11">
        <v>472.79</v>
      </c>
      <c r="C13" s="33">
        <f t="shared" si="0"/>
        <v>0.47279000000000004</v>
      </c>
      <c r="D13" s="11">
        <f t="shared" si="1"/>
        <v>3.3142578999999998E-2</v>
      </c>
      <c r="E13" s="11">
        <f t="shared" si="2"/>
        <v>1.4795794196428571E-3</v>
      </c>
      <c r="F13" s="11">
        <f>E13/Calculation!K$6*1000</f>
        <v>1.0783577946213768E-3</v>
      </c>
      <c r="G13" s="11">
        <f t="shared" si="3"/>
        <v>0.25797929783750462</v>
      </c>
    </row>
    <row r="14" spans="1:12">
      <c r="A14" s="32">
        <v>4.5</v>
      </c>
      <c r="B14" s="11">
        <v>467.6</v>
      </c>
      <c r="C14" s="33">
        <f t="shared" si="0"/>
        <v>0.46760000000000002</v>
      </c>
      <c r="D14" s="11">
        <f t="shared" si="1"/>
        <v>3.2778759999999997E-2</v>
      </c>
      <c r="E14" s="11">
        <f t="shared" si="2"/>
        <v>1.4633375000000001E-3</v>
      </c>
      <c r="F14" s="11">
        <f>E14/Calculation!K$6*1000</f>
        <v>1.0665202410477289E-3</v>
      </c>
      <c r="G14" s="11">
        <f t="shared" si="3"/>
        <v>0.29015246837254122</v>
      </c>
    </row>
    <row r="15" spans="1:12">
      <c r="A15" s="32">
        <v>5</v>
      </c>
      <c r="B15" s="11">
        <v>460.24</v>
      </c>
      <c r="C15" s="33">
        <f t="shared" si="0"/>
        <v>0.46023999999999998</v>
      </c>
      <c r="D15" s="11">
        <f t="shared" si="1"/>
        <v>3.2262823999999996E-2</v>
      </c>
      <c r="E15" s="11">
        <f t="shared" si="2"/>
        <v>1.4403046428571428E-3</v>
      </c>
      <c r="F15" s="11">
        <f>E15/Calculation!K$7*1000</f>
        <v>1.0885829122787355E-3</v>
      </c>
      <c r="G15" s="11">
        <f t="shared" si="3"/>
        <v>0.3224790156724382</v>
      </c>
    </row>
    <row r="16" spans="1:12">
      <c r="A16" s="32">
        <v>5.5</v>
      </c>
      <c r="B16" s="11">
        <v>464.59</v>
      </c>
      <c r="C16" s="33">
        <f t="shared" si="0"/>
        <v>0.46458999999999995</v>
      </c>
      <c r="D16" s="11">
        <f t="shared" si="1"/>
        <v>3.2567758999999995E-2</v>
      </c>
      <c r="E16" s="11">
        <f t="shared" si="2"/>
        <v>1.4539178124999999E-3</v>
      </c>
      <c r="F16" s="11">
        <f>E16/Calculation!K$7*1000</f>
        <v>1.0988717521631707E-3</v>
      </c>
      <c r="G16" s="11">
        <f t="shared" si="3"/>
        <v>0.35529083563906677</v>
      </c>
    </row>
    <row r="17" spans="1:7">
      <c r="A17" s="32">
        <v>6</v>
      </c>
      <c r="B17" s="11">
        <v>458.91</v>
      </c>
      <c r="C17" s="33">
        <f t="shared" si="0"/>
        <v>0.45891000000000004</v>
      </c>
      <c r="D17" s="11">
        <f t="shared" si="1"/>
        <v>3.2169590999999997E-2</v>
      </c>
      <c r="E17" s="11">
        <f t="shared" si="2"/>
        <v>1.4361424553571429E-3</v>
      </c>
      <c r="F17" s="11">
        <f>E17/Calculation!K$8*1000</f>
        <v>1.1262686197976526E-3</v>
      </c>
      <c r="G17" s="11">
        <f t="shared" si="3"/>
        <v>0.38866794121847914</v>
      </c>
    </row>
    <row r="18" spans="1:7">
      <c r="A18" s="32">
        <v>6.5</v>
      </c>
      <c r="B18" s="11">
        <v>443.02</v>
      </c>
      <c r="C18" s="33">
        <f t="shared" si="0"/>
        <v>0.44301999999999997</v>
      </c>
      <c r="D18" s="11">
        <f t="shared" si="1"/>
        <v>3.1055701999999994E-2</v>
      </c>
      <c r="E18" s="11">
        <f t="shared" si="2"/>
        <v>1.3864152678571427E-3</v>
      </c>
      <c r="F18" s="11">
        <f>E18/Calculation!K$8*1000</f>
        <v>1.0872709767552589E-3</v>
      </c>
      <c r="G18" s="11">
        <f t="shared" si="3"/>
        <v>0.42187103516677282</v>
      </c>
    </row>
    <row r="19" spans="1:7">
      <c r="A19" s="32">
        <v>7</v>
      </c>
      <c r="B19" s="11">
        <v>435.99</v>
      </c>
      <c r="C19" s="33">
        <f t="shared" si="0"/>
        <v>0.43598999999999999</v>
      </c>
      <c r="D19" s="11">
        <f t="shared" si="1"/>
        <v>3.0562898999999998E-2</v>
      </c>
      <c r="E19" s="11">
        <f t="shared" si="2"/>
        <v>1.3644151339285715E-3</v>
      </c>
      <c r="F19" s="11">
        <f>E19/Calculation!K$8*1000</f>
        <v>1.0700177715577748E-3</v>
      </c>
      <c r="G19" s="11">
        <f t="shared" si="3"/>
        <v>0.4542303663914683</v>
      </c>
    </row>
    <row r="20" spans="1:7">
      <c r="A20" s="32">
        <v>7.5</v>
      </c>
      <c r="B20" s="11">
        <v>415.26</v>
      </c>
      <c r="C20" s="33">
        <f t="shared" si="0"/>
        <v>0.41526000000000002</v>
      </c>
      <c r="D20" s="11">
        <f t="shared" si="1"/>
        <v>2.9109725999999999E-2</v>
      </c>
      <c r="E20" s="11">
        <f t="shared" si="2"/>
        <v>1.2995413392857143E-3</v>
      </c>
      <c r="F20" s="11">
        <f>E20/Calculation!K$9*1000</f>
        <v>1.0607053670742409E-3</v>
      </c>
      <c r="G20" s="11">
        <f t="shared" si="3"/>
        <v>0.48619121347094851</v>
      </c>
    </row>
    <row r="21" spans="1:7">
      <c r="A21" s="32">
        <v>8</v>
      </c>
      <c r="B21" s="11">
        <v>415.59</v>
      </c>
      <c r="C21" s="33">
        <f t="shared" si="0"/>
        <v>0.41558999999999996</v>
      </c>
      <c r="D21" s="11">
        <f t="shared" si="1"/>
        <v>2.9132858999999997E-2</v>
      </c>
      <c r="E21" s="11">
        <f t="shared" si="2"/>
        <v>1.3005740625000001E-3</v>
      </c>
      <c r="F21" s="11">
        <f>E21/Calculation!K$9*1000</f>
        <v>1.0615482914376145E-3</v>
      </c>
      <c r="G21" s="11">
        <f t="shared" si="3"/>
        <v>0.51802501834862635</v>
      </c>
    </row>
    <row r="22" spans="1:7">
      <c r="A22" s="32">
        <v>8.5</v>
      </c>
      <c r="B22" s="11">
        <v>397.86</v>
      </c>
      <c r="C22" s="33">
        <f t="shared" si="0"/>
        <v>0.39785999999999999</v>
      </c>
      <c r="D22" s="11">
        <f t="shared" si="1"/>
        <v>2.7889985999999999E-2</v>
      </c>
      <c r="E22" s="11">
        <f t="shared" si="2"/>
        <v>1.2450886607142857E-3</v>
      </c>
      <c r="F22" s="11">
        <f>E22/Calculation!K$9*1000</f>
        <v>1.0162602642781813E-3</v>
      </c>
      <c r="G22" s="11">
        <f t="shared" si="3"/>
        <v>0.54919214668436334</v>
      </c>
    </row>
    <row r="23" spans="1:7">
      <c r="A23" s="32">
        <v>9</v>
      </c>
      <c r="B23" s="11">
        <v>409.07</v>
      </c>
      <c r="C23" s="33">
        <f t="shared" si="0"/>
        <v>0.40906999999999999</v>
      </c>
      <c r="D23" s="11">
        <f t="shared" si="1"/>
        <v>2.8675806999999998E-2</v>
      </c>
      <c r="E23" s="11">
        <f t="shared" si="2"/>
        <v>1.2801699553571428E-3</v>
      </c>
      <c r="F23" s="11">
        <f>E23/Calculation!K$10*1000</f>
        <v>1.0911362735320223E-3</v>
      </c>
      <c r="G23" s="11">
        <f t="shared" si="3"/>
        <v>0.58080309475151637</v>
      </c>
    </row>
    <row r="24" spans="1:7">
      <c r="A24" s="32">
        <v>9.5</v>
      </c>
      <c r="B24" s="11">
        <v>412.75</v>
      </c>
      <c r="C24" s="33">
        <f t="shared" si="0"/>
        <v>0.41275000000000001</v>
      </c>
      <c r="D24" s="11">
        <f t="shared" si="1"/>
        <v>2.8933774999999998E-2</v>
      </c>
      <c r="E24" s="11">
        <f t="shared" si="2"/>
        <v>1.2916863839285714E-3</v>
      </c>
      <c r="F24" s="11">
        <f>E24/Calculation!K$10*1000</f>
        <v>1.1009521521997267E-3</v>
      </c>
      <c r="G24" s="11">
        <f t="shared" si="3"/>
        <v>0.61368442113749255</v>
      </c>
    </row>
    <row r="25" spans="1:7">
      <c r="A25" s="32">
        <v>10</v>
      </c>
      <c r="B25" s="11">
        <v>430.31</v>
      </c>
      <c r="C25" s="33">
        <f t="shared" si="0"/>
        <v>0.43031000000000003</v>
      </c>
      <c r="D25" s="11">
        <f t="shared" si="1"/>
        <v>3.0164731E-2</v>
      </c>
      <c r="E25" s="11">
        <f t="shared" si="2"/>
        <v>1.3466397767857145E-3</v>
      </c>
      <c r="F25" s="11">
        <f>E25/Calculation!K$10*1000</f>
        <v>1.1477909645380118E-3</v>
      </c>
      <c r="G25" s="11">
        <f t="shared" si="3"/>
        <v>0.64741556788855859</v>
      </c>
    </row>
    <row r="26" spans="1:7">
      <c r="A26" s="32">
        <v>10.5</v>
      </c>
      <c r="B26" s="11">
        <v>435.16</v>
      </c>
      <c r="C26" s="33">
        <f t="shared" si="0"/>
        <v>0.43516000000000005</v>
      </c>
      <c r="D26" s="11">
        <f t="shared" si="1"/>
        <v>3.0504716000000001E-2</v>
      </c>
      <c r="E26" s="11">
        <f t="shared" si="2"/>
        <v>1.3618176785714286E-3</v>
      </c>
      <c r="F26" s="11">
        <f>E26/Calculation!K$11*1000</f>
        <v>1.2133941206724681E-3</v>
      </c>
      <c r="G26" s="11">
        <f t="shared" si="3"/>
        <v>0.68283334416671582</v>
      </c>
    </row>
    <row r="27" spans="1:7">
      <c r="A27" s="32">
        <v>11</v>
      </c>
      <c r="B27" s="11">
        <v>428.8</v>
      </c>
      <c r="C27" s="33">
        <f t="shared" si="0"/>
        <v>0.42880000000000001</v>
      </c>
      <c r="D27" s="11">
        <f t="shared" si="1"/>
        <v>3.005888E-2</v>
      </c>
      <c r="E27" s="11">
        <f t="shared" si="2"/>
        <v>1.3419142857142858E-3</v>
      </c>
      <c r="F27" s="11">
        <f>E27/Calculation!K$11*1000</f>
        <v>1.1956599847052908E-3</v>
      </c>
      <c r="G27" s="11">
        <f t="shared" si="3"/>
        <v>0.71896915574738218</v>
      </c>
    </row>
    <row r="28" spans="1:7">
      <c r="A28" s="32">
        <v>11.5</v>
      </c>
      <c r="B28" s="11">
        <v>438.17</v>
      </c>
      <c r="C28" s="33">
        <f t="shared" si="0"/>
        <v>0.43817</v>
      </c>
      <c r="D28" s="11">
        <f t="shared" si="1"/>
        <v>3.0715716999999997E-2</v>
      </c>
      <c r="E28" s="11">
        <f t="shared" si="2"/>
        <v>1.3712373660714286E-3</v>
      </c>
      <c r="F28" s="11">
        <f>E28/Calculation!K$12*1000</f>
        <v>1.2774779267183888E-3</v>
      </c>
      <c r="G28" s="11">
        <f t="shared" si="3"/>
        <v>0.75606622441873739</v>
      </c>
    </row>
    <row r="29" spans="1:7">
      <c r="A29" s="32">
        <v>12</v>
      </c>
      <c r="B29" s="11">
        <v>376.79</v>
      </c>
      <c r="C29" s="33">
        <f t="shared" si="0"/>
        <v>0.37679000000000001</v>
      </c>
      <c r="D29" s="11">
        <f t="shared" si="1"/>
        <v>2.6412979E-2</v>
      </c>
      <c r="E29" s="11">
        <f t="shared" si="2"/>
        <v>1.1791508482142858E-3</v>
      </c>
      <c r="F29" s="11">
        <f>E29/Calculation!K$12*1000</f>
        <v>1.0985254764320281E-3</v>
      </c>
      <c r="G29" s="11">
        <f t="shared" si="3"/>
        <v>0.79170627546599359</v>
      </c>
    </row>
    <row r="30" spans="1:7">
      <c r="A30" s="32">
        <v>12.5</v>
      </c>
      <c r="B30" s="11">
        <v>391.01</v>
      </c>
      <c r="C30" s="33">
        <f t="shared" si="0"/>
        <v>0.39100999999999997</v>
      </c>
      <c r="D30" s="11">
        <f t="shared" si="1"/>
        <v>2.7409800999999994E-2</v>
      </c>
      <c r="E30" s="11">
        <f t="shared" si="2"/>
        <v>1.2236518303571427E-3</v>
      </c>
      <c r="F30" s="11">
        <f>E30/Calculation!K$12*1000</f>
        <v>1.1399836687271084E-3</v>
      </c>
      <c r="G30" s="11">
        <f t="shared" si="3"/>
        <v>0.82528391264338063</v>
      </c>
    </row>
    <row r="31" spans="1:7">
      <c r="A31" s="32">
        <v>13</v>
      </c>
      <c r="B31" s="11">
        <v>407.56</v>
      </c>
      <c r="C31" s="33">
        <f t="shared" si="0"/>
        <v>0.40755999999999998</v>
      </c>
      <c r="D31" s="11">
        <f t="shared" si="1"/>
        <v>2.8569955999999994E-2</v>
      </c>
      <c r="E31" s="11">
        <f t="shared" si="2"/>
        <v>1.2754444642857142E-3</v>
      </c>
      <c r="F31" s="11">
        <f>E31/Calculation!K$13*1000</f>
        <v>1.2449830028038096E-3</v>
      </c>
      <c r="G31" s="11">
        <f t="shared" si="3"/>
        <v>0.86105841271634442</v>
      </c>
    </row>
    <row r="32" spans="1:7">
      <c r="A32" s="32">
        <v>13.5</v>
      </c>
      <c r="B32" s="11">
        <v>421.28</v>
      </c>
      <c r="C32" s="33">
        <f t="shared" si="0"/>
        <v>0.42127999999999999</v>
      </c>
      <c r="D32" s="11">
        <f t="shared" si="1"/>
        <v>2.9531727999999997E-2</v>
      </c>
      <c r="E32" s="11">
        <f t="shared" si="2"/>
        <v>1.3183807142857142E-3</v>
      </c>
      <c r="F32" s="11">
        <f>E32/Calculation!K$13*1000</f>
        <v>1.2868938056266291E-3</v>
      </c>
      <c r="G32" s="11">
        <f t="shared" si="3"/>
        <v>0.89903656484280103</v>
      </c>
    </row>
    <row r="33" spans="1:7">
      <c r="A33" s="32">
        <v>14</v>
      </c>
      <c r="B33" s="11">
        <v>464.43</v>
      </c>
      <c r="C33" s="33">
        <f t="shared" si="0"/>
        <v>0.46443000000000001</v>
      </c>
      <c r="D33" s="11">
        <f t="shared" si="1"/>
        <v>3.2556543E-2</v>
      </c>
      <c r="E33" s="11">
        <f t="shared" si="2"/>
        <v>1.4534170982142859E-3</v>
      </c>
      <c r="F33" s="11">
        <f>E33/Calculation!K$14*1000</f>
        <v>1.4868145518745005E-3</v>
      </c>
      <c r="G33" s="11">
        <f t="shared" si="3"/>
        <v>0.94064219020531792</v>
      </c>
    </row>
    <row r="34" spans="1:7">
      <c r="A34" s="32">
        <v>14.5</v>
      </c>
      <c r="B34" s="11">
        <v>497.87</v>
      </c>
      <c r="C34" s="33">
        <f t="shared" si="0"/>
        <v>0.49786999999999998</v>
      </c>
      <c r="D34" s="11">
        <f t="shared" si="1"/>
        <v>3.4900686999999993E-2</v>
      </c>
      <c r="E34" s="11">
        <f t="shared" si="2"/>
        <v>1.5580663839285711E-3</v>
      </c>
      <c r="F34" s="11">
        <f>E34/Calculation!K$14*1000</f>
        <v>1.5938685290393755E-3</v>
      </c>
      <c r="G34" s="11">
        <f t="shared" si="3"/>
        <v>0.98685243641902609</v>
      </c>
    </row>
    <row r="35" spans="1:7">
      <c r="A35" s="32">
        <v>15</v>
      </c>
      <c r="B35" s="11">
        <v>471.45</v>
      </c>
      <c r="C35" s="33">
        <f t="shared" si="0"/>
        <v>0.47144999999999998</v>
      </c>
      <c r="D35" s="11">
        <f t="shared" si="1"/>
        <v>3.3048644999999995E-2</v>
      </c>
      <c r="E35" s="11">
        <f t="shared" si="2"/>
        <v>1.4753859374999998E-3</v>
      </c>
      <c r="F35" s="11">
        <f>E35/Calculation!K$14*1000</f>
        <v>1.5092882037793273E-3</v>
      </c>
      <c r="G35" s="11">
        <f t="shared" si="3"/>
        <v>1.0333997874113066</v>
      </c>
    </row>
    <row r="36" spans="1:7">
      <c r="A36" s="32">
        <v>15.5</v>
      </c>
      <c r="B36" s="11">
        <v>468.61</v>
      </c>
      <c r="C36" s="33">
        <f t="shared" si="0"/>
        <v>0.46861000000000003</v>
      </c>
      <c r="D36" s="11">
        <f t="shared" si="1"/>
        <v>3.2849560999999999E-2</v>
      </c>
      <c r="E36" s="11">
        <f t="shared" si="2"/>
        <v>1.4664982589285714E-3</v>
      </c>
      <c r="F36" s="11">
        <f>E36/Calculation!K$15*1000</f>
        <v>1.5740817698497937E-3</v>
      </c>
      <c r="G36" s="11">
        <f t="shared" si="3"/>
        <v>1.0796503370157433</v>
      </c>
    </row>
    <row r="37" spans="1:7">
      <c r="A37" s="32">
        <v>16</v>
      </c>
      <c r="B37" s="11">
        <v>487.67</v>
      </c>
      <c r="C37" s="33">
        <f t="shared" si="0"/>
        <v>0.48766999999999999</v>
      </c>
      <c r="D37" s="11">
        <f t="shared" si="1"/>
        <v>3.4185666999999996E-2</v>
      </c>
      <c r="E37" s="11">
        <f t="shared" si="2"/>
        <v>1.5261458482142857E-3</v>
      </c>
      <c r="F37" s="11">
        <f>E37/Calculation!K$15*1000</f>
        <v>1.6381051550386225E-3</v>
      </c>
      <c r="G37" s="11">
        <f t="shared" si="3"/>
        <v>1.1278331408890696</v>
      </c>
    </row>
    <row r="38" spans="1:7">
      <c r="A38" s="32">
        <v>16.5</v>
      </c>
      <c r="B38" s="11">
        <v>511.92</v>
      </c>
      <c r="C38" s="33">
        <f t="shared" si="0"/>
        <v>0.51192000000000004</v>
      </c>
      <c r="D38" s="11">
        <f t="shared" si="1"/>
        <v>3.5885592000000001E-2</v>
      </c>
      <c r="E38" s="11">
        <f t="shared" si="2"/>
        <v>1.6020353571428573E-3</v>
      </c>
      <c r="F38" s="11">
        <f>E38/Calculation!K$15*1000</f>
        <v>1.7195619803706847E-3</v>
      </c>
      <c r="G38" s="11">
        <f t="shared" si="3"/>
        <v>1.1781981479202093</v>
      </c>
    </row>
    <row r="39" spans="1:7">
      <c r="A39" s="32">
        <v>17</v>
      </c>
      <c r="B39" s="11">
        <v>537.16999999999996</v>
      </c>
      <c r="C39" s="33">
        <f t="shared" si="0"/>
        <v>0.53716999999999993</v>
      </c>
      <c r="D39" s="11">
        <f t="shared" si="1"/>
        <v>3.7655616999999988E-2</v>
      </c>
      <c r="E39" s="11">
        <f t="shared" si="2"/>
        <v>1.6810543303571424E-3</v>
      </c>
      <c r="F39" s="11">
        <f>E39/Calculation!K$16*1000</f>
        <v>1.8957130618034621E-3</v>
      </c>
      <c r="G39" s="11">
        <f t="shared" si="3"/>
        <v>1.2324272735528214</v>
      </c>
    </row>
    <row r="40" spans="1:7">
      <c r="A40" s="32">
        <v>17.5</v>
      </c>
      <c r="B40" s="11">
        <v>571.63</v>
      </c>
      <c r="C40" s="33">
        <f t="shared" si="0"/>
        <v>0.57162999999999997</v>
      </c>
      <c r="D40" s="11">
        <f t="shared" si="1"/>
        <v>4.0071262999999996E-2</v>
      </c>
      <c r="E40" s="11">
        <f t="shared" si="2"/>
        <v>1.788895669642857E-3</v>
      </c>
      <c r="F40" s="11">
        <f>E40/Calculation!K$16*1000</f>
        <v>2.0173249762993339E-3</v>
      </c>
      <c r="G40" s="11">
        <f t="shared" si="3"/>
        <v>1.2911228441243634</v>
      </c>
    </row>
    <row r="41" spans="1:7">
      <c r="A41" s="32">
        <v>18</v>
      </c>
      <c r="B41" s="11">
        <v>642.54</v>
      </c>
      <c r="C41" s="33">
        <f t="shared" si="0"/>
        <v>0.64254</v>
      </c>
      <c r="D41" s="11">
        <f t="shared" si="1"/>
        <v>4.5042053999999998E-2</v>
      </c>
      <c r="E41" s="11">
        <f t="shared" si="2"/>
        <v>2.0108059821428571E-3</v>
      </c>
      <c r="F41" s="11">
        <f>E41/Calculation!K$17*1000</f>
        <v>2.4258377969475632E-3</v>
      </c>
      <c r="G41" s="11">
        <f t="shared" si="3"/>
        <v>1.3577702857230669</v>
      </c>
    </row>
    <row r="42" spans="1:7">
      <c r="A42" s="32">
        <v>18.5</v>
      </c>
      <c r="B42" s="11">
        <v>714.78</v>
      </c>
      <c r="C42" s="33">
        <f t="shared" si="0"/>
        <v>0.71477999999999997</v>
      </c>
      <c r="D42" s="11">
        <f t="shared" si="1"/>
        <v>5.0106077999999991E-2</v>
      </c>
      <c r="E42" s="11">
        <f t="shared" si="2"/>
        <v>2.2368784821428568E-3</v>
      </c>
      <c r="F42" s="11">
        <f>E42/Calculation!K$17*1000</f>
        <v>2.6985718251037738E-3</v>
      </c>
      <c r="G42" s="11">
        <f t="shared" si="3"/>
        <v>1.434636430053837</v>
      </c>
    </row>
    <row r="43" spans="1:7">
      <c r="A43" s="32">
        <v>19</v>
      </c>
      <c r="B43" s="11">
        <v>748.23</v>
      </c>
      <c r="C43" s="33">
        <f t="shared" si="0"/>
        <v>0.74823000000000006</v>
      </c>
      <c r="D43" s="11">
        <f t="shared" si="1"/>
        <v>5.2450922999999997E-2</v>
      </c>
      <c r="E43" s="11">
        <f t="shared" si="2"/>
        <v>2.3415590625E-3</v>
      </c>
      <c r="F43" s="11">
        <f>E43/Calculation!K$17*1000</f>
        <v>2.8248585532575014E-3</v>
      </c>
      <c r="G43" s="11">
        <f t="shared" si="3"/>
        <v>1.5174878857292562</v>
      </c>
    </row>
    <row r="44" spans="1:7">
      <c r="A44" s="32">
        <v>19.5</v>
      </c>
      <c r="B44" s="11">
        <v>808.77</v>
      </c>
      <c r="C44" s="33">
        <f t="shared" si="0"/>
        <v>0.80876999999999999</v>
      </c>
      <c r="D44" s="11">
        <f t="shared" si="1"/>
        <v>5.6694776999999995E-2</v>
      </c>
      <c r="E44" s="11">
        <f t="shared" si="2"/>
        <v>2.5310168303571429E-3</v>
      </c>
      <c r="F44" s="11">
        <f>E44/Calculation!K$17*1000</f>
        <v>3.0534205419698083E-3</v>
      </c>
      <c r="G44" s="11">
        <f t="shared" si="3"/>
        <v>1.6056620721576658</v>
      </c>
    </row>
    <row r="45" spans="1:7">
      <c r="A45" s="32">
        <v>20</v>
      </c>
      <c r="B45" s="11">
        <v>853.76</v>
      </c>
      <c r="C45" s="33">
        <f t="shared" si="0"/>
        <v>0.85375999999999996</v>
      </c>
      <c r="D45" s="11">
        <f t="shared" si="1"/>
        <v>5.9848575999999994E-2</v>
      </c>
      <c r="E45" s="11">
        <f t="shared" si="2"/>
        <v>2.6718114285714284E-3</v>
      </c>
      <c r="F45" s="11">
        <f>E45/Calculation!K$17*1000</f>
        <v>3.2232752474895747E-3</v>
      </c>
      <c r="G45" s="11">
        <f t="shared" si="3"/>
        <v>1.6998125089995566</v>
      </c>
    </row>
    <row r="46" spans="1:7">
      <c r="A46" s="32">
        <v>20.5</v>
      </c>
      <c r="B46" s="11">
        <v>956.28</v>
      </c>
      <c r="C46" s="33">
        <f t="shared" si="0"/>
        <v>0.95628000000000002</v>
      </c>
      <c r="D46" s="11">
        <f t="shared" si="1"/>
        <v>6.7035227999999988E-2</v>
      </c>
      <c r="E46" s="11">
        <f t="shared" si="2"/>
        <v>2.9926441071428567E-3</v>
      </c>
      <c r="F46" s="11">
        <f>E46/Calculation!K$17*1000</f>
        <v>3.6103280238818053E-3</v>
      </c>
      <c r="G46" s="11">
        <f t="shared" si="3"/>
        <v>1.8023165580701273</v>
      </c>
    </row>
    <row r="47" spans="1:7">
      <c r="A47" s="32">
        <v>21</v>
      </c>
      <c r="B47" s="11">
        <v>1048.76</v>
      </c>
      <c r="C47" s="33">
        <f t="shared" si="0"/>
        <v>1.0487599999999999</v>
      </c>
      <c r="D47" s="11">
        <f t="shared" si="1"/>
        <v>7.3518075999999988E-2</v>
      </c>
      <c r="E47" s="11">
        <f t="shared" si="2"/>
        <v>3.282056964285714E-3</v>
      </c>
      <c r="F47" s="11">
        <f>E47/Calculation!K$17*1000</f>
        <v>3.9594759048879853E-3</v>
      </c>
      <c r="G47" s="11">
        <f t="shared" si="3"/>
        <v>1.9158636170016741</v>
      </c>
    </row>
    <row r="48" spans="1:7">
      <c r="A48" s="32">
        <v>21.5</v>
      </c>
      <c r="B48" s="11">
        <v>1183.72</v>
      </c>
      <c r="C48" s="33">
        <f t="shared" si="0"/>
        <v>1.1837200000000001</v>
      </c>
      <c r="D48" s="11">
        <f t="shared" si="1"/>
        <v>8.2978771999999992E-2</v>
      </c>
      <c r="E48" s="11">
        <f t="shared" si="2"/>
        <v>3.7044094642857141E-3</v>
      </c>
      <c r="F48" s="11">
        <f>E48/Calculation!K$17*1000</f>
        <v>4.4690022675674184E-3</v>
      </c>
      <c r="G48" s="11">
        <f t="shared" si="3"/>
        <v>2.0422907895885052</v>
      </c>
    </row>
    <row r="49" spans="1:7">
      <c r="A49" s="32">
        <v>22</v>
      </c>
      <c r="B49" s="11">
        <v>1319.02</v>
      </c>
      <c r="C49" s="33">
        <f t="shared" si="0"/>
        <v>1.3190200000000001</v>
      </c>
      <c r="D49" s="11">
        <f t="shared" si="1"/>
        <v>9.2463302000000011E-2</v>
      </c>
      <c r="E49" s="11">
        <f t="shared" si="2"/>
        <v>4.1278259821428583E-3</v>
      </c>
      <c r="F49" s="11">
        <f>E49/Calculation!K$17*1000</f>
        <v>4.979812262162318E-3</v>
      </c>
      <c r="G49" s="11">
        <f t="shared" si="3"/>
        <v>2.1840230075344511</v>
      </c>
    </row>
    <row r="50" spans="1:7">
      <c r="A50" s="32">
        <v>22.5</v>
      </c>
      <c r="B50" s="11">
        <v>1488.94</v>
      </c>
      <c r="C50" s="33">
        <f t="shared" si="0"/>
        <v>1.4889400000000002</v>
      </c>
      <c r="D50" s="11">
        <f t="shared" si="1"/>
        <v>0.104374694</v>
      </c>
      <c r="E50" s="11">
        <f t="shared" si="2"/>
        <v>4.6595845535714287E-3</v>
      </c>
      <c r="F50" s="11">
        <f>E50/Calculation!K$17*1000</f>
        <v>5.6213261888553318E-3</v>
      </c>
      <c r="G50" s="11">
        <f t="shared" si="3"/>
        <v>2.3430400842997159</v>
      </c>
    </row>
    <row r="51" spans="1:7">
      <c r="A51" s="32">
        <v>23</v>
      </c>
      <c r="B51" s="11">
        <v>1638.78</v>
      </c>
      <c r="C51" s="33">
        <f t="shared" si="0"/>
        <v>1.6387799999999999</v>
      </c>
      <c r="D51" s="11">
        <f t="shared" si="1"/>
        <v>0.11487847799999998</v>
      </c>
      <c r="E51" s="11">
        <f t="shared" si="2"/>
        <v>5.1285034821428564E-3</v>
      </c>
      <c r="F51" s="11">
        <f>E51/Calculation!K$17*1000</f>
        <v>6.1870303247762428E-3</v>
      </c>
      <c r="G51" s="11">
        <f t="shared" si="3"/>
        <v>2.5201654320041893</v>
      </c>
    </row>
    <row r="52" spans="1:7">
      <c r="A52" s="32">
        <v>23.5</v>
      </c>
      <c r="B52" s="11">
        <v>1781.44</v>
      </c>
      <c r="C52" s="33">
        <f t="shared" si="0"/>
        <v>1.7814400000000001</v>
      </c>
      <c r="D52" s="11">
        <f t="shared" si="1"/>
        <v>0.12487894400000001</v>
      </c>
      <c r="E52" s="11">
        <f t="shared" si="2"/>
        <v>5.5749528571428578E-3</v>
      </c>
      <c r="F52" s="11">
        <f>E52/Calculation!K$17*1000</f>
        <v>6.7256271749529485E-3</v>
      </c>
      <c r="G52" s="11">
        <f t="shared" si="3"/>
        <v>2.7138552945001271</v>
      </c>
    </row>
    <row r="53" spans="1:7">
      <c r="A53" s="32">
        <v>24</v>
      </c>
      <c r="B53" s="11">
        <v>1916.4</v>
      </c>
      <c r="C53" s="33">
        <f t="shared" si="0"/>
        <v>1.9164000000000001</v>
      </c>
      <c r="D53" s="11">
        <f t="shared" si="1"/>
        <v>0.13433964000000001</v>
      </c>
      <c r="E53" s="11">
        <f t="shared" si="2"/>
        <v>5.9973053571428583E-3</v>
      </c>
      <c r="F53" s="11">
        <f>E53/Calculation!K$18*1000</f>
        <v>7.7566060448491297E-3</v>
      </c>
      <c r="G53" s="11">
        <f t="shared" si="3"/>
        <v>2.9310887927971581</v>
      </c>
    </row>
    <row r="54" spans="1:7">
      <c r="A54" s="32">
        <v>24.5</v>
      </c>
      <c r="B54" s="11">
        <v>2039.16</v>
      </c>
      <c r="C54" s="33">
        <f t="shared" si="0"/>
        <v>2.0391599999999999</v>
      </c>
      <c r="D54" s="11">
        <f t="shared" si="1"/>
        <v>0.14294511599999998</v>
      </c>
      <c r="E54" s="11">
        <f t="shared" si="2"/>
        <v>6.3814783928571421E-3</v>
      </c>
      <c r="F54" s="11">
        <f>E54/Calculation!K$18*1000</f>
        <v>8.2534756743970709E-3</v>
      </c>
      <c r="G54" s="11">
        <f t="shared" si="3"/>
        <v>3.1712400185858511</v>
      </c>
    </row>
    <row r="55" spans="1:7">
      <c r="A55" s="32">
        <v>25</v>
      </c>
      <c r="B55" s="11">
        <v>2029.46</v>
      </c>
      <c r="C55" s="33">
        <f t="shared" si="0"/>
        <v>2.0294599999999998</v>
      </c>
      <c r="D55" s="11">
        <f t="shared" si="1"/>
        <v>0.14226514599999998</v>
      </c>
      <c r="E55" s="11">
        <f t="shared" si="2"/>
        <v>6.3511225892857138E-3</v>
      </c>
      <c r="F55" s="11">
        <f>E55/Calculation!K$18*1000</f>
        <v>8.2142150405862605E-3</v>
      </c>
      <c r="G55" s="11">
        <f t="shared" si="3"/>
        <v>3.418255379310601</v>
      </c>
    </row>
    <row r="56" spans="1:7">
      <c r="A56" s="32">
        <v>25.5</v>
      </c>
      <c r="B56" s="11">
        <v>2248.71</v>
      </c>
      <c r="C56" s="33">
        <f t="shared" si="0"/>
        <v>2.24871</v>
      </c>
      <c r="D56" s="11">
        <f t="shared" si="1"/>
        <v>0.157634571</v>
      </c>
      <c r="E56" s="11">
        <f t="shared" si="2"/>
        <v>7.0372576339285718E-3</v>
      </c>
      <c r="F56" s="11">
        <f>E56/Calculation!K$18*1000</f>
        <v>9.1016267893512231E-3</v>
      </c>
      <c r="G56" s="11">
        <f t="shared" si="3"/>
        <v>3.6779930067596633</v>
      </c>
    </row>
    <row r="57" spans="1:7">
      <c r="A57" s="32">
        <v>26</v>
      </c>
      <c r="B57" s="11">
        <v>2333</v>
      </c>
      <c r="C57" s="33">
        <f t="shared" si="0"/>
        <v>2.3330000000000002</v>
      </c>
      <c r="D57" s="11">
        <f t="shared" si="1"/>
        <v>0.16354329999999997</v>
      </c>
      <c r="E57" s="11">
        <f t="shared" si="2"/>
        <v>7.3010401785714276E-3</v>
      </c>
      <c r="F57" s="11">
        <f>E57/Calculation!K$18*1000</f>
        <v>9.4427895547030977E-3</v>
      </c>
      <c r="G57" s="11">
        <f t="shared" si="3"/>
        <v>3.9561592519204782</v>
      </c>
    </row>
    <row r="58" spans="1:7">
      <c r="A58" s="32">
        <v>26.5</v>
      </c>
      <c r="B58" s="11">
        <v>2376.81</v>
      </c>
      <c r="C58" s="33">
        <f t="shared" si="0"/>
        <v>2.3768099999999999</v>
      </c>
      <c r="D58" s="11">
        <f t="shared" si="1"/>
        <v>0.16661438099999998</v>
      </c>
      <c r="E58" s="11">
        <f t="shared" si="2"/>
        <v>7.4381420089285706E-3</v>
      </c>
      <c r="F58" s="11">
        <f>E58/Calculation!K$18*1000</f>
        <v>9.6201100049352183E-3</v>
      </c>
      <c r="G58" s="11">
        <f t="shared" si="3"/>
        <v>4.2421027453150533</v>
      </c>
    </row>
    <row r="59" spans="1:7">
      <c r="A59" s="32">
        <v>27</v>
      </c>
      <c r="B59" s="11">
        <v>2412.4299999999998</v>
      </c>
      <c r="C59" s="33">
        <f t="shared" si="0"/>
        <v>2.4124299999999996</v>
      </c>
      <c r="D59" s="11">
        <f t="shared" si="1"/>
        <v>0.16911134299999997</v>
      </c>
      <c r="E59" s="11">
        <f t="shared" si="2"/>
        <v>7.5496135267857133E-3</v>
      </c>
      <c r="F59" s="11">
        <f>E59/Calculation!K$18*1000</f>
        <v>9.7642815282693481E-3</v>
      </c>
      <c r="G59" s="11">
        <f t="shared" si="3"/>
        <v>4.5328686183131222</v>
      </c>
    </row>
    <row r="60" spans="1:7">
      <c r="A60" s="32">
        <v>27.5</v>
      </c>
      <c r="B60" s="11">
        <v>2465.62</v>
      </c>
      <c r="C60" s="33">
        <f t="shared" si="0"/>
        <v>2.4656199999999999</v>
      </c>
      <c r="D60" s="11">
        <f t="shared" si="1"/>
        <v>0.17283996199999999</v>
      </c>
      <c r="E60" s="11">
        <f t="shared" si="2"/>
        <v>7.7160697321428566E-3</v>
      </c>
      <c r="F60" s="11">
        <f>E60/Calculation!K$18*1000</f>
        <v>9.9795674161453282E-3</v>
      </c>
      <c r="G60" s="11">
        <f t="shared" si="3"/>
        <v>4.8290263524793424</v>
      </c>
    </row>
    <row r="61" spans="1:7">
      <c r="A61" s="32">
        <v>28</v>
      </c>
      <c r="B61" s="11">
        <v>2472.81</v>
      </c>
      <c r="C61" s="33">
        <f t="shared" si="0"/>
        <v>2.47281</v>
      </c>
      <c r="D61" s="11">
        <f t="shared" si="1"/>
        <v>0.17334398099999998</v>
      </c>
      <c r="E61" s="11">
        <f t="shared" si="2"/>
        <v>7.7385705803571427E-3</v>
      </c>
      <c r="F61" s="11">
        <f>E61/Calculation!K$18*1000</f>
        <v>1.000866885502159E-2</v>
      </c>
      <c r="G61" s="11">
        <f t="shared" si="3"/>
        <v>5.1288498965468463</v>
      </c>
    </row>
    <row r="62" spans="1:7">
      <c r="A62" s="32">
        <v>28.5</v>
      </c>
      <c r="B62" s="11">
        <v>2415.44</v>
      </c>
      <c r="C62" s="33">
        <f t="shared" si="0"/>
        <v>2.4154400000000003</v>
      </c>
      <c r="D62" s="11">
        <f t="shared" si="1"/>
        <v>0.16932234400000001</v>
      </c>
      <c r="E62" s="11">
        <f t="shared" si="2"/>
        <v>7.5590332142857156E-3</v>
      </c>
      <c r="F62" s="11">
        <f>E62/Calculation!K$18*1000</f>
        <v>9.7764644672147672E-3</v>
      </c>
      <c r="G62" s="11">
        <f t="shared" si="3"/>
        <v>5.4256268963803915</v>
      </c>
    </row>
    <row r="63" spans="1:7">
      <c r="A63" s="32">
        <v>29</v>
      </c>
      <c r="B63" s="11">
        <v>2377.31</v>
      </c>
      <c r="C63" s="33">
        <f t="shared" si="0"/>
        <v>2.37731</v>
      </c>
      <c r="D63" s="11">
        <f t="shared" si="1"/>
        <v>0.16664943099999999</v>
      </c>
      <c r="E63" s="11">
        <f t="shared" si="2"/>
        <v>7.4397067410714281E-3</v>
      </c>
      <c r="F63" s="11">
        <f>E63/Calculation!K$18*1000</f>
        <v>9.6221337489460872E-3</v>
      </c>
      <c r="G63" s="11">
        <f t="shared" si="3"/>
        <v>5.7166058696228044</v>
      </c>
    </row>
    <row r="64" spans="1:7">
      <c r="A64" s="32">
        <v>29.5</v>
      </c>
      <c r="B64" s="11">
        <v>2337.0100000000002</v>
      </c>
      <c r="C64" s="33">
        <f t="shared" si="0"/>
        <v>2.3370100000000003</v>
      </c>
      <c r="D64" s="11">
        <f t="shared" si="1"/>
        <v>0.16382440099999998</v>
      </c>
      <c r="E64" s="11">
        <f t="shared" si="2"/>
        <v>7.3135893303571424E-3</v>
      </c>
      <c r="F64" s="11">
        <f>E64/Calculation!K$18*1000</f>
        <v>9.4590199816702459E-3</v>
      </c>
      <c r="G64" s="11">
        <f t="shared" si="3"/>
        <v>6.0028231755820496</v>
      </c>
    </row>
    <row r="65" spans="1:7">
      <c r="A65" s="32">
        <v>30</v>
      </c>
      <c r="B65" s="11">
        <v>2321.96</v>
      </c>
      <c r="C65" s="33">
        <f t="shared" si="0"/>
        <v>2.3219600000000002</v>
      </c>
      <c r="D65" s="11">
        <f t="shared" si="1"/>
        <v>0.16276939599999998</v>
      </c>
      <c r="E65" s="11">
        <f t="shared" si="2"/>
        <v>7.2664908928571428E-3</v>
      </c>
      <c r="F65" s="11">
        <f>E65/Calculation!K$19*1000</f>
        <v>1.0068477680524846E-2</v>
      </c>
      <c r="G65" s="11">
        <f t="shared" si="3"/>
        <v>6.2957356405149758</v>
      </c>
    </row>
    <row r="66" spans="1:7">
      <c r="A66" s="32">
        <v>30.5</v>
      </c>
      <c r="B66" s="11">
        <v>2287.67</v>
      </c>
      <c r="C66" s="33">
        <f t="shared" si="0"/>
        <v>2.2876699999999999</v>
      </c>
      <c r="D66" s="11">
        <f t="shared" si="1"/>
        <v>0.16036566699999999</v>
      </c>
      <c r="E66" s="11">
        <f t="shared" si="2"/>
        <v>7.1591815625000003E-3</v>
      </c>
      <c r="F66" s="11">
        <f>E66/Calculation!K$19*1000</f>
        <v>9.9197894603723896E-3</v>
      </c>
      <c r="G66" s="11">
        <f t="shared" si="3"/>
        <v>6.5955596476284342</v>
      </c>
    </row>
    <row r="67" spans="1:7">
      <c r="A67" s="32">
        <v>31</v>
      </c>
      <c r="B67" s="11">
        <v>2168.1</v>
      </c>
      <c r="C67" s="33">
        <f t="shared" si="0"/>
        <v>2.1680999999999999</v>
      </c>
      <c r="D67" s="11">
        <f t="shared" si="1"/>
        <v>0.15198381</v>
      </c>
      <c r="E67" s="11">
        <f t="shared" si="2"/>
        <v>6.7849915178571432E-3</v>
      </c>
      <c r="F67" s="11">
        <f>E67/Calculation!K$19*1000</f>
        <v>9.4013102978285235E-3</v>
      </c>
      <c r="G67" s="11">
        <f t="shared" si="3"/>
        <v>6.885376144001448</v>
      </c>
    </row>
    <row r="68" spans="1:7">
      <c r="A68" s="32">
        <v>31.5</v>
      </c>
      <c r="B68" s="11">
        <v>2038.65</v>
      </c>
      <c r="C68" s="33">
        <f t="shared" si="0"/>
        <v>2.0386500000000001</v>
      </c>
      <c r="D68" s="11">
        <f t="shared" si="1"/>
        <v>0.14290936499999998</v>
      </c>
      <c r="E68" s="11">
        <f t="shared" si="2"/>
        <v>6.3798823660714283E-3</v>
      </c>
      <c r="F68" s="11">
        <f>E68/Calculation!K$19*1000</f>
        <v>8.8399895017149191E-3</v>
      </c>
      <c r="G68" s="11">
        <f t="shared" si="3"/>
        <v>7.1589956409945996</v>
      </c>
    </row>
    <row r="69" spans="1:7">
      <c r="A69" s="32">
        <v>32</v>
      </c>
      <c r="B69" s="11">
        <v>1912.72</v>
      </c>
      <c r="C69" s="33">
        <f t="shared" si="0"/>
        <v>1.91272</v>
      </c>
      <c r="D69" s="11">
        <f t="shared" si="1"/>
        <v>0.13408167199999999</v>
      </c>
      <c r="E69" s="11">
        <f t="shared" si="2"/>
        <v>5.9857889285714286E-3</v>
      </c>
      <c r="F69" s="11">
        <f>E69/Calculation!K$19*1000</f>
        <v>8.293932121609969E-3</v>
      </c>
      <c r="G69" s="11">
        <f t="shared" si="3"/>
        <v>7.4160044653444732</v>
      </c>
    </row>
    <row r="70" spans="1:7">
      <c r="A70" s="32">
        <v>32.5</v>
      </c>
      <c r="B70" s="11">
        <v>1802.34</v>
      </c>
      <c r="C70" s="33">
        <f t="shared" ref="C70:C101" si="4">B70/1000</f>
        <v>1.8023399999999998</v>
      </c>
      <c r="D70" s="11">
        <f t="shared" ref="D70:D101" si="5">C70/1000*$B$1</f>
        <v>0.12634403399999999</v>
      </c>
      <c r="E70" s="11">
        <f t="shared" ref="E70:E101" si="6">D70/22.4</f>
        <v>5.6403586607142861E-3</v>
      </c>
      <c r="F70" s="11">
        <f>E70/Calculation!K$19*1000</f>
        <v>7.8153026162023249E-3</v>
      </c>
      <c r="G70" s="11">
        <f t="shared" si="3"/>
        <v>7.6576429864116573</v>
      </c>
    </row>
    <row r="71" spans="1:7">
      <c r="A71" s="32">
        <v>33</v>
      </c>
      <c r="B71" s="11">
        <v>1571.22</v>
      </c>
      <c r="C71" s="33">
        <f t="shared" si="4"/>
        <v>1.5712200000000001</v>
      </c>
      <c r="D71" s="11">
        <f t="shared" si="5"/>
        <v>0.11014252200000001</v>
      </c>
      <c r="E71" s="11">
        <f t="shared" si="6"/>
        <v>4.9170768750000007E-3</v>
      </c>
      <c r="F71" s="11">
        <f>E71/Calculation!K$19*1000</f>
        <v>6.8131205969070305E-3</v>
      </c>
      <c r="G71" s="11">
        <f t="shared" ref="G71:G101" si="7">G70+(F71+F70)/2*30</f>
        <v>7.8770693346082972</v>
      </c>
    </row>
    <row r="72" spans="1:7">
      <c r="A72" s="32">
        <v>33.5</v>
      </c>
      <c r="B72" s="11">
        <v>1554.83</v>
      </c>
      <c r="C72" s="33">
        <f t="shared" si="4"/>
        <v>1.5548299999999999</v>
      </c>
      <c r="D72" s="11">
        <f t="shared" si="5"/>
        <v>0.10899358299999998</v>
      </c>
      <c r="E72" s="11">
        <f t="shared" si="6"/>
        <v>4.8657849553571421E-3</v>
      </c>
      <c r="F72" s="11">
        <f>E72/Calculation!K$19*1000</f>
        <v>6.7420503161167477E-3</v>
      </c>
      <c r="G72" s="11">
        <f t="shared" si="7"/>
        <v>8.080396898303654</v>
      </c>
    </row>
    <row r="73" spans="1:7">
      <c r="A73" s="32">
        <v>34</v>
      </c>
      <c r="B73" s="11">
        <v>1425.22</v>
      </c>
      <c r="C73" s="33">
        <f t="shared" si="4"/>
        <v>1.4252199999999999</v>
      </c>
      <c r="D73" s="11">
        <f t="shared" si="5"/>
        <v>9.9907921999999982E-2</v>
      </c>
      <c r="E73" s="11">
        <f t="shared" si="6"/>
        <v>4.4601750892857136E-3</v>
      </c>
      <c r="F73" s="11">
        <f>E73/Calculation!K$19*1000</f>
        <v>6.1800357283663876E-3</v>
      </c>
      <c r="G73" s="11">
        <f t="shared" si="7"/>
        <v>8.274228188970902</v>
      </c>
    </row>
    <row r="74" spans="1:7">
      <c r="A74" s="32">
        <v>34.5</v>
      </c>
      <c r="B74" s="11">
        <v>1289.08</v>
      </c>
      <c r="C74" s="33">
        <f t="shared" si="4"/>
        <v>1.28908</v>
      </c>
      <c r="D74" s="11">
        <f t="shared" si="5"/>
        <v>9.0364507999999996E-2</v>
      </c>
      <c r="E74" s="11">
        <f t="shared" si="6"/>
        <v>4.0341298214285719E-3</v>
      </c>
      <c r="F74" s="11">
        <f>E74/Calculation!K$19*1000</f>
        <v>5.5897057694408898E-3</v>
      </c>
      <c r="G74" s="11">
        <f t="shared" si="7"/>
        <v>8.4507743114380105</v>
      </c>
    </row>
    <row r="75" spans="1:7">
      <c r="A75" s="32">
        <v>35</v>
      </c>
      <c r="B75" s="11">
        <v>1044.08</v>
      </c>
      <c r="C75" s="33">
        <f t="shared" si="4"/>
        <v>1.0440799999999999</v>
      </c>
      <c r="D75" s="11">
        <f t="shared" si="5"/>
        <v>7.3190007999999987E-2</v>
      </c>
      <c r="E75" s="11">
        <f t="shared" si="6"/>
        <v>3.267411071428571E-3</v>
      </c>
      <c r="F75" s="11">
        <f>E75/Calculation!K$19*1000</f>
        <v>4.5273373256569356E-3</v>
      </c>
      <c r="G75" s="11">
        <f t="shared" si="7"/>
        <v>8.602529957864478</v>
      </c>
    </row>
    <row r="76" spans="1:7">
      <c r="A76" s="32">
        <v>35.5</v>
      </c>
      <c r="B76" s="11">
        <v>961.46</v>
      </c>
      <c r="C76" s="33">
        <f t="shared" si="4"/>
        <v>0.96145999999999998</v>
      </c>
      <c r="D76" s="11">
        <f t="shared" si="5"/>
        <v>6.7398345999999998E-2</v>
      </c>
      <c r="E76" s="11">
        <f t="shared" si="6"/>
        <v>3.0088547321428572E-3</v>
      </c>
      <c r="F76" s="11">
        <f>E76/Calculation!K$19*1000</f>
        <v>4.1690806692266085E-3</v>
      </c>
      <c r="G76" s="11">
        <f t="shared" si="7"/>
        <v>8.7329762277877307</v>
      </c>
    </row>
    <row r="77" spans="1:7">
      <c r="A77" s="32">
        <v>36</v>
      </c>
      <c r="B77" s="11">
        <v>815.96</v>
      </c>
      <c r="C77" s="33">
        <f t="shared" si="4"/>
        <v>0.81596000000000002</v>
      </c>
      <c r="D77" s="11">
        <f t="shared" si="5"/>
        <v>5.7198795999999996E-2</v>
      </c>
      <c r="E77" s="11">
        <f t="shared" si="6"/>
        <v>2.5535176785714286E-3</v>
      </c>
      <c r="F77" s="11">
        <f>E77/Calculation!K$19*1000</f>
        <v>3.5381638995508331E-3</v>
      </c>
      <c r="G77" s="11">
        <f t="shared" si="7"/>
        <v>8.8485848963193927</v>
      </c>
    </row>
    <row r="78" spans="1:7">
      <c r="A78" s="32">
        <v>36.5</v>
      </c>
      <c r="B78" s="11">
        <v>699.9</v>
      </c>
      <c r="C78" s="33">
        <f t="shared" si="4"/>
        <v>0.69989999999999997</v>
      </c>
      <c r="D78" s="11">
        <f t="shared" si="5"/>
        <v>4.9062989999999994E-2</v>
      </c>
      <c r="E78" s="11">
        <f t="shared" si="6"/>
        <v>2.1903120535714284E-3</v>
      </c>
      <c r="F78" s="11">
        <f>E78/Calculation!K$19*1000</f>
        <v>3.0349047910383201E-3</v>
      </c>
      <c r="G78" s="11">
        <f t="shared" si="7"/>
        <v>8.9471809266782305</v>
      </c>
    </row>
    <row r="79" spans="1:7">
      <c r="A79" s="32">
        <v>37</v>
      </c>
      <c r="B79" s="11">
        <v>593.37</v>
      </c>
      <c r="C79" s="33">
        <f t="shared" si="4"/>
        <v>0.59336999999999995</v>
      </c>
      <c r="D79" s="11">
        <f t="shared" si="5"/>
        <v>4.1595236999999993E-2</v>
      </c>
      <c r="E79" s="11">
        <f t="shared" si="6"/>
        <v>1.8569302232142855E-3</v>
      </c>
      <c r="F79" s="11">
        <f>E79/Calculation!K$19*1000</f>
        <v>2.5729696468901387E-3</v>
      </c>
      <c r="G79" s="11">
        <f t="shared" si="7"/>
        <v>9.0312990432471576</v>
      </c>
    </row>
    <row r="80" spans="1:7">
      <c r="A80" s="32">
        <v>37.5</v>
      </c>
      <c r="B80" s="11">
        <v>513.09</v>
      </c>
      <c r="C80" s="33">
        <f t="shared" si="4"/>
        <v>0.51309000000000005</v>
      </c>
      <c r="D80" s="11">
        <f t="shared" si="5"/>
        <v>3.5967608999999998E-2</v>
      </c>
      <c r="E80" s="11">
        <f t="shared" si="6"/>
        <v>1.6056968303571428E-3</v>
      </c>
      <c r="F80" s="11">
        <f>E80/Calculation!K$19*1000</f>
        <v>2.2248596931473811E-3</v>
      </c>
      <c r="G80" s="11">
        <f t="shared" si="7"/>
        <v>9.1032664833477206</v>
      </c>
    </row>
    <row r="81" spans="1:7">
      <c r="A81" s="32">
        <v>38</v>
      </c>
      <c r="B81" s="11">
        <v>456.06</v>
      </c>
      <c r="C81" s="33">
        <f t="shared" si="4"/>
        <v>0.45606000000000002</v>
      </c>
      <c r="D81" s="11">
        <f t="shared" si="5"/>
        <v>3.1969805999999996E-2</v>
      </c>
      <c r="E81" s="11">
        <f t="shared" si="6"/>
        <v>1.4272234821428571E-3</v>
      </c>
      <c r="F81" s="11">
        <f>E81/Calculation!K$19*1000</f>
        <v>1.9775663366208549E-3</v>
      </c>
      <c r="G81" s="11">
        <f t="shared" si="7"/>
        <v>9.166302873794244</v>
      </c>
    </row>
    <row r="82" spans="1:7">
      <c r="A82" s="32">
        <v>38.5</v>
      </c>
      <c r="B82" s="11">
        <v>398.7</v>
      </c>
      <c r="C82" s="33">
        <f t="shared" si="4"/>
        <v>0.3987</v>
      </c>
      <c r="D82" s="11">
        <f t="shared" si="5"/>
        <v>2.7948869999999997E-2</v>
      </c>
      <c r="E82" s="11">
        <f t="shared" si="6"/>
        <v>1.2477174107142857E-3</v>
      </c>
      <c r="F82" s="11">
        <f>E82/Calculation!K$19*1000</f>
        <v>1.7288420348435182E-3</v>
      </c>
      <c r="G82" s="11">
        <f t="shared" si="7"/>
        <v>9.2218989993662088</v>
      </c>
    </row>
    <row r="83" spans="1:7">
      <c r="A83" s="32">
        <v>39</v>
      </c>
      <c r="B83" s="11">
        <v>351.04</v>
      </c>
      <c r="C83" s="33">
        <f t="shared" si="4"/>
        <v>0.35104000000000002</v>
      </c>
      <c r="D83" s="11">
        <f t="shared" si="5"/>
        <v>2.4607903999999996E-2</v>
      </c>
      <c r="E83" s="11">
        <f t="shared" si="6"/>
        <v>1.0985671428571427E-3</v>
      </c>
      <c r="F83" s="11">
        <f>E83/Calculation!K$19*1000</f>
        <v>1.5221788510445663E-3</v>
      </c>
      <c r="G83" s="11">
        <f t="shared" si="7"/>
        <v>9.2706643126545298</v>
      </c>
    </row>
    <row r="84" spans="1:7">
      <c r="A84" s="32">
        <v>39.5</v>
      </c>
      <c r="B84" s="11">
        <v>327.45999999999998</v>
      </c>
      <c r="C84" s="33">
        <f t="shared" si="4"/>
        <v>0.32745999999999997</v>
      </c>
      <c r="D84" s="11">
        <f t="shared" si="5"/>
        <v>2.2954945999999997E-2</v>
      </c>
      <c r="E84" s="11">
        <f t="shared" si="6"/>
        <v>1.024774375E-3</v>
      </c>
      <c r="F84" s="11">
        <f>E84/Calculation!K$19*1000</f>
        <v>1.4199313085775233E-3</v>
      </c>
      <c r="G84" s="11">
        <f t="shared" si="7"/>
        <v>9.3147959650488605</v>
      </c>
    </row>
    <row r="85" spans="1:7">
      <c r="A85" s="32">
        <v>40</v>
      </c>
      <c r="B85" s="11">
        <v>306.55</v>
      </c>
      <c r="C85" s="33">
        <f t="shared" si="4"/>
        <v>0.30654999999999999</v>
      </c>
      <c r="D85" s="11">
        <f t="shared" si="5"/>
        <v>2.1489154999999999E-2</v>
      </c>
      <c r="E85" s="11">
        <f t="shared" si="6"/>
        <v>9.5933727678571435E-4</v>
      </c>
      <c r="F85" s="11">
        <f>E85/Calculation!K$19*1000</f>
        <v>1.3292614140488601E-3</v>
      </c>
      <c r="G85" s="11">
        <f t="shared" si="7"/>
        <v>9.3560338558882563</v>
      </c>
    </row>
    <row r="86" spans="1:7">
      <c r="A86" s="32">
        <v>40.5</v>
      </c>
      <c r="B86" s="11">
        <v>292</v>
      </c>
      <c r="C86" s="33">
        <f t="shared" si="4"/>
        <v>0.29199999999999998</v>
      </c>
      <c r="D86" s="11">
        <f t="shared" si="5"/>
        <v>2.0469199999999996E-2</v>
      </c>
      <c r="E86" s="11">
        <f t="shared" si="6"/>
        <v>9.1380357142857138E-4</v>
      </c>
      <c r="F86" s="11">
        <f>E86/Calculation!K$19*1000</f>
        <v>1.2661697370812824E-3</v>
      </c>
      <c r="G86" s="11">
        <f t="shared" si="7"/>
        <v>9.3949653231552084</v>
      </c>
    </row>
    <row r="87" spans="1:7">
      <c r="A87" s="32">
        <v>41</v>
      </c>
      <c r="B87" s="11">
        <v>302.54000000000002</v>
      </c>
      <c r="C87" s="33">
        <f t="shared" si="4"/>
        <v>0.30254000000000003</v>
      </c>
      <c r="D87" s="11">
        <f t="shared" si="5"/>
        <v>2.1208054E-2</v>
      </c>
      <c r="E87" s="11">
        <f t="shared" si="6"/>
        <v>9.467881250000001E-4</v>
      </c>
      <c r="F87" s="11">
        <f>E87/Calculation!K$19*1000</f>
        <v>1.3118732611526413E-3</v>
      </c>
      <c r="G87" s="11">
        <f t="shared" si="7"/>
        <v>9.4336359681287174</v>
      </c>
    </row>
    <row r="88" spans="1:7">
      <c r="A88" s="32">
        <v>41.5</v>
      </c>
      <c r="B88" s="11">
        <v>292.5</v>
      </c>
      <c r="C88" s="33">
        <f t="shared" si="4"/>
        <v>0.29249999999999998</v>
      </c>
      <c r="D88" s="11">
        <f t="shared" si="5"/>
        <v>2.0504249999999998E-2</v>
      </c>
      <c r="E88" s="11">
        <f t="shared" si="6"/>
        <v>9.1536830357142858E-4</v>
      </c>
      <c r="F88" s="11">
        <f>E88/Calculation!K$19*1000</f>
        <v>1.2683378359461478E-3</v>
      </c>
      <c r="G88" s="11">
        <f t="shared" si="7"/>
        <v>9.4723391345851997</v>
      </c>
    </row>
    <row r="89" spans="1:7">
      <c r="A89" s="32">
        <v>42</v>
      </c>
      <c r="B89" s="11">
        <v>268.75</v>
      </c>
      <c r="C89" s="33">
        <f t="shared" si="4"/>
        <v>0.26874999999999999</v>
      </c>
      <c r="D89" s="11">
        <f t="shared" si="5"/>
        <v>1.8839374999999998E-2</v>
      </c>
      <c r="E89" s="11">
        <f t="shared" si="6"/>
        <v>8.4104352678571431E-4</v>
      </c>
      <c r="F89" s="11">
        <f>E89/Calculation!K$19*1000</f>
        <v>1.1653531398650501E-3</v>
      </c>
      <c r="G89" s="11">
        <f t="shared" si="7"/>
        <v>9.5088444992223682</v>
      </c>
    </row>
    <row r="90" spans="1:7">
      <c r="A90" s="32">
        <v>42.5</v>
      </c>
      <c r="B90" s="11">
        <v>254.71</v>
      </c>
      <c r="C90" s="33">
        <f t="shared" si="4"/>
        <v>0.25470999999999999</v>
      </c>
      <c r="D90" s="11">
        <f t="shared" si="5"/>
        <v>1.7855171E-2</v>
      </c>
      <c r="E90" s="11">
        <f t="shared" si="6"/>
        <v>7.9710584821428569E-4</v>
      </c>
      <c r="F90" s="11">
        <f>E90/Calculation!K$19*1000</f>
        <v>1.1044729237396351E-3</v>
      </c>
      <c r="G90" s="11">
        <f t="shared" si="7"/>
        <v>9.5428918901764384</v>
      </c>
    </row>
    <row r="91" spans="1:7">
      <c r="A91" s="32">
        <v>43</v>
      </c>
      <c r="B91" s="11">
        <v>248.69</v>
      </c>
      <c r="C91" s="33">
        <f t="shared" si="4"/>
        <v>0.24868999999999999</v>
      </c>
      <c r="D91" s="11">
        <f t="shared" si="5"/>
        <v>1.7433168999999998E-2</v>
      </c>
      <c r="E91" s="11">
        <f t="shared" si="6"/>
        <v>7.7826647321428569E-4</v>
      </c>
      <c r="F91" s="11">
        <f>E91/Calculation!K$19*1000</f>
        <v>1.078369013406658E-3</v>
      </c>
      <c r="G91" s="11">
        <f t="shared" si="7"/>
        <v>9.575634519233633</v>
      </c>
    </row>
    <row r="92" spans="1:7">
      <c r="A92" s="32">
        <v>43.5</v>
      </c>
      <c r="B92" s="11">
        <v>242.16</v>
      </c>
      <c r="C92" s="33">
        <f t="shared" si="4"/>
        <v>0.24215999999999999</v>
      </c>
      <c r="D92" s="11">
        <f t="shared" si="5"/>
        <v>1.6975416E-2</v>
      </c>
      <c r="E92" s="11">
        <f t="shared" si="6"/>
        <v>7.5783107142857143E-4</v>
      </c>
      <c r="F92" s="11">
        <f>E92/Calculation!K$19*1000</f>
        <v>1.0500536422315184E-3</v>
      </c>
      <c r="G92" s="11">
        <f t="shared" si="7"/>
        <v>9.6075608590682062</v>
      </c>
    </row>
    <row r="93" spans="1:7">
      <c r="A93" s="32">
        <v>44</v>
      </c>
      <c r="B93" s="11">
        <v>235.98</v>
      </c>
      <c r="C93" s="33">
        <f t="shared" si="4"/>
        <v>0.23598</v>
      </c>
      <c r="D93" s="11">
        <f t="shared" si="5"/>
        <v>1.6542197999999998E-2</v>
      </c>
      <c r="E93" s="11">
        <f t="shared" si="6"/>
        <v>7.3849098214285713E-4</v>
      </c>
      <c r="F93" s="11">
        <f>E93/Calculation!K$19*1000</f>
        <v>1.0232559402617845E-3</v>
      </c>
      <c r="G93" s="11">
        <f t="shared" si="7"/>
        <v>9.6386605028056049</v>
      </c>
    </row>
    <row r="94" spans="1:7">
      <c r="A94" s="32">
        <v>44.5</v>
      </c>
      <c r="B94" s="11">
        <v>227.11</v>
      </c>
      <c r="C94" s="33">
        <f t="shared" si="4"/>
        <v>0.22711000000000001</v>
      </c>
      <c r="D94" s="11">
        <f t="shared" si="5"/>
        <v>1.5920410999999999E-2</v>
      </c>
      <c r="E94" s="11">
        <f t="shared" si="6"/>
        <v>7.1073263392857147E-4</v>
      </c>
      <c r="F94" s="11">
        <f>E94/Calculation!K$19*1000</f>
        <v>9.8479386639907561E-4</v>
      </c>
      <c r="G94" s="11">
        <f t="shared" si="7"/>
        <v>9.6687812499055177</v>
      </c>
    </row>
    <row r="95" spans="1:7">
      <c r="A95" s="32">
        <v>45</v>
      </c>
      <c r="B95" s="11">
        <v>224.1</v>
      </c>
      <c r="C95" s="33">
        <f t="shared" si="4"/>
        <v>0.22409999999999999</v>
      </c>
      <c r="D95" s="11">
        <f t="shared" si="5"/>
        <v>1.570941E-2</v>
      </c>
      <c r="E95" s="11">
        <f t="shared" si="6"/>
        <v>7.0131294642857152E-4</v>
      </c>
      <c r="F95" s="11">
        <f>E95/Calculation!K$19*1000</f>
        <v>9.7174191123258725E-4</v>
      </c>
      <c r="G95" s="11">
        <f t="shared" si="7"/>
        <v>9.6981292865699924</v>
      </c>
    </row>
    <row r="96" spans="1:7">
      <c r="A96" s="32">
        <v>45.5</v>
      </c>
      <c r="B96" s="11">
        <v>214.9</v>
      </c>
      <c r="C96" s="33">
        <f t="shared" si="4"/>
        <v>0.21490000000000001</v>
      </c>
      <c r="D96" s="11">
        <f t="shared" si="5"/>
        <v>1.506449E-2</v>
      </c>
      <c r="E96" s="11">
        <f t="shared" si="6"/>
        <v>6.7252187500000001E-4</v>
      </c>
      <c r="F96" s="11">
        <f>E96/Calculation!K$19*1000</f>
        <v>9.3184889211906719E-4</v>
      </c>
      <c r="G96" s="11">
        <f t="shared" si="7"/>
        <v>9.7266831486202676</v>
      </c>
    </row>
    <row r="97" spans="1:7">
      <c r="A97" s="32">
        <v>46</v>
      </c>
      <c r="B97" s="11">
        <v>214.4</v>
      </c>
      <c r="C97" s="33">
        <f t="shared" si="4"/>
        <v>0.21440000000000001</v>
      </c>
      <c r="D97" s="11">
        <f t="shared" si="5"/>
        <v>1.502944E-2</v>
      </c>
      <c r="E97" s="11">
        <f t="shared" si="6"/>
        <v>6.7095714285714291E-4</v>
      </c>
      <c r="F97" s="11">
        <f>E97/Calculation!K$19*1000</f>
        <v>9.2968079325420202E-4</v>
      </c>
      <c r="G97" s="11">
        <f t="shared" si="7"/>
        <v>9.7546060939008665</v>
      </c>
    </row>
    <row r="98" spans="1:7">
      <c r="A98" s="32">
        <v>46.5</v>
      </c>
      <c r="B98" s="11">
        <v>211.56</v>
      </c>
      <c r="C98" s="33">
        <f t="shared" si="4"/>
        <v>0.21156</v>
      </c>
      <c r="D98" s="11">
        <f t="shared" si="5"/>
        <v>1.4830355999999998E-2</v>
      </c>
      <c r="E98" s="11">
        <f t="shared" si="6"/>
        <v>6.620694642857142E-4</v>
      </c>
      <c r="F98" s="11">
        <f>E98/Calculation!K$19*1000</f>
        <v>9.1736599170176743E-4</v>
      </c>
      <c r="G98" s="11">
        <f t="shared" si="7"/>
        <v>9.7823117956752057</v>
      </c>
    </row>
    <row r="99" spans="1:7">
      <c r="A99" s="32">
        <v>47</v>
      </c>
      <c r="B99" s="11">
        <v>204.37</v>
      </c>
      <c r="C99" s="33">
        <f t="shared" si="4"/>
        <v>0.20437</v>
      </c>
      <c r="D99" s="11">
        <f t="shared" si="5"/>
        <v>1.4326336999999998E-2</v>
      </c>
      <c r="E99" s="11">
        <f t="shared" si="6"/>
        <v>6.3956861607142854E-4</v>
      </c>
      <c r="F99" s="11">
        <f>E99/Calculation!K$19*1000</f>
        <v>8.8618873002500583E-4</v>
      </c>
      <c r="G99" s="11">
        <f t="shared" si="7"/>
        <v>9.8093651165011071</v>
      </c>
    </row>
    <row r="100" spans="1:7">
      <c r="A100" s="32">
        <v>47.5</v>
      </c>
      <c r="B100" s="11">
        <v>192.83</v>
      </c>
      <c r="C100" s="33">
        <f t="shared" si="4"/>
        <v>0.19283</v>
      </c>
      <c r="D100" s="11">
        <f t="shared" si="5"/>
        <v>1.3517382999999999E-2</v>
      </c>
      <c r="E100" s="11">
        <f t="shared" si="6"/>
        <v>6.0345459821428574E-4</v>
      </c>
      <c r="F100" s="11">
        <f>E100/Calculation!K$19*1000</f>
        <v>8.3614900822391678E-4</v>
      </c>
      <c r="G100" s="11">
        <f t="shared" si="7"/>
        <v>9.835200182574841</v>
      </c>
    </row>
    <row r="101" spans="1:7">
      <c r="A101" s="32">
        <v>48</v>
      </c>
      <c r="B101" s="11">
        <v>188.81</v>
      </c>
      <c r="C101" s="33">
        <f t="shared" si="4"/>
        <v>0.18881000000000001</v>
      </c>
      <c r="D101" s="11">
        <f t="shared" si="5"/>
        <v>1.3235581E-2</v>
      </c>
      <c r="E101" s="11">
        <f t="shared" si="6"/>
        <v>5.9087415178571434E-4</v>
      </c>
      <c r="F101" s="11">
        <f>E101/Calculation!K$20*1000</f>
        <v>8.4998393227608772E-4</v>
      </c>
      <c r="G101" s="11">
        <f t="shared" si="7"/>
        <v>9.8604921766823406</v>
      </c>
    </row>
    <row r="102" spans="1:7">
      <c r="A102" s="32">
        <v>48.5</v>
      </c>
      <c r="B102" s="11">
        <v>193.5</v>
      </c>
      <c r="C102" s="33">
        <f t="shared" ref="C102:C109" si="8">B102/1000</f>
        <v>0.19350000000000001</v>
      </c>
      <c r="D102" s="11">
        <f t="shared" ref="D102:D109" si="9">C102/1000*$B$1</f>
        <v>1.3564349999999999E-2</v>
      </c>
      <c r="E102" s="11">
        <f t="shared" ref="E102:E109" si="10">D102/22.4</f>
        <v>6.0555133928571429E-4</v>
      </c>
      <c r="F102" s="11">
        <f>E102/Calculation!K$20*1000</f>
        <v>8.7109735128130378E-4</v>
      </c>
      <c r="G102" s="11">
        <f t="shared" ref="G102:G109" si="11">G101+(F102+F101)/2*30</f>
        <v>9.8863083959357017</v>
      </c>
    </row>
    <row r="103" spans="1:7">
      <c r="A103" s="32">
        <v>49</v>
      </c>
      <c r="B103" s="11">
        <v>185.13</v>
      </c>
      <c r="C103" s="33">
        <f t="shared" si="8"/>
        <v>0.18512999999999999</v>
      </c>
      <c r="D103" s="11">
        <f t="shared" si="9"/>
        <v>1.2977612999999997E-2</v>
      </c>
      <c r="E103" s="11">
        <f t="shared" si="10"/>
        <v>5.7935772321428562E-4</v>
      </c>
      <c r="F103" s="11">
        <f>E103/Calculation!K$20*1000</f>
        <v>8.3341732631890303E-4</v>
      </c>
      <c r="G103" s="11">
        <f t="shared" si="11"/>
        <v>9.9118761160997053</v>
      </c>
    </row>
    <row r="104" spans="1:7">
      <c r="A104" s="32">
        <v>49.5</v>
      </c>
      <c r="B104" s="11">
        <v>185.64</v>
      </c>
      <c r="C104" s="33">
        <f t="shared" si="8"/>
        <v>0.18564</v>
      </c>
      <c r="D104" s="11">
        <f t="shared" si="9"/>
        <v>1.3013363999999998E-2</v>
      </c>
      <c r="E104" s="11">
        <f t="shared" si="10"/>
        <v>5.8095374999999998E-4</v>
      </c>
      <c r="F104" s="11">
        <f>E104/Calculation!K$20*1000</f>
        <v>8.3571324181840425E-4</v>
      </c>
      <c r="G104" s="11">
        <f t="shared" si="11"/>
        <v>9.9369130746217653</v>
      </c>
    </row>
    <row r="105" spans="1:7">
      <c r="A105" s="32">
        <v>50</v>
      </c>
      <c r="B105" s="11">
        <v>176.27</v>
      </c>
      <c r="C105" s="33">
        <f t="shared" si="8"/>
        <v>0.17627000000000001</v>
      </c>
      <c r="D105" s="11">
        <f t="shared" si="9"/>
        <v>1.2356527000000001E-2</v>
      </c>
      <c r="E105" s="11">
        <f t="shared" si="10"/>
        <v>5.5163066964285723E-4</v>
      </c>
      <c r="F105" s="11">
        <f>E105/Calculation!K$20*1000</f>
        <v>7.9353142175894286E-4</v>
      </c>
      <c r="G105" s="11">
        <f t="shared" si="11"/>
        <v>9.9613517445754258</v>
      </c>
    </row>
    <row r="106" spans="1:7">
      <c r="A106" s="32">
        <v>50.5</v>
      </c>
      <c r="B106" s="11">
        <v>164.4</v>
      </c>
      <c r="C106" s="33">
        <f t="shared" si="8"/>
        <v>0.16440000000000002</v>
      </c>
      <c r="D106" s="11">
        <f t="shared" si="9"/>
        <v>1.152444E-2</v>
      </c>
      <c r="E106" s="11">
        <f t="shared" si="10"/>
        <v>5.1448392857142867E-4</v>
      </c>
      <c r="F106" s="11">
        <f>E106/Calculation!K$20*1000</f>
        <v>7.4009511395682875E-4</v>
      </c>
      <c r="G106" s="11">
        <f t="shared" si="11"/>
        <v>9.984356142611162</v>
      </c>
    </row>
    <row r="107" spans="1:7">
      <c r="A107" s="32">
        <v>51</v>
      </c>
      <c r="B107" s="11">
        <v>156.87</v>
      </c>
      <c r="C107" s="33">
        <f t="shared" si="8"/>
        <v>0.15687000000000001</v>
      </c>
      <c r="D107" s="11">
        <f t="shared" si="9"/>
        <v>1.0996587E-2</v>
      </c>
      <c r="E107" s="11">
        <f t="shared" si="10"/>
        <v>4.909190625E-4</v>
      </c>
      <c r="F107" s="11">
        <f>E107/Calculation!K$20*1000</f>
        <v>7.0619659687595933E-4</v>
      </c>
      <c r="G107" s="11">
        <f t="shared" si="11"/>
        <v>10.006050518273653</v>
      </c>
    </row>
    <row r="108" spans="1:7">
      <c r="A108" s="32">
        <v>51.5</v>
      </c>
      <c r="B108" s="11">
        <v>155.03</v>
      </c>
      <c r="C108" s="33">
        <f t="shared" si="8"/>
        <v>0.15503</v>
      </c>
      <c r="D108" s="11">
        <f t="shared" si="9"/>
        <v>1.0867603E-2</v>
      </c>
      <c r="E108" s="11">
        <f t="shared" si="10"/>
        <v>4.8516084821428575E-4</v>
      </c>
      <c r="F108" s="11">
        <f>E108/Calculation!K$20*1000</f>
        <v>6.9791329389736715E-4</v>
      </c>
      <c r="G108" s="11">
        <f t="shared" si="11"/>
        <v>10.027112166635254</v>
      </c>
    </row>
    <row r="109" spans="1:7">
      <c r="A109" s="32">
        <v>52</v>
      </c>
      <c r="B109" s="11">
        <v>148.01</v>
      </c>
      <c r="C109" s="33">
        <f t="shared" si="8"/>
        <v>0.14801</v>
      </c>
      <c r="D109" s="11">
        <f t="shared" si="9"/>
        <v>1.0375501000000001E-2</v>
      </c>
      <c r="E109" s="11">
        <f t="shared" si="10"/>
        <v>4.631920089285715E-4</v>
      </c>
      <c r="F109" s="11">
        <f>E109/Calculation!K$20*1000</f>
        <v>6.6631069231599884E-4</v>
      </c>
      <c r="G109" s="11">
        <f t="shared" si="11"/>
        <v>10.047575526428455</v>
      </c>
    </row>
    <row r="110" spans="1:7">
      <c r="B110"/>
    </row>
    <row r="111" spans="1:7">
      <c r="B111"/>
    </row>
    <row r="112" spans="1:7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workbookViewId="0">
      <selection activeCell="K41" sqref="K41"/>
    </sheetView>
  </sheetViews>
  <sheetFormatPr baseColWidth="10" defaultColWidth="8.83203125" defaultRowHeight="14" x14ac:dyDescent="0"/>
  <cols>
    <col min="1" max="1" width="16.83203125" style="2" bestFit="1" customWidth="1"/>
    <col min="2" max="5" width="8.83203125" style="2"/>
    <col min="6" max="6" width="9.1640625" style="2" bestFit="1" customWidth="1"/>
    <col min="7" max="7" width="9" style="2" bestFit="1" customWidth="1"/>
    <col min="8" max="16384" width="8.83203125" style="2"/>
  </cols>
  <sheetData>
    <row r="1" spans="1:21">
      <c r="A1" s="92" t="s">
        <v>40</v>
      </c>
      <c r="B1" s="92"/>
      <c r="D1" s="103" t="s">
        <v>4</v>
      </c>
      <c r="E1" s="103" t="s">
        <v>5</v>
      </c>
      <c r="F1" s="92" t="s">
        <v>128</v>
      </c>
      <c r="G1" s="92"/>
      <c r="H1" s="92"/>
      <c r="I1" s="92"/>
      <c r="J1" s="92" t="s">
        <v>41</v>
      </c>
      <c r="K1" s="92"/>
      <c r="L1" s="92"/>
      <c r="M1" s="92"/>
      <c r="N1" s="83" t="s">
        <v>42</v>
      </c>
      <c r="O1" s="84"/>
      <c r="P1" s="84"/>
      <c r="Q1" s="85"/>
      <c r="R1" s="92" t="s">
        <v>64</v>
      </c>
      <c r="S1" s="92"/>
      <c r="T1" s="92"/>
      <c r="U1" s="92"/>
    </row>
    <row r="2" spans="1:21">
      <c r="A2" s="92" t="s">
        <v>34</v>
      </c>
      <c r="B2" s="92"/>
      <c r="D2" s="103"/>
      <c r="E2" s="103"/>
      <c r="F2" s="13" t="s">
        <v>47</v>
      </c>
      <c r="G2" s="13" t="s">
        <v>23</v>
      </c>
      <c r="H2" s="13" t="s">
        <v>47</v>
      </c>
      <c r="I2" s="13" t="s">
        <v>23</v>
      </c>
      <c r="J2" s="13" t="s">
        <v>47</v>
      </c>
      <c r="K2" s="13" t="s">
        <v>23</v>
      </c>
      <c r="L2" s="13" t="s">
        <v>47</v>
      </c>
      <c r="M2" s="13" t="s">
        <v>23</v>
      </c>
      <c r="N2" s="13" t="s">
        <v>47</v>
      </c>
      <c r="O2" s="13" t="s">
        <v>23</v>
      </c>
      <c r="P2" s="13" t="s">
        <v>47</v>
      </c>
      <c r="Q2" s="13" t="s">
        <v>23</v>
      </c>
      <c r="R2" s="13" t="s">
        <v>47</v>
      </c>
      <c r="S2" s="13" t="s">
        <v>23</v>
      </c>
      <c r="T2" s="13" t="s">
        <v>47</v>
      </c>
      <c r="U2" s="13" t="s">
        <v>23</v>
      </c>
    </row>
    <row r="3" spans="1:21">
      <c r="A3" s="92" t="s">
        <v>35</v>
      </c>
      <c r="B3" s="13" t="s">
        <v>37</v>
      </c>
      <c r="D3" s="49" t="s">
        <v>6</v>
      </c>
      <c r="E3" s="62">
        <v>-0.16666666666666666</v>
      </c>
      <c r="F3" s="62">
        <v>51.161930136175258</v>
      </c>
      <c r="G3" s="62">
        <v>3.2011707702305818</v>
      </c>
      <c r="H3" s="12">
        <f>F3*Calculation!I3/Calculation!F23</f>
        <v>51.161930136175251</v>
      </c>
      <c r="I3" s="12">
        <f>G3*Calculation!I3/Calculation!F23</f>
        <v>3.2011707702305818</v>
      </c>
      <c r="J3" s="12">
        <v>0.70307874481941979</v>
      </c>
      <c r="K3" s="12">
        <v>7.797257069902859E-2</v>
      </c>
      <c r="L3" s="12">
        <f>J3*Calculation!I3/Calculation!F23</f>
        <v>0.70307874481941979</v>
      </c>
      <c r="M3" s="12">
        <f>K3*Calculation!I3/Calculation!F23</f>
        <v>7.797257069902859E-2</v>
      </c>
      <c r="N3" s="12">
        <v>1.398834304746045</v>
      </c>
      <c r="O3" s="12">
        <v>5.7686954456915067E-2</v>
      </c>
      <c r="P3" s="12">
        <f>N3*Calculation!I3/Calculation!F23</f>
        <v>1.3988343047460448</v>
      </c>
      <c r="Q3" s="12">
        <f>O3*Calculation!I3/Calculation!F23</f>
        <v>5.7686954456915067E-2</v>
      </c>
      <c r="R3" s="12">
        <v>0</v>
      </c>
      <c r="S3" s="12">
        <v>0</v>
      </c>
      <c r="T3" s="12">
        <f>R3*Calculation!I3/Calculation!F23</f>
        <v>0</v>
      </c>
      <c r="U3" s="12">
        <f>S3*Calculation!I3/Calculation!F23</f>
        <v>0</v>
      </c>
    </row>
    <row r="4" spans="1:21">
      <c r="A4" s="92"/>
      <c r="B4" s="13" t="s">
        <v>38</v>
      </c>
      <c r="D4" s="51">
        <v>0</v>
      </c>
      <c r="E4" s="62">
        <v>0.16666666666666666</v>
      </c>
      <c r="F4" s="73">
        <v>50.851095322676144</v>
      </c>
      <c r="G4" s="73">
        <v>0.71189472924190988</v>
      </c>
      <c r="H4" s="12">
        <f>F4*Calculation!I4/Calculation!K3</f>
        <v>50.851095322676144</v>
      </c>
      <c r="I4" s="12">
        <f>G4*Calculation!I4/Calculation!K3</f>
        <v>0.71189472924190977</v>
      </c>
      <c r="J4" s="12">
        <v>0.71788040260509167</v>
      </c>
      <c r="K4" s="12">
        <v>1.2818611660515681E-2</v>
      </c>
      <c r="L4" s="12">
        <f>J4*Calculation!I4/Calculation!K3</f>
        <v>0.71788040260509167</v>
      </c>
      <c r="M4" s="12">
        <f>K4*Calculation!I4/Calculation!K3</f>
        <v>1.2818611660515681E-2</v>
      </c>
      <c r="N4" s="12">
        <v>2.1204551762420207</v>
      </c>
      <c r="O4" s="12">
        <v>1.9228984818971735E-2</v>
      </c>
      <c r="P4" s="12">
        <f>N4*Calculation!I4/Calculation!K3</f>
        <v>2.1204551762420207</v>
      </c>
      <c r="Q4" s="12">
        <f>O4*Calculation!I4/Calculation!K3</f>
        <v>1.9228984818971735E-2</v>
      </c>
      <c r="R4" s="12">
        <v>0</v>
      </c>
      <c r="S4" s="12">
        <v>0</v>
      </c>
      <c r="T4" s="12">
        <f>R4*Calculation!I4/Calculation!K3</f>
        <v>0</v>
      </c>
      <c r="U4" s="12">
        <f>S4*Calculation!I4/Calculation!K3</f>
        <v>0</v>
      </c>
    </row>
    <row r="5" spans="1:21">
      <c r="A5" s="14" t="s">
        <v>39</v>
      </c>
      <c r="B5" s="14">
        <v>180.16</v>
      </c>
      <c r="D5" s="51">
        <v>1</v>
      </c>
      <c r="E5" s="62">
        <v>2</v>
      </c>
      <c r="F5" s="73">
        <v>51.239638839550032</v>
      </c>
      <c r="G5" s="73">
        <v>0.31834319440501679</v>
      </c>
      <c r="H5" s="12">
        <f>F5*Calculation!I5/Calculation!K4</f>
        <v>51.274472040664619</v>
      </c>
      <c r="I5" s="12">
        <f>G5*Calculation!I5/Calculation!K4</f>
        <v>0.31855960718163473</v>
      </c>
      <c r="J5" s="12">
        <v>0.77708703374777977</v>
      </c>
      <c r="K5" s="12">
        <v>2.2202486678507938E-2</v>
      </c>
      <c r="L5" s="12">
        <f>J5*Calculation!I5/Calculation!K4</f>
        <v>0.77761530501477338</v>
      </c>
      <c r="M5" s="12">
        <f>K5*Calculation!I5/Calculation!K4</f>
        <v>2.2217580143279184E-2</v>
      </c>
      <c r="N5" s="12">
        <v>2.0982514571190674</v>
      </c>
      <c r="O5" s="12">
        <v>3.3305578684429675E-2</v>
      </c>
      <c r="P5" s="12">
        <f>N5*Calculation!I5/Calculation!K4</f>
        <v>2.0996778687146613</v>
      </c>
      <c r="Q5" s="12">
        <f>O5*Calculation!I5/Calculation!K4</f>
        <v>3.3328220138327994E-2</v>
      </c>
      <c r="R5" s="12">
        <v>0</v>
      </c>
      <c r="S5" s="12">
        <v>0</v>
      </c>
      <c r="T5" s="12">
        <f>R5*Calculation!I5/Calculation!K4</f>
        <v>0</v>
      </c>
      <c r="U5" s="12">
        <f>S5*Calculation!I5/Calculation!K4</f>
        <v>0</v>
      </c>
    </row>
    <row r="6" spans="1:21">
      <c r="A6" s="14" t="s">
        <v>39</v>
      </c>
      <c r="B6" s="14">
        <v>180.16</v>
      </c>
      <c r="D6" s="51">
        <v>2</v>
      </c>
      <c r="E6" s="62">
        <v>3.3333333333333335</v>
      </c>
      <c r="F6" s="73">
        <v>50.78448786264061</v>
      </c>
      <c r="G6" s="73">
        <v>0.37977503275453062</v>
      </c>
      <c r="H6" s="12">
        <f>F6*Calculation!I6/Calculation!K5</f>
        <v>50.819011647727379</v>
      </c>
      <c r="I6" s="12">
        <f>G6*Calculation!I6/Calculation!K5</f>
        <v>0.38003320748787839</v>
      </c>
      <c r="J6" s="12">
        <v>0.85109532267613963</v>
      </c>
      <c r="K6" s="12">
        <v>1.2818611660515681E-2</v>
      </c>
      <c r="L6" s="12">
        <f>J6*Calculation!I6/Calculation!K5</f>
        <v>0.85167390549237076</v>
      </c>
      <c r="M6" s="12">
        <f>K6*Calculation!I6/Calculation!K5</f>
        <v>1.2827325876464365E-2</v>
      </c>
      <c r="N6" s="12">
        <v>2.1648626144879271</v>
      </c>
      <c r="O6" s="12">
        <v>5.7686954456915213E-2</v>
      </c>
      <c r="P6" s="12">
        <f>N6*Calculation!I6/Calculation!K5</f>
        <v>2.1663343089913178</v>
      </c>
      <c r="Q6" s="12">
        <f>O6*Calculation!I6/Calculation!K5</f>
        <v>5.7726170605424329E-2</v>
      </c>
      <c r="R6" s="12">
        <v>0</v>
      </c>
      <c r="S6" s="12">
        <v>0</v>
      </c>
      <c r="T6" s="12">
        <f>R6*Calculation!I6/Calculation!K5</f>
        <v>0</v>
      </c>
      <c r="U6" s="12">
        <f>S6*Calculation!I6/Calculation!K5</f>
        <v>0</v>
      </c>
    </row>
    <row r="7" spans="1:21">
      <c r="A7" s="30" t="s">
        <v>102</v>
      </c>
      <c r="B7" s="30">
        <v>46.03</v>
      </c>
      <c r="D7" s="51">
        <v>3</v>
      </c>
      <c r="E7" s="62">
        <v>4.666666666666667</v>
      </c>
      <c r="F7" s="73">
        <v>51.080521018354055</v>
      </c>
      <c r="G7" s="73">
        <v>0.40368451947363282</v>
      </c>
      <c r="H7" s="12">
        <f>F7*Calculation!I7/Calculation!K6</f>
        <v>51.115246049637776</v>
      </c>
      <c r="I7" s="12">
        <f>G7*Calculation!I7/Calculation!K6</f>
        <v>0.40395894810685756</v>
      </c>
      <c r="J7" s="12">
        <v>0.91030195381882772</v>
      </c>
      <c r="K7" s="12">
        <v>0</v>
      </c>
      <c r="L7" s="12">
        <f>J7*Calculation!I7/Calculation!K6</f>
        <v>0.91092078587444891</v>
      </c>
      <c r="M7" s="12">
        <f>K7*Calculation!I7/Calculation!K6</f>
        <v>0</v>
      </c>
      <c r="N7" s="12">
        <v>2.2092700527338334</v>
      </c>
      <c r="O7" s="12">
        <v>3.845796963794347E-2</v>
      </c>
      <c r="P7" s="12">
        <f>N7*Calculation!I7/Calculation!K6</f>
        <v>2.210771935842422</v>
      </c>
      <c r="Q7" s="12">
        <f>O7*Calculation!I7/Calculation!K6</f>
        <v>3.8484113736949557E-2</v>
      </c>
      <c r="R7" s="12">
        <v>0</v>
      </c>
      <c r="S7" s="12">
        <v>0</v>
      </c>
      <c r="T7" s="12">
        <f>R7*Calculation!I7/Calculation!K6</f>
        <v>0</v>
      </c>
      <c r="U7" s="12">
        <f>S7*Calculation!I7/Calculation!K6</f>
        <v>0</v>
      </c>
    </row>
    <row r="8" spans="1:21">
      <c r="A8" s="14" t="s">
        <v>42</v>
      </c>
      <c r="B8" s="14">
        <v>60.05</v>
      </c>
      <c r="D8" s="51">
        <v>4</v>
      </c>
      <c r="E8" s="62">
        <v>6</v>
      </c>
      <c r="F8" s="73">
        <v>50.847394908229731</v>
      </c>
      <c r="G8" s="73">
        <v>0.69009505128672888</v>
      </c>
      <c r="H8" s="12">
        <f>F8*Calculation!I8/Calculation!K7</f>
        <v>50.881961458133354</v>
      </c>
      <c r="I8" s="12">
        <f>G8*Calculation!I8/Calculation!K7</f>
        <v>0.69056418456428614</v>
      </c>
      <c r="J8" s="12">
        <v>0.95470692717584371</v>
      </c>
      <c r="K8" s="12">
        <v>2.2202486678507938E-2</v>
      </c>
      <c r="L8" s="12">
        <f>J8*Calculation!I8/Calculation!K7</f>
        <v>0.9553559461610075</v>
      </c>
      <c r="M8" s="12">
        <f>K8*Calculation!I8/Calculation!K7</f>
        <v>2.2217580143279191E-2</v>
      </c>
      <c r="N8" s="12">
        <v>2.3091867887871222</v>
      </c>
      <c r="O8" s="12">
        <v>5.0875111795235323E-2</v>
      </c>
      <c r="P8" s="12">
        <f>N8*Calculation!I8/Calculation!K7</f>
        <v>2.3107565962574061</v>
      </c>
      <c r="Q8" s="12">
        <f>O8*Calculation!I8/Calculation!K7</f>
        <v>5.0909697187346295E-2</v>
      </c>
      <c r="R8" s="12">
        <v>0</v>
      </c>
      <c r="S8" s="12">
        <v>0</v>
      </c>
      <c r="T8" s="12">
        <f>R8*Calculation!I8/Calculation!K7</f>
        <v>0</v>
      </c>
      <c r="U8" s="12">
        <f>S8*Calculation!I8/Calculation!K7</f>
        <v>0</v>
      </c>
    </row>
    <row r="9" spans="1:21">
      <c r="A9" s="30" t="s">
        <v>66</v>
      </c>
      <c r="B9" s="30">
        <v>74.08</v>
      </c>
      <c r="D9" s="51">
        <v>5</v>
      </c>
      <c r="E9" s="62">
        <v>7.333333333333333</v>
      </c>
      <c r="F9" s="73">
        <v>51.128626406157494</v>
      </c>
      <c r="G9" s="73">
        <v>0.57279977321074405</v>
      </c>
      <c r="H9" s="12">
        <f>F9*Calculation!I9/Calculation!K8</f>
        <v>51.163384139948221</v>
      </c>
      <c r="I9" s="12">
        <f>G9*Calculation!I9/Calculation!K8</f>
        <v>0.57318916802597908</v>
      </c>
      <c r="J9" s="12">
        <v>0.97690941385435182</v>
      </c>
      <c r="K9" s="12">
        <v>4.4404973357015945E-2</v>
      </c>
      <c r="L9" s="12">
        <f>J9*Calculation!I9/Calculation!K8</f>
        <v>0.97757352630428673</v>
      </c>
      <c r="M9" s="12">
        <f>K9*Calculation!I9/Calculation!K8</f>
        <v>4.4435160286558445E-2</v>
      </c>
      <c r="N9" s="12">
        <v>2.3868998057174573</v>
      </c>
      <c r="O9" s="12">
        <v>3.845796963794347E-2</v>
      </c>
      <c r="P9" s="12">
        <f>N9*Calculation!I9/Calculation!K8</f>
        <v>2.388522443246837</v>
      </c>
      <c r="Q9" s="12">
        <f>O9*Calculation!I9/Calculation!K8</f>
        <v>3.848411373694955E-2</v>
      </c>
      <c r="R9" s="12">
        <v>0</v>
      </c>
      <c r="S9" s="12">
        <v>0</v>
      </c>
      <c r="T9" s="12">
        <f>R9*Calculation!I9/Calculation!K8</f>
        <v>0</v>
      </c>
      <c r="U9" s="12">
        <f>S9*Calculation!I9/Calculation!K8</f>
        <v>0</v>
      </c>
    </row>
    <row r="10" spans="1:21">
      <c r="A10" s="30" t="s">
        <v>65</v>
      </c>
      <c r="B10" s="30">
        <v>88.11</v>
      </c>
      <c r="D10" s="51">
        <v>6</v>
      </c>
      <c r="E10" s="62">
        <v>8.9166666666666661</v>
      </c>
      <c r="F10" s="73">
        <v>50.514357608052109</v>
      </c>
      <c r="G10" s="73">
        <v>0.65585083367722163</v>
      </c>
      <c r="H10" s="12">
        <f>F10*Calculation!I10/Calculation!K9</f>
        <v>50.589928341429506</v>
      </c>
      <c r="I10" s="12">
        <f>G10*Calculation!I10/Calculation!K9</f>
        <v>0.65683200281079213</v>
      </c>
      <c r="J10" s="12">
        <v>1.1027235050325637</v>
      </c>
      <c r="K10" s="12">
        <v>1.2818611660515681E-2</v>
      </c>
      <c r="L10" s="12">
        <f>J10*Calculation!I10/Calculation!K9</f>
        <v>1.1043732067794294</v>
      </c>
      <c r="M10" s="12">
        <f>K10*Calculation!I10/Calculation!K9</f>
        <v>1.2837788621877469E-2</v>
      </c>
      <c r="N10" s="12">
        <v>2.3980016652789344</v>
      </c>
      <c r="O10" s="12">
        <v>8.8118278470094513E-2</v>
      </c>
      <c r="P10" s="12">
        <f>N10*Calculation!I10/Calculation!K9</f>
        <v>2.4015891353184715</v>
      </c>
      <c r="Q10" s="12">
        <f>O10*Calculation!I10/Calculation!K9</f>
        <v>8.8250105602879367E-2</v>
      </c>
      <c r="R10" s="12">
        <v>0</v>
      </c>
      <c r="S10" s="12">
        <v>0</v>
      </c>
      <c r="T10" s="12">
        <f>R10*Calculation!I10/Calculation!K9</f>
        <v>0</v>
      </c>
      <c r="U10" s="12">
        <f>S10*Calculation!I10/Calculation!K9</f>
        <v>0</v>
      </c>
    </row>
    <row r="11" spans="1:21">
      <c r="A11" s="14" t="s">
        <v>41</v>
      </c>
      <c r="B11" s="14">
        <v>90.08</v>
      </c>
      <c r="D11" s="51">
        <v>7</v>
      </c>
      <c r="E11" s="62">
        <v>10.333333333333334</v>
      </c>
      <c r="F11" s="73">
        <v>51.887211367673181</v>
      </c>
      <c r="G11" s="73">
        <v>0.35731520735859462</v>
      </c>
      <c r="H11" s="12">
        <f>F11*Calculation!I11/Calculation!K10</f>
        <v>51.964835924366305</v>
      </c>
      <c r="I11" s="12">
        <f>G11*Calculation!I11/Calculation!K10</f>
        <v>0.3578497597818186</v>
      </c>
      <c r="J11" s="12">
        <v>1.1841326228537596</v>
      </c>
      <c r="K11" s="12">
        <v>4.6218161622249884E-2</v>
      </c>
      <c r="L11" s="12">
        <f>J11*Calculation!I11/Calculation!K10</f>
        <v>1.1859041146624745</v>
      </c>
      <c r="M11" s="12">
        <f>K11*Calculation!I11/Calculation!K10</f>
        <v>4.6287305139747409E-2</v>
      </c>
      <c r="N11" s="12">
        <v>2.6089369969469884</v>
      </c>
      <c r="O11" s="12">
        <v>6.9331090739921233E-2</v>
      </c>
      <c r="P11" s="12">
        <f>N11*Calculation!I11/Calculation!K10</f>
        <v>2.6128400314807441</v>
      </c>
      <c r="Q11" s="12">
        <f>O11*Calculation!I11/Calculation!K10</f>
        <v>6.9434811773329677E-2</v>
      </c>
      <c r="R11" s="12">
        <v>0</v>
      </c>
      <c r="S11" s="12">
        <v>0</v>
      </c>
      <c r="T11" s="12">
        <f>R11*Calculation!I11/Calculation!K10</f>
        <v>0</v>
      </c>
      <c r="U11" s="12">
        <f>S11*Calculation!I11/Calculation!K10</f>
        <v>0</v>
      </c>
    </row>
    <row r="12" spans="1:21">
      <c r="A12" s="14" t="s">
        <v>43</v>
      </c>
      <c r="B12" s="14">
        <v>46.07</v>
      </c>
      <c r="D12" s="51">
        <v>8</v>
      </c>
      <c r="E12" s="62">
        <v>11.333333333333334</v>
      </c>
      <c r="F12" s="73">
        <v>51.2544404973357</v>
      </c>
      <c r="G12" s="73">
        <v>0.34017658627985431</v>
      </c>
      <c r="H12" s="12">
        <f>F12*Calculation!I12/Calculation!K11</f>
        <v>51.331118413093542</v>
      </c>
      <c r="I12" s="12">
        <f>G12*Calculation!I12/Calculation!K11</f>
        <v>0.34068549890035033</v>
      </c>
      <c r="J12" s="12">
        <v>1.3025458851391356</v>
      </c>
      <c r="K12" s="12">
        <v>3.3914858606837128E-2</v>
      </c>
      <c r="L12" s="12">
        <f>J12*Calculation!I12/Calculation!K11</f>
        <v>1.304494526128722</v>
      </c>
      <c r="M12" s="12">
        <f>K12*Calculation!I12/Calculation!K11</f>
        <v>3.3965596077502318E-2</v>
      </c>
      <c r="N12" s="12">
        <v>2.6755481543158477</v>
      </c>
      <c r="O12" s="12">
        <v>5.0875111795235566E-2</v>
      </c>
      <c r="P12" s="12">
        <f>N12*Calculation!I12/Calculation!K11</f>
        <v>2.6795508407951458</v>
      </c>
      <c r="Q12" s="12">
        <f>O12*Calculation!I12/Calculation!K11</f>
        <v>5.0951222225835403E-2</v>
      </c>
      <c r="R12" s="12">
        <v>0</v>
      </c>
      <c r="S12" s="12">
        <v>0</v>
      </c>
      <c r="T12" s="12">
        <f>R12*Calculation!I12/Calculation!K11</f>
        <v>0</v>
      </c>
      <c r="U12" s="12">
        <f>S12*Calculation!I12/Calculation!K11</f>
        <v>0</v>
      </c>
    </row>
    <row r="13" spans="1:21">
      <c r="D13" s="51">
        <v>9</v>
      </c>
      <c r="E13" s="62">
        <v>12.666666666666666</v>
      </c>
      <c r="F13" s="73">
        <v>51.184132622853767</v>
      </c>
      <c r="G13" s="73">
        <v>1.0649288747329684</v>
      </c>
      <c r="H13" s="12">
        <f>F13*Calculation!I13/Calculation!K12</f>
        <v>51.260705356285463</v>
      </c>
      <c r="I13" s="12">
        <f>G13*Calculation!I13/Calculation!K12</f>
        <v>1.066522034774372</v>
      </c>
      <c r="J13" s="12">
        <v>1.3617525162818236</v>
      </c>
      <c r="K13" s="12">
        <v>2.5637223321031358E-2</v>
      </c>
      <c r="L13" s="12">
        <f>J13*Calculation!I13/Calculation!K12</f>
        <v>1.3637897318618457</v>
      </c>
      <c r="M13" s="12">
        <f>K13*Calculation!I13/Calculation!K12</f>
        <v>2.5675577243754934E-2</v>
      </c>
      <c r="N13" s="12">
        <v>2.7421593116847069</v>
      </c>
      <c r="O13" s="12">
        <v>5.0875111795235566E-2</v>
      </c>
      <c r="P13" s="12">
        <f>N13*Calculation!I13/Calculation!K12</f>
        <v>2.7462616501095476</v>
      </c>
      <c r="Q13" s="12">
        <f>O13*Calculation!I13/Calculation!K12</f>
        <v>5.0951222225835396E-2</v>
      </c>
      <c r="R13" s="12">
        <v>0</v>
      </c>
      <c r="S13" s="12">
        <v>0</v>
      </c>
      <c r="T13" s="12">
        <f>R13*Calculation!I13/Calculation!K12</f>
        <v>0</v>
      </c>
      <c r="U13" s="12">
        <f>S13*Calculation!I13/Calculation!K12</f>
        <v>0</v>
      </c>
    </row>
    <row r="14" spans="1:21">
      <c r="D14" s="51">
        <v>10</v>
      </c>
      <c r="E14" s="62">
        <v>14</v>
      </c>
      <c r="F14" s="73">
        <v>50.995411486086454</v>
      </c>
      <c r="G14" s="73">
        <v>0.30530101143181665</v>
      </c>
      <c r="H14" s="12">
        <f>F14*Calculation!I14/Calculation!K13</f>
        <v>51.071701888011127</v>
      </c>
      <c r="I14" s="12">
        <f>G14*Calculation!I14/Calculation!K13</f>
        <v>0.30575774932629368</v>
      </c>
      <c r="J14" s="12">
        <v>1.4505624629958558</v>
      </c>
      <c r="K14" s="12">
        <v>6.7829717213674423E-2</v>
      </c>
      <c r="L14" s="12">
        <f>J14*Calculation!I14/Calculation!K13</f>
        <v>1.4527325404615314</v>
      </c>
      <c r="M14" s="12">
        <f>K14*Calculation!I14/Calculation!K13</f>
        <v>6.7931192155004788E-2</v>
      </c>
      <c r="N14" s="12">
        <v>2.7865667499306137</v>
      </c>
      <c r="O14" s="12">
        <v>1.9228984818971735E-2</v>
      </c>
      <c r="P14" s="12">
        <f>N14*Calculation!I14/Calculation!K13</f>
        <v>2.7907355229858162</v>
      </c>
      <c r="Q14" s="12">
        <f>O14*Calculation!I14/Calculation!K13</f>
        <v>1.9257751857763905E-2</v>
      </c>
      <c r="R14" s="12">
        <v>0</v>
      </c>
      <c r="S14" s="12">
        <v>0</v>
      </c>
      <c r="T14" s="12">
        <f>R14*Calculation!I14/Calculation!K13</f>
        <v>0</v>
      </c>
      <c r="U14" s="12">
        <f>S14*Calculation!I14/Calculation!K13</f>
        <v>0</v>
      </c>
    </row>
    <row r="15" spans="1:21">
      <c r="D15" s="51">
        <v>11</v>
      </c>
      <c r="E15" s="62">
        <v>15.333333333333334</v>
      </c>
      <c r="F15" s="73">
        <v>51.650384843102444</v>
      </c>
      <c r="G15" s="73">
        <v>0.6211077029881924</v>
      </c>
      <c r="H15" s="12">
        <f>F15*Calculation!I15/Calculation!K14</f>
        <v>51.780492338513938</v>
      </c>
      <c r="I15" s="12">
        <f>G15*Calculation!I15/Calculation!K14</f>
        <v>0.62267227540836034</v>
      </c>
      <c r="J15" s="12">
        <v>1.6059798697454117</v>
      </c>
      <c r="K15" s="12">
        <v>0.10254889328412529</v>
      </c>
      <c r="L15" s="12">
        <f>J15*Calculation!I15/Calculation!K14</f>
        <v>1.6100253385094601</v>
      </c>
      <c r="M15" s="12">
        <f>K15*Calculation!I15/Calculation!K14</f>
        <v>0.10280721429572952</v>
      </c>
      <c r="N15" s="12">
        <v>2.853177907299473</v>
      </c>
      <c r="O15" s="12">
        <v>3.84579696379432E-2</v>
      </c>
      <c r="P15" s="12">
        <f>N15*Calculation!I15/Calculation!K14</f>
        <v>2.8603650721697789</v>
      </c>
      <c r="Q15" s="12">
        <f>O15*Calculation!I15/Calculation!K14</f>
        <v>3.8554845394501519E-2</v>
      </c>
      <c r="R15" s="12">
        <v>0</v>
      </c>
      <c r="S15" s="12">
        <v>0</v>
      </c>
      <c r="T15" s="12">
        <f>R15*Calculation!I15/Calculation!K14</f>
        <v>0</v>
      </c>
      <c r="U15" s="12">
        <f>S15*Calculation!I15/Calculation!K14</f>
        <v>0</v>
      </c>
    </row>
    <row r="16" spans="1:21">
      <c r="D16" s="51">
        <v>12</v>
      </c>
      <c r="E16" s="62">
        <v>16.666666666666668</v>
      </c>
      <c r="F16" s="73">
        <v>50.25532859680284</v>
      </c>
      <c r="G16" s="73">
        <v>0.23731747698081918</v>
      </c>
      <c r="H16" s="12">
        <f>F16*Calculation!I16/Calculation!K15</f>
        <v>50.381921940776436</v>
      </c>
      <c r="I16" s="12">
        <f>G16*Calculation!I16/Calculation!K15</f>
        <v>0.23791528051396113</v>
      </c>
      <c r="J16" s="12">
        <v>1.7465956187092953</v>
      </c>
      <c r="K16" s="12">
        <v>3.3914858606837212E-2</v>
      </c>
      <c r="L16" s="12">
        <f>J16*Calculation!I16/Calculation!K15</f>
        <v>1.7509952990241129</v>
      </c>
      <c r="M16" s="12">
        <f>K16*Calculation!I16/Calculation!K15</f>
        <v>3.4000290251228138E-2</v>
      </c>
      <c r="N16" s="12">
        <v>2.8864834859839026</v>
      </c>
      <c r="O16" s="12">
        <v>3.845796963794347E-2</v>
      </c>
      <c r="P16" s="12">
        <f>N16*Calculation!I16/Calculation!K15</f>
        <v>2.8937545477203988</v>
      </c>
      <c r="Q16" s="12">
        <f>O16*Calculation!I16/Calculation!K15</f>
        <v>3.8554845394501797E-2</v>
      </c>
      <c r="R16" s="12">
        <v>0</v>
      </c>
      <c r="S16" s="12">
        <v>0</v>
      </c>
      <c r="T16" s="12">
        <f>R16*Calculation!I16/Calculation!K15</f>
        <v>0</v>
      </c>
      <c r="U16" s="12">
        <f>S16*Calculation!I16/Calculation!K15</f>
        <v>0</v>
      </c>
    </row>
    <row r="17" spans="4:21">
      <c r="D17" s="51">
        <v>13</v>
      </c>
      <c r="E17" s="62">
        <v>18</v>
      </c>
      <c r="F17" s="73">
        <v>50.392243931320309</v>
      </c>
      <c r="G17" s="73">
        <v>0.22651252135587382</v>
      </c>
      <c r="H17" s="12">
        <f>F17*Calculation!I17/Calculation!K16</f>
        <v>50.519182165488075</v>
      </c>
      <c r="I17" s="12">
        <f>G17*Calculation!I17/Calculation!K16</f>
        <v>0.22708310716898011</v>
      </c>
      <c r="J17" s="12">
        <v>1.8872113676731794</v>
      </c>
      <c r="K17" s="12">
        <v>2.2202486678507861E-2</v>
      </c>
      <c r="L17" s="12">
        <f>J17*Calculation!I17/Calculation!K16</f>
        <v>1.8919652595387662</v>
      </c>
      <c r="M17" s="12">
        <f>K17*Calculation!I17/Calculation!K16</f>
        <v>2.2258414818102999E-2</v>
      </c>
      <c r="N17" s="12">
        <v>3.1529281154593396</v>
      </c>
      <c r="O17" s="12">
        <v>5.0875111795235566E-2</v>
      </c>
      <c r="P17" s="12">
        <f>N17*Calculation!I17/Calculation!K16</f>
        <v>3.1608703521253587</v>
      </c>
      <c r="Q17" s="12">
        <f>O17*Calculation!I17/Calculation!K16</f>
        <v>5.1003266375197844E-2</v>
      </c>
      <c r="R17" s="12">
        <v>0</v>
      </c>
      <c r="S17" s="12">
        <v>0</v>
      </c>
      <c r="T17" s="12">
        <f>R17*Calculation!I17/Calculation!K16</f>
        <v>0</v>
      </c>
      <c r="U17" s="12">
        <f>S17*Calculation!I17/Calculation!K16</f>
        <v>0</v>
      </c>
    </row>
    <row r="18" spans="4:21">
      <c r="D18" s="51">
        <v>14</v>
      </c>
      <c r="E18" s="62">
        <v>24</v>
      </c>
      <c r="F18" s="73">
        <v>38.199378330373008</v>
      </c>
      <c r="G18" s="73">
        <v>0.65044192163811221</v>
      </c>
      <c r="H18" s="12">
        <f>F18*Calculation!I18/Calculation!K17</f>
        <v>38.387770210056786</v>
      </c>
      <c r="I18" s="12">
        <f>G18*Calculation!I18/Calculation!K17</f>
        <v>0.65364977426814053</v>
      </c>
      <c r="J18" s="12">
        <v>2.5310834813499112</v>
      </c>
      <c r="K18" s="12">
        <v>3.8455834981547053E-2</v>
      </c>
      <c r="L18" s="12">
        <f>J18*Calculation!I18/Calculation!K17</f>
        <v>2.5435662911633083</v>
      </c>
      <c r="M18" s="12">
        <f>K18*Calculation!I18/Calculation!K17</f>
        <v>3.8645491655389365E-2</v>
      </c>
      <c r="N18" s="12">
        <v>3.9300582847626981</v>
      </c>
      <c r="O18" s="12">
        <v>3.3305578684429446E-2</v>
      </c>
      <c r="P18" s="12">
        <f>N18*Calculation!I18/Calculation!K17</f>
        <v>3.9494405653100371</v>
      </c>
      <c r="Q18" s="12">
        <f>O18*Calculation!I18/Calculation!K17</f>
        <v>3.3469835299237402E-2</v>
      </c>
      <c r="R18" s="12">
        <v>0</v>
      </c>
      <c r="S18" s="12">
        <v>0</v>
      </c>
      <c r="T18" s="12">
        <f>R18*Calculation!I18/Calculation!K17</f>
        <v>0</v>
      </c>
      <c r="U18" s="12">
        <f>S18*Calculation!I18/Calculation!K17</f>
        <v>0</v>
      </c>
    </row>
    <row r="19" spans="4:21">
      <c r="D19" s="51">
        <v>15</v>
      </c>
      <c r="E19" s="62">
        <v>29.916666666666668</v>
      </c>
      <c r="F19" s="73">
        <v>41.744375370041446</v>
      </c>
      <c r="G19" s="73">
        <v>0.5075506584439109</v>
      </c>
      <c r="H19" s="12">
        <f>F19*Calculation!I19/Calculation!K18</f>
        <v>42.166210588801164</v>
      </c>
      <c r="I19" s="12">
        <f>G19*Calculation!I19/Calculation!K18</f>
        <v>0.51267955883200922</v>
      </c>
      <c r="J19" s="12">
        <v>5.9872705743043229</v>
      </c>
      <c r="K19" s="12">
        <v>6.7829717213674423E-2</v>
      </c>
      <c r="L19" s="12">
        <f>J19*Calculation!I19/Calculation!K18</f>
        <v>6.0477731347114876</v>
      </c>
      <c r="M19" s="12">
        <f>K19*Calculation!I19/Calculation!K18</f>
        <v>6.8515150001818972E-2</v>
      </c>
      <c r="N19" s="12">
        <v>9.1923397169025804</v>
      </c>
      <c r="O19" s="12">
        <v>0.25145160483832579</v>
      </c>
      <c r="P19" s="12">
        <f>N19*Calculation!I19/Calculation!K18</f>
        <v>9.2852301386904248</v>
      </c>
      <c r="Q19" s="12">
        <f>O19*Calculation!I19/Calculation!K18</f>
        <v>0.25399257333513986</v>
      </c>
      <c r="R19" s="12">
        <v>0</v>
      </c>
      <c r="S19" s="12">
        <v>0</v>
      </c>
      <c r="T19" s="12">
        <f>R19*Calculation!I19/Calculation!K18</f>
        <v>0</v>
      </c>
      <c r="U19" s="12">
        <f>S19*Calculation!I19/Calculation!K18</f>
        <v>0</v>
      </c>
    </row>
    <row r="20" spans="4:21">
      <c r="D20" s="51">
        <v>16</v>
      </c>
      <c r="E20" s="62">
        <v>48</v>
      </c>
      <c r="F20" s="73">
        <v>33.570159857904081</v>
      </c>
      <c r="G20" s="73">
        <v>0.21266922802695207</v>
      </c>
      <c r="H20" s="12">
        <f>F20*Calculation!I20/Calculation!K19</f>
        <v>34.141967714487144</v>
      </c>
      <c r="I20" s="12">
        <f>G20*Calculation!I20/Calculation!K19</f>
        <v>0.21629166938421696</v>
      </c>
      <c r="J20" s="12">
        <v>12.648016577856717</v>
      </c>
      <c r="K20" s="12">
        <v>8.4057257930732363E-2</v>
      </c>
      <c r="L20" s="12">
        <f>J20*Calculation!I20/Calculation!K19</f>
        <v>12.86345300354024</v>
      </c>
      <c r="M20" s="12">
        <f>K20*Calculation!I20/Calculation!K19</f>
        <v>8.5489023543141404E-2</v>
      </c>
      <c r="N20" s="12">
        <v>11.390507910074938</v>
      </c>
      <c r="O20" s="12">
        <v>0.18543761408259776</v>
      </c>
      <c r="P20" s="12">
        <f>N20*Calculation!I20/Calculation!K19</f>
        <v>11.584524916279895</v>
      </c>
      <c r="Q20" s="12">
        <f>O20*Calculation!I20/Calculation!K19</f>
        <v>0.1885962134186531</v>
      </c>
      <c r="R20" s="12">
        <v>0</v>
      </c>
      <c r="S20" s="12">
        <v>0</v>
      </c>
      <c r="T20" s="12">
        <f>R20*Calculation!I20/Calculation!K19</f>
        <v>0</v>
      </c>
      <c r="U20" s="12">
        <f>S20*Calculation!I20/Calculation!K19</f>
        <v>0</v>
      </c>
    </row>
    <row r="22" spans="4:21">
      <c r="D22" s="103" t="s">
        <v>4</v>
      </c>
      <c r="E22" s="103" t="s">
        <v>59</v>
      </c>
      <c r="F22" s="92" t="s">
        <v>43</v>
      </c>
      <c r="G22" s="92"/>
      <c r="H22" s="92"/>
      <c r="I22" s="92"/>
      <c r="J22" s="92" t="s">
        <v>65</v>
      </c>
      <c r="K22" s="92"/>
      <c r="L22" s="92"/>
      <c r="M22" s="92"/>
      <c r="N22" s="83" t="s">
        <v>66</v>
      </c>
      <c r="O22" s="84"/>
      <c r="P22" s="84"/>
      <c r="Q22" s="85"/>
    </row>
    <row r="23" spans="4:21">
      <c r="D23" s="103"/>
      <c r="E23" s="103"/>
      <c r="F23" s="19" t="s">
        <v>47</v>
      </c>
      <c r="G23" s="19" t="s">
        <v>23</v>
      </c>
      <c r="H23" s="19" t="s">
        <v>47</v>
      </c>
      <c r="I23" s="19" t="s">
        <v>23</v>
      </c>
      <c r="J23" s="19" t="s">
        <v>47</v>
      </c>
      <c r="K23" s="19" t="s">
        <v>23</v>
      </c>
      <c r="L23" s="19" t="s">
        <v>47</v>
      </c>
      <c r="M23" s="19" t="s">
        <v>23</v>
      </c>
      <c r="N23" s="19" t="s">
        <v>47</v>
      </c>
      <c r="O23" s="19" t="s">
        <v>23</v>
      </c>
      <c r="P23" s="19" t="s">
        <v>47</v>
      </c>
      <c r="Q23" s="19" t="s">
        <v>23</v>
      </c>
    </row>
    <row r="24" spans="4:21">
      <c r="D24" s="49" t="s">
        <v>6</v>
      </c>
      <c r="E24" s="62">
        <v>-0.16666666666666666</v>
      </c>
      <c r="F24" s="50">
        <v>0</v>
      </c>
      <c r="G24" s="62">
        <v>0</v>
      </c>
      <c r="H24" s="12">
        <f>F24*Calculation!I3/Calculation!F23</f>
        <v>0</v>
      </c>
      <c r="I24" s="12">
        <f>G24*Calculation!I3/Calculation!F23</f>
        <v>0</v>
      </c>
      <c r="J24" s="12">
        <v>0</v>
      </c>
      <c r="K24" s="12">
        <v>0</v>
      </c>
      <c r="L24" s="12">
        <f>J24*Calculation!I3/Calculation!F23</f>
        <v>0</v>
      </c>
      <c r="M24" s="12">
        <f>K24*Calculation!I3/Calculation!F23</f>
        <v>0</v>
      </c>
      <c r="N24" s="12">
        <v>0</v>
      </c>
      <c r="O24" s="12">
        <v>0</v>
      </c>
      <c r="P24" s="12">
        <f>N24*Calculation!I3/Calculation!F23</f>
        <v>0</v>
      </c>
      <c r="Q24" s="12">
        <f>O24*Calculation!I3/Calculation!F23</f>
        <v>0</v>
      </c>
    </row>
    <row r="25" spans="4:21">
      <c r="D25" s="51">
        <v>0</v>
      </c>
      <c r="E25" s="62">
        <v>0.16666666666666666</v>
      </c>
      <c r="F25" s="52">
        <v>0</v>
      </c>
      <c r="G25" s="73">
        <v>0</v>
      </c>
      <c r="H25" s="12">
        <f>F25*Calculation!I4/Calculation!K3</f>
        <v>0</v>
      </c>
      <c r="I25" s="12">
        <f>G25*Calculation!I4/Calculation!K3</f>
        <v>0</v>
      </c>
      <c r="J25" s="12">
        <v>0</v>
      </c>
      <c r="K25" s="12">
        <v>0</v>
      </c>
      <c r="L25" s="12">
        <f>J25*Calculation!I4/Calculation!K3</f>
        <v>0</v>
      </c>
      <c r="M25" s="12">
        <f>K25*Calculation!I4/Calculation!K3</f>
        <v>0</v>
      </c>
      <c r="N25" s="12">
        <v>0</v>
      </c>
      <c r="O25" s="12">
        <v>0</v>
      </c>
      <c r="P25" s="12">
        <f>N25*Calculation!I4/Calculation!K3</f>
        <v>0</v>
      </c>
      <c r="Q25" s="12">
        <f>O25*Calculation!I4/Calculation!K3</f>
        <v>0</v>
      </c>
    </row>
    <row r="26" spans="4:21">
      <c r="D26" s="51">
        <v>1</v>
      </c>
      <c r="E26" s="62">
        <v>2</v>
      </c>
      <c r="F26" s="52">
        <v>0</v>
      </c>
      <c r="G26" s="73">
        <v>0</v>
      </c>
      <c r="H26" s="12">
        <f>F26*Calculation!I5/Calculation!K4</f>
        <v>0</v>
      </c>
      <c r="I26" s="12">
        <f>G26*Calculation!I5/Calculation!K4</f>
        <v>0</v>
      </c>
      <c r="J26" s="12">
        <v>0</v>
      </c>
      <c r="K26" s="12">
        <v>0</v>
      </c>
      <c r="L26" s="12">
        <f>J26*Calculation!I5/Calculation!K4</f>
        <v>0</v>
      </c>
      <c r="M26" s="12">
        <f>K26*Calculation!I5/Calculation!K4</f>
        <v>0</v>
      </c>
      <c r="N26" s="12">
        <v>0</v>
      </c>
      <c r="O26" s="12">
        <v>0</v>
      </c>
      <c r="P26" s="12">
        <f>N26*Calculation!I5/Calculation!K4</f>
        <v>0</v>
      </c>
      <c r="Q26" s="12">
        <f>O26*Calculation!I5/Calculation!K4</f>
        <v>0</v>
      </c>
    </row>
    <row r="27" spans="4:21">
      <c r="D27" s="51">
        <v>2</v>
      </c>
      <c r="E27" s="62">
        <v>3.3333333333333335</v>
      </c>
      <c r="F27" s="52">
        <v>0</v>
      </c>
      <c r="G27" s="73">
        <v>0</v>
      </c>
      <c r="H27" s="12">
        <f>F27*Calculation!I6/Calculation!K5</f>
        <v>0</v>
      </c>
      <c r="I27" s="12">
        <f>G27*Calculation!I6/Calculation!K5</f>
        <v>0</v>
      </c>
      <c r="J27" s="12">
        <v>0</v>
      </c>
      <c r="K27" s="12">
        <v>0</v>
      </c>
      <c r="L27" s="12">
        <f>J27*Calculation!I6/Calculation!K5</f>
        <v>0</v>
      </c>
      <c r="M27" s="12">
        <f>K27*Calculation!I6/Calculation!K5</f>
        <v>0</v>
      </c>
      <c r="N27" s="12">
        <v>0</v>
      </c>
      <c r="O27" s="12">
        <v>0</v>
      </c>
      <c r="P27" s="12">
        <f>N27*Calculation!I6/Calculation!K5</f>
        <v>0</v>
      </c>
      <c r="Q27" s="12">
        <f>O27*Calculation!I6/Calculation!K5</f>
        <v>0</v>
      </c>
    </row>
    <row r="28" spans="4:21">
      <c r="D28" s="51">
        <v>3</v>
      </c>
      <c r="E28" s="62">
        <v>4.666666666666667</v>
      </c>
      <c r="F28" s="52">
        <v>0</v>
      </c>
      <c r="G28" s="73">
        <v>0</v>
      </c>
      <c r="H28" s="12">
        <f>F28*Calculation!I7/Calculation!K6</f>
        <v>0</v>
      </c>
      <c r="I28" s="12">
        <f>G28*Calculation!I7/Calculation!K6</f>
        <v>0</v>
      </c>
      <c r="J28" s="12">
        <v>0</v>
      </c>
      <c r="K28" s="12">
        <v>0</v>
      </c>
      <c r="L28" s="12">
        <f>J28*Calculation!I7/Calculation!K6</f>
        <v>0</v>
      </c>
      <c r="M28" s="12">
        <f>K28*Calculation!I7/Calculation!K6</f>
        <v>0</v>
      </c>
      <c r="N28" s="12">
        <v>0</v>
      </c>
      <c r="O28" s="12">
        <v>0</v>
      </c>
      <c r="P28" s="12">
        <f>N28*Calculation!I7/Calculation!K6</f>
        <v>0</v>
      </c>
      <c r="Q28" s="12">
        <f>O28*Calculation!I7/Calculation!K6</f>
        <v>0</v>
      </c>
    </row>
    <row r="29" spans="4:21">
      <c r="D29" s="51">
        <v>4</v>
      </c>
      <c r="E29" s="62">
        <v>6</v>
      </c>
      <c r="F29" s="52">
        <v>0</v>
      </c>
      <c r="G29" s="73">
        <v>0</v>
      </c>
      <c r="H29" s="12">
        <f>F29*Calculation!I8/Calculation!K7</f>
        <v>0</v>
      </c>
      <c r="I29" s="12">
        <f>G29*Calculation!I8/Calculation!K7</f>
        <v>0</v>
      </c>
      <c r="J29" s="12">
        <v>0</v>
      </c>
      <c r="K29" s="12">
        <v>0</v>
      </c>
      <c r="L29" s="12">
        <f>J29*Calculation!I8/Calculation!K7</f>
        <v>0</v>
      </c>
      <c r="M29" s="12">
        <f>K29*Calculation!I8/Calculation!K7</f>
        <v>0</v>
      </c>
      <c r="N29" s="12">
        <v>0</v>
      </c>
      <c r="O29" s="12">
        <v>0</v>
      </c>
      <c r="P29" s="12">
        <f>N29*Calculation!I8/Calculation!K7</f>
        <v>0</v>
      </c>
      <c r="Q29" s="12">
        <f>O29*Calculation!I8/Calculation!K7</f>
        <v>0</v>
      </c>
    </row>
    <row r="30" spans="4:21">
      <c r="D30" s="51">
        <v>5</v>
      </c>
      <c r="E30" s="62">
        <v>7.333333333333333</v>
      </c>
      <c r="F30" s="52">
        <v>0</v>
      </c>
      <c r="G30" s="73">
        <v>0</v>
      </c>
      <c r="H30" s="12">
        <f>F30*Calculation!I9/Calculation!K8</f>
        <v>0</v>
      </c>
      <c r="I30" s="12">
        <f>G30*Calculation!I9/Calculation!K8</f>
        <v>0</v>
      </c>
      <c r="J30" s="12">
        <v>0</v>
      </c>
      <c r="K30" s="12">
        <v>0</v>
      </c>
      <c r="L30" s="12">
        <f>J30*Calculation!I9/Calculation!K8</f>
        <v>0</v>
      </c>
      <c r="M30" s="12">
        <f>K30*Calculation!I9/Calculation!K8</f>
        <v>0</v>
      </c>
      <c r="N30" s="12">
        <v>0</v>
      </c>
      <c r="O30" s="12">
        <v>0</v>
      </c>
      <c r="P30" s="12">
        <f>N30*Calculation!I9/Calculation!K8</f>
        <v>0</v>
      </c>
      <c r="Q30" s="12">
        <f>O30*Calculation!I9/Calculation!K8</f>
        <v>0</v>
      </c>
    </row>
    <row r="31" spans="4:21">
      <c r="D31" s="51">
        <v>6</v>
      </c>
      <c r="E31" s="62">
        <v>8.9166666666666661</v>
      </c>
      <c r="F31" s="52">
        <v>0</v>
      </c>
      <c r="G31" s="73">
        <v>0</v>
      </c>
      <c r="H31" s="12">
        <f>F31*Calculation!I10/Calculation!K9</f>
        <v>0</v>
      </c>
      <c r="I31" s="12">
        <f>G31*Calculation!I10/Calculation!K9</f>
        <v>0</v>
      </c>
      <c r="J31" s="12">
        <v>0</v>
      </c>
      <c r="K31" s="12">
        <v>0</v>
      </c>
      <c r="L31" s="12">
        <f>J31*Calculation!I10/Calculation!K9</f>
        <v>0</v>
      </c>
      <c r="M31" s="12">
        <f>K31*Calculation!I10/Calculation!K9</f>
        <v>0</v>
      </c>
      <c r="N31" s="12">
        <v>0</v>
      </c>
      <c r="O31" s="12">
        <v>0</v>
      </c>
      <c r="P31" s="12">
        <f>N31*Calculation!I10/Calculation!K9</f>
        <v>0</v>
      </c>
      <c r="Q31" s="12">
        <f>O31*Calculation!I10/Calculation!K9</f>
        <v>0</v>
      </c>
    </row>
    <row r="32" spans="4:21">
      <c r="D32" s="51">
        <v>7</v>
      </c>
      <c r="E32" s="62">
        <v>10.333333333333334</v>
      </c>
      <c r="F32" s="52">
        <v>0</v>
      </c>
      <c r="G32" s="73">
        <v>0</v>
      </c>
      <c r="H32" s="12">
        <f>F32*Calculation!I11/Calculation!K10</f>
        <v>0</v>
      </c>
      <c r="I32" s="12">
        <f>G32*Calculation!I11/Calculation!K10</f>
        <v>0</v>
      </c>
      <c r="J32" s="12">
        <v>0</v>
      </c>
      <c r="K32" s="12">
        <v>0</v>
      </c>
      <c r="L32" s="12">
        <f>J32*Calculation!I11/Calculation!K10</f>
        <v>0</v>
      </c>
      <c r="M32" s="12">
        <f>K32*Calculation!I11/Calculation!K10</f>
        <v>0</v>
      </c>
      <c r="N32" s="12">
        <v>0</v>
      </c>
      <c r="O32" s="12">
        <v>0</v>
      </c>
      <c r="P32" s="12">
        <f>N32*Calculation!I11/Calculation!K10</f>
        <v>0</v>
      </c>
      <c r="Q32" s="12">
        <f>O32*Calculation!I11/Calculation!K10</f>
        <v>0</v>
      </c>
    </row>
    <row r="33" spans="4:17">
      <c r="D33" s="51">
        <v>8</v>
      </c>
      <c r="E33" s="62">
        <v>11.333333333333334</v>
      </c>
      <c r="F33" s="52">
        <v>0</v>
      </c>
      <c r="G33" s="73">
        <v>0</v>
      </c>
      <c r="H33" s="12">
        <f>F33*Calculation!I12/Calculation!K11</f>
        <v>0</v>
      </c>
      <c r="I33" s="12">
        <f>G33*Calculation!I12/Calculation!K11</f>
        <v>0</v>
      </c>
      <c r="J33" s="12">
        <v>0</v>
      </c>
      <c r="K33" s="12">
        <v>0</v>
      </c>
      <c r="L33" s="12">
        <f>J33*Calculation!I12/Calculation!K11</f>
        <v>0</v>
      </c>
      <c r="M33" s="12">
        <f>K33*Calculation!I12/Calculation!K11</f>
        <v>0</v>
      </c>
      <c r="N33" s="12">
        <v>0</v>
      </c>
      <c r="O33" s="12">
        <v>0</v>
      </c>
      <c r="P33" s="12">
        <f>N33*Calculation!I12/Calculation!K11</f>
        <v>0</v>
      </c>
      <c r="Q33" s="12">
        <f>O33*Calculation!I12/Calculation!K11</f>
        <v>0</v>
      </c>
    </row>
    <row r="34" spans="4:17">
      <c r="D34" s="51">
        <v>9</v>
      </c>
      <c r="E34" s="62">
        <v>12.666666666666666</v>
      </c>
      <c r="F34" s="52">
        <v>0</v>
      </c>
      <c r="G34" s="73">
        <v>0</v>
      </c>
      <c r="H34" s="12">
        <f>F34*Calculation!I13/Calculation!K12</f>
        <v>0</v>
      </c>
      <c r="I34" s="12">
        <f>G34*Calculation!I13/Calculation!K12</f>
        <v>0</v>
      </c>
      <c r="J34" s="12">
        <v>0</v>
      </c>
      <c r="K34" s="12">
        <v>0</v>
      </c>
      <c r="L34" s="12">
        <f>J34*Calculation!I13/Calculation!K12</f>
        <v>0</v>
      </c>
      <c r="M34" s="12">
        <f>K34*Calculation!I13/Calculation!K12</f>
        <v>0</v>
      </c>
      <c r="N34" s="12">
        <v>0</v>
      </c>
      <c r="O34" s="12">
        <v>0</v>
      </c>
      <c r="P34" s="12">
        <f>N34*Calculation!I13/Calculation!K12</f>
        <v>0</v>
      </c>
      <c r="Q34" s="12">
        <f>O34*Calculation!I13/Calculation!K12</f>
        <v>0</v>
      </c>
    </row>
    <row r="35" spans="4:17">
      <c r="D35" s="51">
        <v>10</v>
      </c>
      <c r="E35" s="62">
        <v>14</v>
      </c>
      <c r="F35" s="52">
        <v>0</v>
      </c>
      <c r="G35" s="73">
        <v>0</v>
      </c>
      <c r="H35" s="12">
        <f>F35*Calculation!I14/Calculation!K13</f>
        <v>0</v>
      </c>
      <c r="I35" s="12">
        <f>G35*Calculation!I14/Calculation!K13</f>
        <v>0</v>
      </c>
      <c r="J35" s="12">
        <v>0</v>
      </c>
      <c r="K35" s="12">
        <v>0</v>
      </c>
      <c r="L35" s="12">
        <f>J35*Calculation!I14/Calculation!K13</f>
        <v>0</v>
      </c>
      <c r="M35" s="12">
        <f>K35*Calculation!I14/Calculation!K13</f>
        <v>0</v>
      </c>
      <c r="N35" s="12">
        <v>0</v>
      </c>
      <c r="O35" s="12">
        <v>0</v>
      </c>
      <c r="P35" s="12">
        <f>N35*Calculation!I14/Calculation!K13</f>
        <v>0</v>
      </c>
      <c r="Q35" s="12">
        <f>O35*Calculation!I14/Calculation!K13</f>
        <v>0</v>
      </c>
    </row>
    <row r="36" spans="4:17">
      <c r="D36" s="51">
        <v>11</v>
      </c>
      <c r="E36" s="62">
        <v>15.333333333333334</v>
      </c>
      <c r="F36" s="52">
        <v>0</v>
      </c>
      <c r="G36" s="73">
        <v>0</v>
      </c>
      <c r="H36" s="12">
        <f>F36*Calculation!I15/Calculation!K14</f>
        <v>0</v>
      </c>
      <c r="I36" s="12">
        <f>G36*Calculation!I15/Calculation!K14</f>
        <v>0</v>
      </c>
      <c r="J36" s="12">
        <v>0</v>
      </c>
      <c r="K36" s="12">
        <v>0</v>
      </c>
      <c r="L36" s="12">
        <f>J36*Calculation!I15/Calculation!K14</f>
        <v>0</v>
      </c>
      <c r="M36" s="12">
        <f>K36*Calculation!I15/Calculation!K14</f>
        <v>0</v>
      </c>
      <c r="N36" s="12">
        <v>0</v>
      </c>
      <c r="O36" s="12">
        <v>0</v>
      </c>
      <c r="P36" s="12">
        <f>N36*Calculation!I15/Calculation!K14</f>
        <v>0</v>
      </c>
      <c r="Q36" s="12">
        <f>O36*Calculation!I15/Calculation!K14</f>
        <v>0</v>
      </c>
    </row>
    <row r="37" spans="4:17">
      <c r="D37" s="51">
        <v>12</v>
      </c>
      <c r="E37" s="62">
        <v>16.666666666666668</v>
      </c>
      <c r="F37" s="52">
        <v>0</v>
      </c>
      <c r="G37" s="73">
        <v>0</v>
      </c>
      <c r="H37" s="12">
        <f>F37*Calculation!I16/Calculation!K15</f>
        <v>0</v>
      </c>
      <c r="I37" s="12">
        <f>G37*Calculation!I16/Calculation!K15</f>
        <v>0</v>
      </c>
      <c r="J37" s="12">
        <v>0</v>
      </c>
      <c r="K37" s="12">
        <v>0</v>
      </c>
      <c r="L37" s="12">
        <f>J37*Calculation!I16/Calculation!K15</f>
        <v>0</v>
      </c>
      <c r="M37" s="12">
        <f>K37*Calculation!I16/Calculation!K15</f>
        <v>0</v>
      </c>
      <c r="N37" s="12">
        <v>0</v>
      </c>
      <c r="O37" s="12">
        <v>0</v>
      </c>
      <c r="P37" s="12">
        <f>N37*Calculation!I16/Calculation!K15</f>
        <v>0</v>
      </c>
      <c r="Q37" s="12">
        <f>O37*Calculation!I16/Calculation!K15</f>
        <v>0</v>
      </c>
    </row>
    <row r="38" spans="4:17">
      <c r="D38" s="51">
        <v>13</v>
      </c>
      <c r="E38" s="62">
        <v>18</v>
      </c>
      <c r="F38" s="52">
        <v>0</v>
      </c>
      <c r="G38" s="73">
        <v>0</v>
      </c>
      <c r="H38" s="12">
        <f>F38*Calculation!I17/Calculation!K16</f>
        <v>0</v>
      </c>
      <c r="I38" s="12">
        <f>G38*Calculation!I17/Calculation!K16</f>
        <v>0</v>
      </c>
      <c r="J38" s="12">
        <v>0</v>
      </c>
      <c r="K38" s="12">
        <v>0</v>
      </c>
      <c r="L38" s="12">
        <f>J38*Calculation!I17/Calculation!K16</f>
        <v>0</v>
      </c>
      <c r="M38" s="12">
        <f>K38*Calculation!I17/Calculation!K16</f>
        <v>0</v>
      </c>
      <c r="N38" s="12">
        <v>0</v>
      </c>
      <c r="O38" s="12">
        <v>0</v>
      </c>
      <c r="P38" s="12">
        <f>N38*Calculation!I17/Calculation!K16</f>
        <v>0</v>
      </c>
      <c r="Q38" s="12">
        <f>O38*Calculation!I17/Calculation!K16</f>
        <v>0</v>
      </c>
    </row>
    <row r="39" spans="4:17">
      <c r="D39" s="51">
        <v>14</v>
      </c>
      <c r="E39" s="62">
        <v>24</v>
      </c>
      <c r="F39" s="52">
        <v>0</v>
      </c>
      <c r="G39" s="73">
        <v>0</v>
      </c>
      <c r="H39" s="12">
        <f>F39*Calculation!I18/Calculation!K17</f>
        <v>0</v>
      </c>
      <c r="I39" s="12">
        <f>G39*Calculation!I18/Calculation!K17</f>
        <v>0</v>
      </c>
      <c r="J39" s="12">
        <v>0</v>
      </c>
      <c r="K39" s="12">
        <v>0</v>
      </c>
      <c r="L39" s="12">
        <f>J39*Calculation!I18/Calculation!K17</f>
        <v>0</v>
      </c>
      <c r="M39" s="12">
        <f>K39*Calculation!I18/Calculation!K17</f>
        <v>0</v>
      </c>
      <c r="N39" s="12">
        <v>0</v>
      </c>
      <c r="O39" s="12">
        <v>0</v>
      </c>
      <c r="P39" s="12">
        <f>N39*Calculation!I18/Calculation!K17</f>
        <v>0</v>
      </c>
      <c r="Q39" s="12">
        <f>O39*Calculation!I18/Calculation!K17</f>
        <v>0</v>
      </c>
    </row>
    <row r="40" spans="4:17">
      <c r="D40" s="51">
        <v>15</v>
      </c>
      <c r="E40" s="62">
        <v>29.916666666666668</v>
      </c>
      <c r="F40" s="52">
        <v>0</v>
      </c>
      <c r="G40" s="73">
        <v>0</v>
      </c>
      <c r="H40" s="12">
        <f>F40*Calculation!I19/Calculation!K18</f>
        <v>0</v>
      </c>
      <c r="I40" s="12">
        <f>G40*Calculation!I19/Calculation!K18</f>
        <v>0</v>
      </c>
      <c r="J40" s="12">
        <v>0</v>
      </c>
      <c r="K40" s="12">
        <v>0</v>
      </c>
      <c r="L40" s="12">
        <f>J40*Calculation!I19/Calculation!K18</f>
        <v>0</v>
      </c>
      <c r="M40" s="12">
        <f>K40*Calculation!I19/Calculation!K18</f>
        <v>0</v>
      </c>
      <c r="N40" s="12">
        <v>0</v>
      </c>
      <c r="O40" s="12">
        <v>0</v>
      </c>
      <c r="P40" s="12">
        <f>N40*Calculation!I19/Calculation!K18</f>
        <v>0</v>
      </c>
      <c r="Q40" s="12">
        <f>O40*Calculation!I19/Calculation!K18</f>
        <v>0</v>
      </c>
    </row>
    <row r="41" spans="4:17">
      <c r="D41" s="51">
        <v>16</v>
      </c>
      <c r="E41" s="62">
        <v>48</v>
      </c>
      <c r="F41" s="52">
        <v>0</v>
      </c>
      <c r="G41" s="73">
        <v>0</v>
      </c>
      <c r="H41" s="12">
        <f>F41*Calculation!I20/Calculation!K19</f>
        <v>0</v>
      </c>
      <c r="I41" s="12">
        <f>G41*Calculation!I20/Calculation!K19</f>
        <v>0</v>
      </c>
      <c r="J41" s="12">
        <v>0</v>
      </c>
      <c r="K41" s="12">
        <v>0</v>
      </c>
      <c r="L41" s="12">
        <f>J41*Calculation!I20/Calculation!K19</f>
        <v>0</v>
      </c>
      <c r="M41" s="12">
        <f>K41*Calculation!I20/Calculation!K19</f>
        <v>0</v>
      </c>
      <c r="N41" s="12">
        <v>0</v>
      </c>
      <c r="O41" s="12">
        <v>0</v>
      </c>
      <c r="P41" s="12">
        <f>N41*Calculation!I20/Calculation!K19</f>
        <v>0</v>
      </c>
      <c r="Q41" s="12">
        <f>O41*Calculation!I20/Calculation!K19</f>
        <v>0</v>
      </c>
    </row>
  </sheetData>
  <mergeCells count="14">
    <mergeCell ref="F22:I22"/>
    <mergeCell ref="J22:M22"/>
    <mergeCell ref="N22:Q22"/>
    <mergeCell ref="N1:Q1"/>
    <mergeCell ref="A1:B1"/>
    <mergeCell ref="A2:B2"/>
    <mergeCell ref="A3:A4"/>
    <mergeCell ref="D22:D23"/>
    <mergeCell ref="E22:E23"/>
    <mergeCell ref="R1:U1"/>
    <mergeCell ref="D1:D2"/>
    <mergeCell ref="E1:E2"/>
    <mergeCell ref="F1:I1"/>
    <mergeCell ref="J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Fermentation</vt:lpstr>
      <vt:lpstr>Calculation</vt:lpstr>
      <vt:lpstr>Plate Count</vt:lpstr>
      <vt:lpstr>Flow cytometer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Lefeber</dc:creator>
  <cp:keywords/>
  <dc:description/>
  <cp:lastModifiedBy>Kevin D'hoe</cp:lastModifiedBy>
  <cp:lastPrinted>2009-02-16T08:48:51Z</cp:lastPrinted>
  <dcterms:created xsi:type="dcterms:W3CDTF">2009-02-15T16:08:16Z</dcterms:created>
  <dcterms:modified xsi:type="dcterms:W3CDTF">2015-03-19T15:48:55Z</dcterms:modified>
  <cp:category/>
</cp:coreProperties>
</file>