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21" activeTab="26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B. hydrogenotrophica" sheetId="29" r:id="rId5"/>
    <sheet name="Determination cell count" sheetId="27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Results Focus GC" sheetId="30" r:id="rId19"/>
    <sheet name="calibration ethanol" sheetId="31" r:id="rId20"/>
    <sheet name="Calibration acetic acid" sheetId="32" r:id="rId21"/>
    <sheet name="Calibration propionic acid" sheetId="33" r:id="rId22"/>
    <sheet name="Calibration butyric acid" sheetId="34" r:id="rId23"/>
    <sheet name="Calibration isobutyric acid" sheetId="35" r:id="rId24"/>
    <sheet name="Calibration isovaleric acid" sheetId="36" r:id="rId25"/>
    <sheet name="Calibration 2-methylbutyric a" sheetId="37" r:id="rId26"/>
    <sheet name="Graph" sheetId="13" r:id="rId27"/>
    <sheet name="Graph (2)" sheetId="24" r:id="rId28"/>
    <sheet name="Carbon recovery" sheetId="23" r:id="rId29"/>
  </sheet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" i="27" l="1"/>
  <c r="H67" i="27"/>
  <c r="H21" i="27"/>
  <c r="K21" i="27"/>
  <c r="I21" i="27"/>
  <c r="L21" i="27"/>
  <c r="J21" i="27"/>
  <c r="M21" i="27"/>
  <c r="O21" i="27"/>
  <c r="S21" i="27"/>
  <c r="H20" i="27"/>
  <c r="K20" i="27"/>
  <c r="I20" i="27"/>
  <c r="L20" i="27"/>
  <c r="J20" i="27"/>
  <c r="M20" i="27"/>
  <c r="O20" i="27"/>
  <c r="S20" i="27"/>
  <c r="H19" i="27"/>
  <c r="K19" i="27"/>
  <c r="I19" i="27"/>
  <c r="L19" i="27"/>
  <c r="J19" i="27"/>
  <c r="M19" i="27"/>
  <c r="O19" i="27"/>
  <c r="S19" i="27"/>
  <c r="H18" i="27"/>
  <c r="K18" i="27"/>
  <c r="I18" i="27"/>
  <c r="L18" i="27"/>
  <c r="J18" i="27"/>
  <c r="M18" i="27"/>
  <c r="O18" i="27"/>
  <c r="S18" i="27"/>
  <c r="H17" i="27"/>
  <c r="K17" i="27"/>
  <c r="I17" i="27"/>
  <c r="L17" i="27"/>
  <c r="J17" i="27"/>
  <c r="M17" i="27"/>
  <c r="O17" i="27"/>
  <c r="S17" i="27"/>
  <c r="H16" i="27"/>
  <c r="K16" i="27"/>
  <c r="I16" i="27"/>
  <c r="L16" i="27"/>
  <c r="J16" i="27"/>
  <c r="M16" i="27"/>
  <c r="O16" i="27"/>
  <c r="S16" i="27"/>
  <c r="H15" i="27"/>
  <c r="K15" i="27"/>
  <c r="I15" i="27"/>
  <c r="L15" i="27"/>
  <c r="J15" i="27"/>
  <c r="M15" i="27"/>
  <c r="O15" i="27"/>
  <c r="S15" i="27"/>
  <c r="H14" i="27"/>
  <c r="K14" i="27"/>
  <c r="I14" i="27"/>
  <c r="L14" i="27"/>
  <c r="J14" i="27"/>
  <c r="M14" i="27"/>
  <c r="O14" i="27"/>
  <c r="S14" i="27"/>
  <c r="H13" i="27"/>
  <c r="K13" i="27"/>
  <c r="I13" i="27"/>
  <c r="L13" i="27"/>
  <c r="J13" i="27"/>
  <c r="M13" i="27"/>
  <c r="O13" i="27"/>
  <c r="S13" i="27"/>
  <c r="H12" i="27"/>
  <c r="K12" i="27"/>
  <c r="I12" i="27"/>
  <c r="L12" i="27"/>
  <c r="J12" i="27"/>
  <c r="M12" i="27"/>
  <c r="O12" i="27"/>
  <c r="S12" i="27"/>
  <c r="H11" i="27"/>
  <c r="K11" i="27"/>
  <c r="I11" i="27"/>
  <c r="L11" i="27"/>
  <c r="J11" i="27"/>
  <c r="M11" i="27"/>
  <c r="O11" i="27"/>
  <c r="S11" i="27"/>
  <c r="H10" i="27"/>
  <c r="K10" i="27"/>
  <c r="I10" i="27"/>
  <c r="L10" i="27"/>
  <c r="J10" i="27"/>
  <c r="M10" i="27"/>
  <c r="O10" i="27"/>
  <c r="S10" i="27"/>
  <c r="H9" i="27"/>
  <c r="K9" i="27"/>
  <c r="I9" i="27"/>
  <c r="L9" i="27"/>
  <c r="J9" i="27"/>
  <c r="M9" i="27"/>
  <c r="O9" i="27"/>
  <c r="S9" i="27"/>
  <c r="H8" i="27"/>
  <c r="K8" i="27"/>
  <c r="I8" i="27"/>
  <c r="L8" i="27"/>
  <c r="J8" i="27"/>
  <c r="M8" i="27"/>
  <c r="O8" i="27"/>
  <c r="S8" i="27"/>
  <c r="H7" i="27"/>
  <c r="K7" i="27"/>
  <c r="I7" i="27"/>
  <c r="L7" i="27"/>
  <c r="J7" i="27"/>
  <c r="M7" i="27"/>
  <c r="O7" i="27"/>
  <c r="S7" i="27"/>
  <c r="H6" i="27"/>
  <c r="K6" i="27"/>
  <c r="I6" i="27"/>
  <c r="L6" i="27"/>
  <c r="J6" i="27"/>
  <c r="M6" i="27"/>
  <c r="O6" i="27"/>
  <c r="S6" i="27"/>
  <c r="H5" i="27"/>
  <c r="K5" i="27"/>
  <c r="I5" i="27"/>
  <c r="L5" i="27"/>
  <c r="J5" i="27"/>
  <c r="M5" i="27"/>
  <c r="O5" i="27"/>
  <c r="S5" i="27"/>
  <c r="H4" i="27"/>
  <c r="K4" i="27"/>
  <c r="I4" i="27"/>
  <c r="L4" i="27"/>
  <c r="J4" i="27"/>
  <c r="M4" i="27"/>
  <c r="O4" i="27"/>
  <c r="S4" i="27"/>
  <c r="P21" i="27"/>
  <c r="R21" i="27"/>
  <c r="P20" i="27"/>
  <c r="R20" i="27"/>
  <c r="P19" i="27"/>
  <c r="R19" i="27"/>
  <c r="P18" i="27"/>
  <c r="R18" i="27"/>
  <c r="P17" i="27"/>
  <c r="R17" i="27"/>
  <c r="P16" i="27"/>
  <c r="R16" i="27"/>
  <c r="P15" i="27"/>
  <c r="R15" i="27"/>
  <c r="P14" i="27"/>
  <c r="R14" i="27"/>
  <c r="P13" i="27"/>
  <c r="R13" i="27"/>
  <c r="P12" i="27"/>
  <c r="R12" i="27"/>
  <c r="P11" i="27"/>
  <c r="R11" i="27"/>
  <c r="P10" i="27"/>
  <c r="R10" i="27"/>
  <c r="P9" i="27"/>
  <c r="R9" i="27"/>
  <c r="P8" i="27"/>
  <c r="R8" i="27"/>
  <c r="P7" i="27"/>
  <c r="R7" i="27"/>
  <c r="P6" i="27"/>
  <c r="R6" i="27"/>
  <c r="P5" i="27"/>
  <c r="R5" i="27"/>
  <c r="P4" i="27"/>
  <c r="R4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H64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B25" i="27"/>
  <c r="B24" i="27"/>
  <c r="B12" i="23"/>
  <c r="B2" i="23"/>
  <c r="B3" i="23"/>
  <c r="B4" i="23"/>
  <c r="B5" i="23"/>
  <c r="B167" i="30"/>
  <c r="B166" i="30"/>
  <c r="H3" i="37"/>
  <c r="H4" i="37"/>
  <c r="H5" i="37"/>
  <c r="H6" i="37"/>
  <c r="H7" i="37"/>
  <c r="H8" i="37"/>
  <c r="H9" i="37"/>
  <c r="H2" i="37"/>
  <c r="B8" i="37"/>
  <c r="B7" i="37"/>
  <c r="B6" i="37"/>
  <c r="B5" i="37"/>
  <c r="B4" i="37"/>
  <c r="B3" i="37"/>
  <c r="B2" i="37"/>
  <c r="C2" i="37"/>
  <c r="D2" i="37"/>
  <c r="E2" i="37"/>
  <c r="C3" i="37"/>
  <c r="D3" i="37"/>
  <c r="E3" i="37"/>
  <c r="C4" i="37"/>
  <c r="D4" i="37"/>
  <c r="E4" i="37"/>
  <c r="C5" i="37"/>
  <c r="D5" i="37"/>
  <c r="E5" i="37"/>
  <c r="C6" i="37"/>
  <c r="D6" i="37"/>
  <c r="E6" i="37"/>
  <c r="C7" i="37"/>
  <c r="D7" i="37"/>
  <c r="E7" i="37"/>
  <c r="C8" i="37"/>
  <c r="D8" i="37"/>
  <c r="E8" i="37"/>
  <c r="C9" i="37"/>
  <c r="D9" i="37"/>
  <c r="E9" i="37"/>
  <c r="B143" i="30"/>
  <c r="B142" i="30"/>
  <c r="H3" i="36"/>
  <c r="H4" i="36"/>
  <c r="H5" i="36"/>
  <c r="H6" i="36"/>
  <c r="H7" i="36"/>
  <c r="H8" i="36"/>
  <c r="H9" i="36"/>
  <c r="H2" i="36"/>
  <c r="B8" i="36"/>
  <c r="B7" i="36"/>
  <c r="B6" i="36"/>
  <c r="B5" i="36"/>
  <c r="B4" i="36"/>
  <c r="B3" i="36"/>
  <c r="B2" i="36"/>
  <c r="C2" i="36"/>
  <c r="D2" i="36"/>
  <c r="E2" i="36"/>
  <c r="C3" i="36"/>
  <c r="D3" i="36"/>
  <c r="E3" i="36"/>
  <c r="C4" i="36"/>
  <c r="D4" i="36"/>
  <c r="E4" i="36"/>
  <c r="C5" i="36"/>
  <c r="D5" i="36"/>
  <c r="E5" i="36"/>
  <c r="C6" i="36"/>
  <c r="D6" i="36"/>
  <c r="E6" i="36"/>
  <c r="C7" i="36"/>
  <c r="D7" i="36"/>
  <c r="E7" i="36"/>
  <c r="C8" i="36"/>
  <c r="D8" i="36"/>
  <c r="E8" i="36"/>
  <c r="C9" i="36"/>
  <c r="D9" i="36"/>
  <c r="E9" i="36"/>
  <c r="B119" i="30"/>
  <c r="B118" i="30"/>
  <c r="H3" i="35"/>
  <c r="H4" i="35"/>
  <c r="H5" i="35"/>
  <c r="H6" i="35"/>
  <c r="H7" i="35"/>
  <c r="H8" i="35"/>
  <c r="H9" i="35"/>
  <c r="H2" i="35"/>
  <c r="B8" i="35"/>
  <c r="B7" i="35"/>
  <c r="B6" i="35"/>
  <c r="B5" i="35"/>
  <c r="B4" i="35"/>
  <c r="B3" i="35"/>
  <c r="B2" i="35"/>
  <c r="C2" i="35"/>
  <c r="D2" i="35"/>
  <c r="E2" i="35"/>
  <c r="C3" i="35"/>
  <c r="D3" i="35"/>
  <c r="E3" i="35"/>
  <c r="C4" i="35"/>
  <c r="D4" i="35"/>
  <c r="E4" i="35"/>
  <c r="C5" i="35"/>
  <c r="D5" i="35"/>
  <c r="E5" i="35"/>
  <c r="C6" i="35"/>
  <c r="D6" i="35"/>
  <c r="E6" i="35"/>
  <c r="C7" i="35"/>
  <c r="D7" i="35"/>
  <c r="E7" i="35"/>
  <c r="C8" i="35"/>
  <c r="D8" i="35"/>
  <c r="E8" i="35"/>
  <c r="C9" i="35"/>
  <c r="D9" i="35"/>
  <c r="E9" i="35"/>
  <c r="B95" i="30"/>
  <c r="B94" i="30"/>
  <c r="H9" i="34"/>
  <c r="H3" i="34"/>
  <c r="H4" i="34"/>
  <c r="H5" i="34"/>
  <c r="H6" i="34"/>
  <c r="H7" i="34"/>
  <c r="H8" i="34"/>
  <c r="H2" i="34"/>
  <c r="B8" i="34"/>
  <c r="B7" i="34"/>
  <c r="B6" i="34"/>
  <c r="B5" i="34"/>
  <c r="B4" i="34"/>
  <c r="B3" i="34"/>
  <c r="B2" i="34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C9" i="34"/>
  <c r="D9" i="34"/>
  <c r="E9" i="34"/>
  <c r="B71" i="30"/>
  <c r="B70" i="30"/>
  <c r="H9" i="33"/>
  <c r="H3" i="33"/>
  <c r="H4" i="33"/>
  <c r="H5" i="33"/>
  <c r="H6" i="33"/>
  <c r="H7" i="33"/>
  <c r="H8" i="33"/>
  <c r="H2" i="33"/>
  <c r="C9" i="33"/>
  <c r="D9" i="33"/>
  <c r="E9" i="33"/>
  <c r="B8" i="33"/>
  <c r="C8" i="33"/>
  <c r="D8" i="33"/>
  <c r="E8" i="33"/>
  <c r="B7" i="33"/>
  <c r="C7" i="33"/>
  <c r="D7" i="33"/>
  <c r="E7" i="33"/>
  <c r="B6" i="33"/>
  <c r="C6" i="33"/>
  <c r="D6" i="33"/>
  <c r="E6" i="33"/>
  <c r="B5" i="33"/>
  <c r="C5" i="33"/>
  <c r="D5" i="33"/>
  <c r="E5" i="33"/>
  <c r="B4" i="33"/>
  <c r="C4" i="33"/>
  <c r="D4" i="33"/>
  <c r="E4" i="33"/>
  <c r="B3" i="33"/>
  <c r="C3" i="33"/>
  <c r="D3" i="33"/>
  <c r="E3" i="33"/>
  <c r="B2" i="33"/>
  <c r="C2" i="33"/>
  <c r="D2" i="33"/>
  <c r="E2" i="33"/>
  <c r="C9" i="32"/>
  <c r="D9" i="32"/>
  <c r="E9" i="32"/>
  <c r="B8" i="32"/>
  <c r="C8" i="32"/>
  <c r="D8" i="32"/>
  <c r="E8" i="32"/>
  <c r="B7" i="32"/>
  <c r="C7" i="32"/>
  <c r="D7" i="32"/>
  <c r="E7" i="32"/>
  <c r="B6" i="32"/>
  <c r="C6" i="32"/>
  <c r="D6" i="32"/>
  <c r="E6" i="32"/>
  <c r="B5" i="32"/>
  <c r="C5" i="32"/>
  <c r="D5" i="32"/>
  <c r="E5" i="32"/>
  <c r="B4" i="32"/>
  <c r="C4" i="32"/>
  <c r="D4" i="32"/>
  <c r="E4" i="32"/>
  <c r="B3" i="32"/>
  <c r="C3" i="32"/>
  <c r="D3" i="32"/>
  <c r="E3" i="32"/>
  <c r="B2" i="32"/>
  <c r="C2" i="32"/>
  <c r="D2" i="32"/>
  <c r="E2" i="32"/>
  <c r="B47" i="30"/>
  <c r="B46" i="30"/>
  <c r="B23" i="30"/>
  <c r="B22" i="30"/>
  <c r="I165" i="30"/>
  <c r="M165" i="30"/>
  <c r="P165" i="30"/>
  <c r="J165" i="30"/>
  <c r="N165" i="30"/>
  <c r="I148" i="30"/>
  <c r="M148" i="30"/>
  <c r="J148" i="30"/>
  <c r="N148" i="30"/>
  <c r="K148" i="30"/>
  <c r="O148" i="30"/>
  <c r="I149" i="30"/>
  <c r="M149" i="30"/>
  <c r="J149" i="30"/>
  <c r="N149" i="30"/>
  <c r="K149" i="30"/>
  <c r="O149" i="30"/>
  <c r="I150" i="30"/>
  <c r="M150" i="30"/>
  <c r="J150" i="30"/>
  <c r="N150" i="30"/>
  <c r="K150" i="30"/>
  <c r="O150" i="30"/>
  <c r="I151" i="30"/>
  <c r="M151" i="30"/>
  <c r="J151" i="30"/>
  <c r="N151" i="30"/>
  <c r="K151" i="30"/>
  <c r="O151" i="30"/>
  <c r="I152" i="30"/>
  <c r="M152" i="30"/>
  <c r="J152" i="30"/>
  <c r="N152" i="30"/>
  <c r="K152" i="30"/>
  <c r="O152" i="30"/>
  <c r="I153" i="30"/>
  <c r="M153" i="30"/>
  <c r="J153" i="30"/>
  <c r="N153" i="30"/>
  <c r="K153" i="30"/>
  <c r="O153" i="30"/>
  <c r="I154" i="30"/>
  <c r="M154" i="30"/>
  <c r="J154" i="30"/>
  <c r="N154" i="30"/>
  <c r="K154" i="30"/>
  <c r="O154" i="30"/>
  <c r="I155" i="30"/>
  <c r="M155" i="30"/>
  <c r="J155" i="30"/>
  <c r="N155" i="30"/>
  <c r="K155" i="30"/>
  <c r="O155" i="30"/>
  <c r="I156" i="30"/>
  <c r="M156" i="30"/>
  <c r="J156" i="30"/>
  <c r="N156" i="30"/>
  <c r="K156" i="30"/>
  <c r="O156" i="30"/>
  <c r="I157" i="30"/>
  <c r="M157" i="30"/>
  <c r="J157" i="30"/>
  <c r="N157" i="30"/>
  <c r="K157" i="30"/>
  <c r="O157" i="30"/>
  <c r="I158" i="30"/>
  <c r="M158" i="30"/>
  <c r="J158" i="30"/>
  <c r="N158" i="30"/>
  <c r="K158" i="30"/>
  <c r="O158" i="30"/>
  <c r="I159" i="30"/>
  <c r="M159" i="30"/>
  <c r="J159" i="30"/>
  <c r="N159" i="30"/>
  <c r="K159" i="30"/>
  <c r="O159" i="30"/>
  <c r="I160" i="30"/>
  <c r="M160" i="30"/>
  <c r="J160" i="30"/>
  <c r="N160" i="30"/>
  <c r="K160" i="30"/>
  <c r="O160" i="30"/>
  <c r="I161" i="30"/>
  <c r="M161" i="30"/>
  <c r="J161" i="30"/>
  <c r="N161" i="30"/>
  <c r="K161" i="30"/>
  <c r="O161" i="30"/>
  <c r="I162" i="30"/>
  <c r="M162" i="30"/>
  <c r="J162" i="30"/>
  <c r="N162" i="30"/>
  <c r="K162" i="30"/>
  <c r="O162" i="30"/>
  <c r="I163" i="30"/>
  <c r="M163" i="30"/>
  <c r="J163" i="30"/>
  <c r="N163" i="30"/>
  <c r="K163" i="30"/>
  <c r="O163" i="30"/>
  <c r="I164" i="30"/>
  <c r="M164" i="30"/>
  <c r="J164" i="30"/>
  <c r="N164" i="30"/>
  <c r="K164" i="30"/>
  <c r="O164" i="30"/>
  <c r="K165" i="30"/>
  <c r="O165" i="30"/>
  <c r="J147" i="30"/>
  <c r="I147" i="30"/>
  <c r="M147" i="30"/>
  <c r="N147" i="30"/>
  <c r="K147" i="30"/>
  <c r="O147" i="30"/>
  <c r="Q165" i="30"/>
  <c r="Q164" i="30"/>
  <c r="P164" i="30"/>
  <c r="Q163" i="30"/>
  <c r="P163" i="30"/>
  <c r="Q162" i="30"/>
  <c r="P162" i="30"/>
  <c r="Q161" i="30"/>
  <c r="P161" i="30"/>
  <c r="Q160" i="30"/>
  <c r="P160" i="30"/>
  <c r="Q159" i="30"/>
  <c r="P159" i="30"/>
  <c r="Q158" i="30"/>
  <c r="P158" i="30"/>
  <c r="Q157" i="30"/>
  <c r="P157" i="30"/>
  <c r="Q156" i="30"/>
  <c r="P156" i="30"/>
  <c r="Q155" i="30"/>
  <c r="P155" i="30"/>
  <c r="Q154" i="30"/>
  <c r="P154" i="30"/>
  <c r="Q153" i="30"/>
  <c r="P153" i="30"/>
  <c r="Q152" i="30"/>
  <c r="P152" i="30"/>
  <c r="Q151" i="30"/>
  <c r="P151" i="30"/>
  <c r="Q150" i="30"/>
  <c r="P150" i="30"/>
  <c r="Q149" i="30"/>
  <c r="P149" i="30"/>
  <c r="Q148" i="30"/>
  <c r="P148" i="30"/>
  <c r="Q147" i="30"/>
  <c r="P147" i="30"/>
  <c r="K141" i="30"/>
  <c r="J141" i="30"/>
  <c r="I141" i="30"/>
  <c r="M141" i="30"/>
  <c r="N141" i="30"/>
  <c r="O141" i="30"/>
  <c r="I124" i="30"/>
  <c r="M124" i="30"/>
  <c r="J124" i="30"/>
  <c r="N124" i="30"/>
  <c r="K124" i="30"/>
  <c r="O124" i="30"/>
  <c r="I125" i="30"/>
  <c r="M125" i="30"/>
  <c r="J125" i="30"/>
  <c r="N125" i="30"/>
  <c r="K125" i="30"/>
  <c r="O125" i="30"/>
  <c r="I126" i="30"/>
  <c r="M126" i="30"/>
  <c r="J126" i="30"/>
  <c r="N126" i="30"/>
  <c r="K126" i="30"/>
  <c r="O126" i="30"/>
  <c r="I127" i="30"/>
  <c r="M127" i="30"/>
  <c r="J127" i="30"/>
  <c r="N127" i="30"/>
  <c r="K127" i="30"/>
  <c r="O127" i="30"/>
  <c r="I128" i="30"/>
  <c r="M128" i="30"/>
  <c r="J128" i="30"/>
  <c r="N128" i="30"/>
  <c r="K128" i="30"/>
  <c r="O128" i="30"/>
  <c r="I129" i="30"/>
  <c r="M129" i="30"/>
  <c r="J129" i="30"/>
  <c r="N129" i="30"/>
  <c r="K129" i="30"/>
  <c r="O129" i="30"/>
  <c r="I130" i="30"/>
  <c r="M130" i="30"/>
  <c r="J130" i="30"/>
  <c r="N130" i="30"/>
  <c r="K130" i="30"/>
  <c r="O130" i="30"/>
  <c r="I131" i="30"/>
  <c r="M131" i="30"/>
  <c r="J131" i="30"/>
  <c r="N131" i="30"/>
  <c r="K131" i="30"/>
  <c r="O131" i="30"/>
  <c r="I132" i="30"/>
  <c r="M132" i="30"/>
  <c r="J132" i="30"/>
  <c r="N132" i="30"/>
  <c r="K132" i="30"/>
  <c r="O132" i="30"/>
  <c r="I133" i="30"/>
  <c r="M133" i="30"/>
  <c r="J133" i="30"/>
  <c r="N133" i="30"/>
  <c r="K133" i="30"/>
  <c r="O133" i="30"/>
  <c r="I134" i="30"/>
  <c r="M134" i="30"/>
  <c r="J134" i="30"/>
  <c r="N134" i="30"/>
  <c r="K134" i="30"/>
  <c r="O134" i="30"/>
  <c r="I135" i="30"/>
  <c r="M135" i="30"/>
  <c r="J135" i="30"/>
  <c r="N135" i="30"/>
  <c r="K135" i="30"/>
  <c r="O135" i="30"/>
  <c r="I136" i="30"/>
  <c r="M136" i="30"/>
  <c r="J136" i="30"/>
  <c r="N136" i="30"/>
  <c r="K136" i="30"/>
  <c r="O136" i="30"/>
  <c r="I137" i="30"/>
  <c r="M137" i="30"/>
  <c r="J137" i="30"/>
  <c r="N137" i="30"/>
  <c r="K137" i="30"/>
  <c r="O137" i="30"/>
  <c r="I138" i="30"/>
  <c r="M138" i="30"/>
  <c r="J138" i="30"/>
  <c r="N138" i="30"/>
  <c r="K138" i="30"/>
  <c r="O138" i="30"/>
  <c r="I139" i="30"/>
  <c r="M139" i="30"/>
  <c r="J139" i="30"/>
  <c r="N139" i="30"/>
  <c r="K139" i="30"/>
  <c r="O139" i="30"/>
  <c r="I140" i="30"/>
  <c r="M140" i="30"/>
  <c r="J140" i="30"/>
  <c r="N140" i="30"/>
  <c r="K140" i="30"/>
  <c r="O140" i="30"/>
  <c r="J123" i="30"/>
  <c r="I123" i="30"/>
  <c r="M123" i="30"/>
  <c r="N123" i="30"/>
  <c r="K123" i="30"/>
  <c r="O123" i="30"/>
  <c r="Q141" i="30"/>
  <c r="P141" i="30"/>
  <c r="Q140" i="30"/>
  <c r="P140" i="30"/>
  <c r="Q139" i="30"/>
  <c r="P139" i="30"/>
  <c r="Q138" i="30"/>
  <c r="P138" i="30"/>
  <c r="Q137" i="30"/>
  <c r="P137" i="30"/>
  <c r="Q136" i="30"/>
  <c r="P136" i="30"/>
  <c r="Q135" i="30"/>
  <c r="P135" i="30"/>
  <c r="Q134" i="30"/>
  <c r="P134" i="30"/>
  <c r="Q133" i="30"/>
  <c r="P133" i="30"/>
  <c r="Q132" i="30"/>
  <c r="P132" i="30"/>
  <c r="Q131" i="30"/>
  <c r="P131" i="30"/>
  <c r="Q130" i="30"/>
  <c r="P130" i="30"/>
  <c r="Q129" i="30"/>
  <c r="P129" i="30"/>
  <c r="Q128" i="30"/>
  <c r="P128" i="30"/>
  <c r="Q127" i="30"/>
  <c r="P127" i="30"/>
  <c r="Q126" i="30"/>
  <c r="P126" i="30"/>
  <c r="Q125" i="30"/>
  <c r="P125" i="30"/>
  <c r="Q124" i="30"/>
  <c r="P124" i="30"/>
  <c r="Q123" i="30"/>
  <c r="P123" i="30"/>
  <c r="I100" i="30"/>
  <c r="M100" i="30"/>
  <c r="J100" i="30"/>
  <c r="N100" i="30"/>
  <c r="K100" i="30"/>
  <c r="O100" i="30"/>
  <c r="I101" i="30"/>
  <c r="M101" i="30"/>
  <c r="J101" i="30"/>
  <c r="N101" i="30"/>
  <c r="K101" i="30"/>
  <c r="O101" i="30"/>
  <c r="I102" i="30"/>
  <c r="M102" i="30"/>
  <c r="J102" i="30"/>
  <c r="N102" i="30"/>
  <c r="K102" i="30"/>
  <c r="O102" i="30"/>
  <c r="I103" i="30"/>
  <c r="M103" i="30"/>
  <c r="J103" i="30"/>
  <c r="N103" i="30"/>
  <c r="K103" i="30"/>
  <c r="O103" i="30"/>
  <c r="I104" i="30"/>
  <c r="M104" i="30"/>
  <c r="J104" i="30"/>
  <c r="N104" i="30"/>
  <c r="K104" i="30"/>
  <c r="O104" i="30"/>
  <c r="I105" i="30"/>
  <c r="M105" i="30"/>
  <c r="J105" i="30"/>
  <c r="N105" i="30"/>
  <c r="K105" i="30"/>
  <c r="O105" i="30"/>
  <c r="I106" i="30"/>
  <c r="M106" i="30"/>
  <c r="J106" i="30"/>
  <c r="N106" i="30"/>
  <c r="K106" i="30"/>
  <c r="O106" i="30"/>
  <c r="I107" i="30"/>
  <c r="M107" i="30"/>
  <c r="J107" i="30"/>
  <c r="N107" i="30"/>
  <c r="K107" i="30"/>
  <c r="O107" i="30"/>
  <c r="I108" i="30"/>
  <c r="M108" i="30"/>
  <c r="J108" i="30"/>
  <c r="N108" i="30"/>
  <c r="K108" i="30"/>
  <c r="O108" i="30"/>
  <c r="I109" i="30"/>
  <c r="M109" i="30"/>
  <c r="J109" i="30"/>
  <c r="N109" i="30"/>
  <c r="K109" i="30"/>
  <c r="O109" i="30"/>
  <c r="I110" i="30"/>
  <c r="M110" i="30"/>
  <c r="J110" i="30"/>
  <c r="N110" i="30"/>
  <c r="K110" i="30"/>
  <c r="O110" i="30"/>
  <c r="I111" i="30"/>
  <c r="M111" i="30"/>
  <c r="J111" i="30"/>
  <c r="N111" i="30"/>
  <c r="K111" i="30"/>
  <c r="O111" i="30"/>
  <c r="I112" i="30"/>
  <c r="M112" i="30"/>
  <c r="J112" i="30"/>
  <c r="N112" i="30"/>
  <c r="K112" i="30"/>
  <c r="O112" i="30"/>
  <c r="I113" i="30"/>
  <c r="M113" i="30"/>
  <c r="J113" i="30"/>
  <c r="N113" i="30"/>
  <c r="K113" i="30"/>
  <c r="O113" i="30"/>
  <c r="I114" i="30"/>
  <c r="M114" i="30"/>
  <c r="J114" i="30"/>
  <c r="N114" i="30"/>
  <c r="K114" i="30"/>
  <c r="O114" i="30"/>
  <c r="I115" i="30"/>
  <c r="M115" i="30"/>
  <c r="J115" i="30"/>
  <c r="N115" i="30"/>
  <c r="K115" i="30"/>
  <c r="O115" i="30"/>
  <c r="I116" i="30"/>
  <c r="M116" i="30"/>
  <c r="J116" i="30"/>
  <c r="N116" i="30"/>
  <c r="K116" i="30"/>
  <c r="O116" i="30"/>
  <c r="I117" i="30"/>
  <c r="M117" i="30"/>
  <c r="J117" i="30"/>
  <c r="N117" i="30"/>
  <c r="K117" i="30"/>
  <c r="O117" i="30"/>
  <c r="J99" i="30"/>
  <c r="I99" i="30"/>
  <c r="M99" i="30"/>
  <c r="N99" i="30"/>
  <c r="K99" i="30"/>
  <c r="O99" i="30"/>
  <c r="Q117" i="30"/>
  <c r="P117" i="30"/>
  <c r="Q116" i="30"/>
  <c r="P116" i="30"/>
  <c r="Q115" i="30"/>
  <c r="P115" i="30"/>
  <c r="Q114" i="30"/>
  <c r="P114" i="30"/>
  <c r="Q113" i="30"/>
  <c r="P113" i="30"/>
  <c r="Q112" i="30"/>
  <c r="P112" i="30"/>
  <c r="Q111" i="30"/>
  <c r="P111" i="30"/>
  <c r="Q110" i="30"/>
  <c r="P110" i="30"/>
  <c r="Q109" i="30"/>
  <c r="P109" i="30"/>
  <c r="Q108" i="30"/>
  <c r="P108" i="30"/>
  <c r="Q107" i="30"/>
  <c r="P107" i="30"/>
  <c r="Q106" i="30"/>
  <c r="P106" i="30"/>
  <c r="Q105" i="30"/>
  <c r="P105" i="30"/>
  <c r="Q104" i="30"/>
  <c r="P104" i="30"/>
  <c r="Q103" i="30"/>
  <c r="P103" i="30"/>
  <c r="Q102" i="30"/>
  <c r="P102" i="30"/>
  <c r="Q101" i="30"/>
  <c r="P101" i="30"/>
  <c r="Q100" i="30"/>
  <c r="P100" i="30"/>
  <c r="Q99" i="30"/>
  <c r="P99" i="30"/>
  <c r="I76" i="30"/>
  <c r="M76" i="30"/>
  <c r="J76" i="30"/>
  <c r="N76" i="30"/>
  <c r="K76" i="30"/>
  <c r="O76" i="30"/>
  <c r="I77" i="30"/>
  <c r="M77" i="30"/>
  <c r="J77" i="30"/>
  <c r="N77" i="30"/>
  <c r="K77" i="30"/>
  <c r="O77" i="30"/>
  <c r="I78" i="30"/>
  <c r="M78" i="30"/>
  <c r="J78" i="30"/>
  <c r="N78" i="30"/>
  <c r="K78" i="30"/>
  <c r="O78" i="30"/>
  <c r="I79" i="30"/>
  <c r="M79" i="30"/>
  <c r="J79" i="30"/>
  <c r="N79" i="30"/>
  <c r="K79" i="30"/>
  <c r="O79" i="30"/>
  <c r="I80" i="30"/>
  <c r="M80" i="30"/>
  <c r="J80" i="30"/>
  <c r="N80" i="30"/>
  <c r="K80" i="30"/>
  <c r="O80" i="30"/>
  <c r="I81" i="30"/>
  <c r="M81" i="30"/>
  <c r="J81" i="30"/>
  <c r="N81" i="30"/>
  <c r="K81" i="30"/>
  <c r="O81" i="30"/>
  <c r="I82" i="30"/>
  <c r="M82" i="30"/>
  <c r="J82" i="30"/>
  <c r="N82" i="30"/>
  <c r="K82" i="30"/>
  <c r="O82" i="30"/>
  <c r="I83" i="30"/>
  <c r="M83" i="30"/>
  <c r="J83" i="30"/>
  <c r="N83" i="30"/>
  <c r="K83" i="30"/>
  <c r="O83" i="30"/>
  <c r="I84" i="30"/>
  <c r="M84" i="30"/>
  <c r="J84" i="30"/>
  <c r="N84" i="30"/>
  <c r="K84" i="30"/>
  <c r="O84" i="30"/>
  <c r="I85" i="30"/>
  <c r="M85" i="30"/>
  <c r="J85" i="30"/>
  <c r="N85" i="30"/>
  <c r="K85" i="30"/>
  <c r="O85" i="30"/>
  <c r="I86" i="30"/>
  <c r="M86" i="30"/>
  <c r="J86" i="30"/>
  <c r="N86" i="30"/>
  <c r="K86" i="30"/>
  <c r="O86" i="30"/>
  <c r="I87" i="30"/>
  <c r="M87" i="30"/>
  <c r="J87" i="30"/>
  <c r="N87" i="30"/>
  <c r="K87" i="30"/>
  <c r="O87" i="30"/>
  <c r="I88" i="30"/>
  <c r="M88" i="30"/>
  <c r="J88" i="30"/>
  <c r="N88" i="30"/>
  <c r="K88" i="30"/>
  <c r="O88" i="30"/>
  <c r="I89" i="30"/>
  <c r="M89" i="30"/>
  <c r="J89" i="30"/>
  <c r="N89" i="30"/>
  <c r="K89" i="30"/>
  <c r="O89" i="30"/>
  <c r="I90" i="30"/>
  <c r="M90" i="30"/>
  <c r="J90" i="30"/>
  <c r="N90" i="30"/>
  <c r="K90" i="30"/>
  <c r="O90" i="30"/>
  <c r="I91" i="30"/>
  <c r="M91" i="30"/>
  <c r="J91" i="30"/>
  <c r="N91" i="30"/>
  <c r="K91" i="30"/>
  <c r="O91" i="30"/>
  <c r="I92" i="30"/>
  <c r="M92" i="30"/>
  <c r="J92" i="30"/>
  <c r="N92" i="30"/>
  <c r="K92" i="30"/>
  <c r="O92" i="30"/>
  <c r="I93" i="30"/>
  <c r="M93" i="30"/>
  <c r="J93" i="30"/>
  <c r="N93" i="30"/>
  <c r="K93" i="30"/>
  <c r="O93" i="30"/>
  <c r="J75" i="30"/>
  <c r="I75" i="30"/>
  <c r="M75" i="30"/>
  <c r="N75" i="30"/>
  <c r="K75" i="30"/>
  <c r="O75" i="30"/>
  <c r="Q93" i="30"/>
  <c r="P93" i="30"/>
  <c r="Q92" i="30"/>
  <c r="P92" i="30"/>
  <c r="Q91" i="30"/>
  <c r="P91" i="30"/>
  <c r="Q90" i="30"/>
  <c r="P90" i="30"/>
  <c r="Q89" i="30"/>
  <c r="P89" i="30"/>
  <c r="Q88" i="30"/>
  <c r="P88" i="30"/>
  <c r="Q87" i="30"/>
  <c r="P87" i="30"/>
  <c r="Q86" i="30"/>
  <c r="P86" i="30"/>
  <c r="Q85" i="30"/>
  <c r="P85" i="30"/>
  <c r="Q84" i="30"/>
  <c r="P84" i="30"/>
  <c r="Q83" i="30"/>
  <c r="P83" i="30"/>
  <c r="Q82" i="30"/>
  <c r="P82" i="30"/>
  <c r="Q81" i="30"/>
  <c r="P81" i="30"/>
  <c r="Q80" i="30"/>
  <c r="P80" i="30"/>
  <c r="Q79" i="30"/>
  <c r="P79" i="30"/>
  <c r="Q78" i="30"/>
  <c r="P78" i="30"/>
  <c r="Q77" i="30"/>
  <c r="P77" i="30"/>
  <c r="Q76" i="30"/>
  <c r="P76" i="30"/>
  <c r="Q75" i="30"/>
  <c r="P75" i="30"/>
  <c r="K69" i="30"/>
  <c r="J69" i="30"/>
  <c r="I69" i="30"/>
  <c r="M69" i="30"/>
  <c r="N69" i="30"/>
  <c r="O69" i="30"/>
  <c r="Q69" i="30"/>
  <c r="I52" i="30"/>
  <c r="M52" i="30"/>
  <c r="J52" i="30"/>
  <c r="N52" i="30"/>
  <c r="K52" i="30"/>
  <c r="O52" i="30"/>
  <c r="I53" i="30"/>
  <c r="M53" i="30"/>
  <c r="J53" i="30"/>
  <c r="N53" i="30"/>
  <c r="K53" i="30"/>
  <c r="O53" i="30"/>
  <c r="I54" i="30"/>
  <c r="M54" i="30"/>
  <c r="J54" i="30"/>
  <c r="N54" i="30"/>
  <c r="K54" i="30"/>
  <c r="O54" i="30"/>
  <c r="I55" i="30"/>
  <c r="M55" i="30"/>
  <c r="J55" i="30"/>
  <c r="N55" i="30"/>
  <c r="K55" i="30"/>
  <c r="O55" i="30"/>
  <c r="I56" i="30"/>
  <c r="M56" i="30"/>
  <c r="J56" i="30"/>
  <c r="N56" i="30"/>
  <c r="K56" i="30"/>
  <c r="O56" i="30"/>
  <c r="I57" i="30"/>
  <c r="M57" i="30"/>
  <c r="J57" i="30"/>
  <c r="N57" i="30"/>
  <c r="K57" i="30"/>
  <c r="O57" i="30"/>
  <c r="I58" i="30"/>
  <c r="M58" i="30"/>
  <c r="J58" i="30"/>
  <c r="N58" i="30"/>
  <c r="K58" i="30"/>
  <c r="O58" i="30"/>
  <c r="I59" i="30"/>
  <c r="M59" i="30"/>
  <c r="J59" i="30"/>
  <c r="N59" i="30"/>
  <c r="K59" i="30"/>
  <c r="O59" i="30"/>
  <c r="I60" i="30"/>
  <c r="M60" i="30"/>
  <c r="J60" i="30"/>
  <c r="N60" i="30"/>
  <c r="K60" i="30"/>
  <c r="O60" i="30"/>
  <c r="I61" i="30"/>
  <c r="M61" i="30"/>
  <c r="J61" i="30"/>
  <c r="N61" i="30"/>
  <c r="K61" i="30"/>
  <c r="O61" i="30"/>
  <c r="I62" i="30"/>
  <c r="M62" i="30"/>
  <c r="J62" i="30"/>
  <c r="N62" i="30"/>
  <c r="K62" i="30"/>
  <c r="O62" i="30"/>
  <c r="I63" i="30"/>
  <c r="M63" i="30"/>
  <c r="J63" i="30"/>
  <c r="N63" i="30"/>
  <c r="K63" i="30"/>
  <c r="O63" i="30"/>
  <c r="I64" i="30"/>
  <c r="M64" i="30"/>
  <c r="J64" i="30"/>
  <c r="N64" i="30"/>
  <c r="K64" i="30"/>
  <c r="O64" i="30"/>
  <c r="I65" i="30"/>
  <c r="M65" i="30"/>
  <c r="J65" i="30"/>
  <c r="N65" i="30"/>
  <c r="K65" i="30"/>
  <c r="O65" i="30"/>
  <c r="I66" i="30"/>
  <c r="M66" i="30"/>
  <c r="J66" i="30"/>
  <c r="N66" i="30"/>
  <c r="K66" i="30"/>
  <c r="O66" i="30"/>
  <c r="I67" i="30"/>
  <c r="M67" i="30"/>
  <c r="J67" i="30"/>
  <c r="N67" i="30"/>
  <c r="K67" i="30"/>
  <c r="O67" i="30"/>
  <c r="I68" i="30"/>
  <c r="M68" i="30"/>
  <c r="J68" i="30"/>
  <c r="N68" i="30"/>
  <c r="K68" i="30"/>
  <c r="O68" i="30"/>
  <c r="J51" i="30"/>
  <c r="I51" i="30"/>
  <c r="M51" i="30"/>
  <c r="N51" i="30"/>
  <c r="K51" i="30"/>
  <c r="O51" i="30"/>
  <c r="P69" i="30"/>
  <c r="Q68" i="30"/>
  <c r="P68" i="30"/>
  <c r="Q67" i="30"/>
  <c r="P67" i="30"/>
  <c r="Q66" i="30"/>
  <c r="P66" i="30"/>
  <c r="Q65" i="30"/>
  <c r="P65" i="30"/>
  <c r="Q64" i="30"/>
  <c r="P64" i="30"/>
  <c r="Q63" i="30"/>
  <c r="P63" i="30"/>
  <c r="Q62" i="30"/>
  <c r="P62" i="30"/>
  <c r="Q61" i="30"/>
  <c r="P61" i="30"/>
  <c r="Q60" i="30"/>
  <c r="P60" i="30"/>
  <c r="Q59" i="30"/>
  <c r="P59" i="30"/>
  <c r="Q58" i="30"/>
  <c r="P58" i="30"/>
  <c r="Q57" i="30"/>
  <c r="P57" i="30"/>
  <c r="Q56" i="30"/>
  <c r="P56" i="30"/>
  <c r="Q55" i="30"/>
  <c r="P55" i="30"/>
  <c r="Q54" i="30"/>
  <c r="P54" i="30"/>
  <c r="Q53" i="30"/>
  <c r="P53" i="30"/>
  <c r="Q52" i="30"/>
  <c r="P52" i="30"/>
  <c r="Q51" i="30"/>
  <c r="P51" i="30"/>
  <c r="I28" i="30"/>
  <c r="M28" i="30"/>
  <c r="J28" i="30"/>
  <c r="N28" i="30"/>
  <c r="K28" i="30"/>
  <c r="O28" i="30"/>
  <c r="I29" i="30"/>
  <c r="M29" i="30"/>
  <c r="J29" i="30"/>
  <c r="N29" i="30"/>
  <c r="K29" i="30"/>
  <c r="O29" i="30"/>
  <c r="I30" i="30"/>
  <c r="M30" i="30"/>
  <c r="J30" i="30"/>
  <c r="N30" i="30"/>
  <c r="K30" i="30"/>
  <c r="O30" i="30"/>
  <c r="I31" i="30"/>
  <c r="M31" i="30"/>
  <c r="J31" i="30"/>
  <c r="N31" i="30"/>
  <c r="K31" i="30"/>
  <c r="O31" i="30"/>
  <c r="I32" i="30"/>
  <c r="M32" i="30"/>
  <c r="J32" i="30"/>
  <c r="N32" i="30"/>
  <c r="K32" i="30"/>
  <c r="O32" i="30"/>
  <c r="I33" i="30"/>
  <c r="M33" i="30"/>
  <c r="J33" i="30"/>
  <c r="N33" i="30"/>
  <c r="K33" i="30"/>
  <c r="O33" i="30"/>
  <c r="I34" i="30"/>
  <c r="M34" i="30"/>
  <c r="J34" i="30"/>
  <c r="N34" i="30"/>
  <c r="K34" i="30"/>
  <c r="O34" i="30"/>
  <c r="I35" i="30"/>
  <c r="M35" i="30"/>
  <c r="J35" i="30"/>
  <c r="N35" i="30"/>
  <c r="K35" i="30"/>
  <c r="O35" i="30"/>
  <c r="I36" i="30"/>
  <c r="M36" i="30"/>
  <c r="J36" i="30"/>
  <c r="N36" i="30"/>
  <c r="K36" i="30"/>
  <c r="O36" i="30"/>
  <c r="I37" i="30"/>
  <c r="M37" i="30"/>
  <c r="J37" i="30"/>
  <c r="N37" i="30"/>
  <c r="K37" i="30"/>
  <c r="O37" i="30"/>
  <c r="I38" i="30"/>
  <c r="M38" i="30"/>
  <c r="J38" i="30"/>
  <c r="N38" i="30"/>
  <c r="K38" i="30"/>
  <c r="O38" i="30"/>
  <c r="I39" i="30"/>
  <c r="M39" i="30"/>
  <c r="J39" i="30"/>
  <c r="N39" i="30"/>
  <c r="K39" i="30"/>
  <c r="O39" i="30"/>
  <c r="I40" i="30"/>
  <c r="M40" i="30"/>
  <c r="J40" i="30"/>
  <c r="N40" i="30"/>
  <c r="K40" i="30"/>
  <c r="O40" i="30"/>
  <c r="I41" i="30"/>
  <c r="M41" i="30"/>
  <c r="J41" i="30"/>
  <c r="N41" i="30"/>
  <c r="K41" i="30"/>
  <c r="O41" i="30"/>
  <c r="I42" i="30"/>
  <c r="M42" i="30"/>
  <c r="J42" i="30"/>
  <c r="N42" i="30"/>
  <c r="K42" i="30"/>
  <c r="O42" i="30"/>
  <c r="I43" i="30"/>
  <c r="M43" i="30"/>
  <c r="J43" i="30"/>
  <c r="N43" i="30"/>
  <c r="K43" i="30"/>
  <c r="O43" i="30"/>
  <c r="I44" i="30"/>
  <c r="M44" i="30"/>
  <c r="J44" i="30"/>
  <c r="N44" i="30"/>
  <c r="K44" i="30"/>
  <c r="O44" i="30"/>
  <c r="I45" i="30"/>
  <c r="M45" i="30"/>
  <c r="J45" i="30"/>
  <c r="N45" i="30"/>
  <c r="K45" i="30"/>
  <c r="O45" i="30"/>
  <c r="J27" i="30"/>
  <c r="I27" i="30"/>
  <c r="M27" i="30"/>
  <c r="N27" i="30"/>
  <c r="K27" i="30"/>
  <c r="O27" i="30"/>
  <c r="Q45" i="30"/>
  <c r="P45" i="30"/>
  <c r="Q44" i="30"/>
  <c r="P44" i="30"/>
  <c r="Q43" i="30"/>
  <c r="P43" i="30"/>
  <c r="Q42" i="30"/>
  <c r="P42" i="30"/>
  <c r="Q41" i="30"/>
  <c r="P41" i="30"/>
  <c r="Q40" i="30"/>
  <c r="P40" i="30"/>
  <c r="Q39" i="30"/>
  <c r="P39" i="30"/>
  <c r="Q38" i="30"/>
  <c r="P38" i="30"/>
  <c r="Q37" i="30"/>
  <c r="P37" i="30"/>
  <c r="Q36" i="30"/>
  <c r="P36" i="30"/>
  <c r="Q35" i="30"/>
  <c r="P35" i="30"/>
  <c r="Q34" i="30"/>
  <c r="P34" i="30"/>
  <c r="Q33" i="30"/>
  <c r="P33" i="30"/>
  <c r="Q32" i="30"/>
  <c r="P32" i="30"/>
  <c r="Q31" i="30"/>
  <c r="P31" i="30"/>
  <c r="Q30" i="30"/>
  <c r="P30" i="30"/>
  <c r="Q29" i="30"/>
  <c r="P29" i="30"/>
  <c r="Q28" i="30"/>
  <c r="P28" i="30"/>
  <c r="Q27" i="30"/>
  <c r="P27" i="30"/>
  <c r="H2" i="31"/>
  <c r="C9" i="31"/>
  <c r="D9" i="31"/>
  <c r="B8" i="31"/>
  <c r="B7" i="31"/>
  <c r="B6" i="31"/>
  <c r="B5" i="31"/>
  <c r="B4" i="31"/>
  <c r="B3" i="31"/>
  <c r="B2" i="31"/>
  <c r="C7" i="31"/>
  <c r="C8" i="31"/>
  <c r="E9" i="31"/>
  <c r="C2" i="31"/>
  <c r="D2" i="31"/>
  <c r="K21" i="30"/>
  <c r="J21" i="30"/>
  <c r="I21" i="30"/>
  <c r="M21" i="30"/>
  <c r="N21" i="30"/>
  <c r="O21" i="30"/>
  <c r="P21" i="30"/>
  <c r="I3" i="30"/>
  <c r="M3" i="30"/>
  <c r="P3" i="30"/>
  <c r="I4" i="30"/>
  <c r="M4" i="30"/>
  <c r="J4" i="30"/>
  <c r="N4" i="30"/>
  <c r="K4" i="30"/>
  <c r="O4" i="30"/>
  <c r="I5" i="30"/>
  <c r="M5" i="30"/>
  <c r="J5" i="30"/>
  <c r="N5" i="30"/>
  <c r="K5" i="30"/>
  <c r="O5" i="30"/>
  <c r="I6" i="30"/>
  <c r="M6" i="30"/>
  <c r="J6" i="30"/>
  <c r="N6" i="30"/>
  <c r="K6" i="30"/>
  <c r="O6" i="30"/>
  <c r="I7" i="30"/>
  <c r="M7" i="30"/>
  <c r="J7" i="30"/>
  <c r="N7" i="30"/>
  <c r="K7" i="30"/>
  <c r="O7" i="30"/>
  <c r="I8" i="30"/>
  <c r="M8" i="30"/>
  <c r="J8" i="30"/>
  <c r="N8" i="30"/>
  <c r="K8" i="30"/>
  <c r="O8" i="30"/>
  <c r="I9" i="30"/>
  <c r="M9" i="30"/>
  <c r="J9" i="30"/>
  <c r="N9" i="30"/>
  <c r="K9" i="30"/>
  <c r="O9" i="30"/>
  <c r="I10" i="30"/>
  <c r="M10" i="30"/>
  <c r="J10" i="30"/>
  <c r="N10" i="30"/>
  <c r="K10" i="30"/>
  <c r="O10" i="30"/>
  <c r="I11" i="30"/>
  <c r="M11" i="30"/>
  <c r="J11" i="30"/>
  <c r="N11" i="30"/>
  <c r="K11" i="30"/>
  <c r="O11" i="30"/>
  <c r="I12" i="30"/>
  <c r="M12" i="30"/>
  <c r="J12" i="30"/>
  <c r="N12" i="30"/>
  <c r="K12" i="30"/>
  <c r="O12" i="30"/>
  <c r="I13" i="30"/>
  <c r="M13" i="30"/>
  <c r="J13" i="30"/>
  <c r="N13" i="30"/>
  <c r="K13" i="30"/>
  <c r="O13" i="30"/>
  <c r="I14" i="30"/>
  <c r="M14" i="30"/>
  <c r="J14" i="30"/>
  <c r="N14" i="30"/>
  <c r="K14" i="30"/>
  <c r="O14" i="30"/>
  <c r="I15" i="30"/>
  <c r="M15" i="30"/>
  <c r="J15" i="30"/>
  <c r="N15" i="30"/>
  <c r="K15" i="30"/>
  <c r="O15" i="30"/>
  <c r="I16" i="30"/>
  <c r="M16" i="30"/>
  <c r="J16" i="30"/>
  <c r="N16" i="30"/>
  <c r="K16" i="30"/>
  <c r="O16" i="30"/>
  <c r="I17" i="30"/>
  <c r="M17" i="30"/>
  <c r="J17" i="30"/>
  <c r="N17" i="30"/>
  <c r="K17" i="30"/>
  <c r="O17" i="30"/>
  <c r="I18" i="30"/>
  <c r="M18" i="30"/>
  <c r="J18" i="30"/>
  <c r="N18" i="30"/>
  <c r="K18" i="30"/>
  <c r="O18" i="30"/>
  <c r="I19" i="30"/>
  <c r="M19" i="30"/>
  <c r="J19" i="30"/>
  <c r="N19" i="30"/>
  <c r="K19" i="30"/>
  <c r="O19" i="30"/>
  <c r="I20" i="30"/>
  <c r="M20" i="30"/>
  <c r="J20" i="30"/>
  <c r="N20" i="30"/>
  <c r="K20" i="30"/>
  <c r="O20" i="30"/>
  <c r="J3" i="30"/>
  <c r="N3" i="30"/>
  <c r="K3" i="30"/>
  <c r="O3" i="30"/>
  <c r="P10" i="30"/>
  <c r="Q10" i="30"/>
  <c r="P11" i="30"/>
  <c r="Q11" i="30"/>
  <c r="P12" i="30"/>
  <c r="Q12" i="30"/>
  <c r="P13" i="30"/>
  <c r="Q13" i="30"/>
  <c r="P14" i="30"/>
  <c r="Q14" i="30"/>
  <c r="P15" i="30"/>
  <c r="Q15" i="30"/>
  <c r="P16" i="30"/>
  <c r="Q16" i="30"/>
  <c r="P17" i="30"/>
  <c r="Q17" i="30"/>
  <c r="P18" i="30"/>
  <c r="Q18" i="30"/>
  <c r="P19" i="30"/>
  <c r="Q19" i="30"/>
  <c r="P20" i="30"/>
  <c r="Q20" i="30"/>
  <c r="Q21" i="30"/>
  <c r="H9" i="32"/>
  <c r="H8" i="32"/>
  <c r="H7" i="32"/>
  <c r="H6" i="32"/>
  <c r="H5" i="32"/>
  <c r="H4" i="32"/>
  <c r="H3" i="32"/>
  <c r="H2" i="32"/>
  <c r="H9" i="31"/>
  <c r="H8" i="31"/>
  <c r="D8" i="31"/>
  <c r="E8" i="31"/>
  <c r="H7" i="31"/>
  <c r="D7" i="31"/>
  <c r="E7" i="31"/>
  <c r="H6" i="31"/>
  <c r="C6" i="31"/>
  <c r="D6" i="31"/>
  <c r="E6" i="31"/>
  <c r="H5" i="31"/>
  <c r="C5" i="31"/>
  <c r="D5" i="31"/>
  <c r="E5" i="31"/>
  <c r="H4" i="31"/>
  <c r="C4" i="31"/>
  <c r="D4" i="31"/>
  <c r="E4" i="31"/>
  <c r="H3" i="31"/>
  <c r="C3" i="31"/>
  <c r="D3" i="31"/>
  <c r="E3" i="31"/>
  <c r="E2" i="31"/>
  <c r="Q9" i="30"/>
  <c r="P9" i="30"/>
  <c r="Q8" i="30"/>
  <c r="P8" i="30"/>
  <c r="Q7" i="30"/>
  <c r="P7" i="30"/>
  <c r="Q6" i="30"/>
  <c r="P6" i="30"/>
  <c r="Q5" i="30"/>
  <c r="P5" i="30"/>
  <c r="Q4" i="30"/>
  <c r="P4" i="30"/>
  <c r="Q3" i="30"/>
  <c r="G25" i="16"/>
  <c r="H25" i="16"/>
  <c r="G25" i="14"/>
  <c r="H25" i="14"/>
  <c r="G25" i="21"/>
  <c r="H25" i="21"/>
  <c r="G25" i="20"/>
  <c r="H25" i="20"/>
  <c r="G25" i="15"/>
  <c r="H25" i="15"/>
  <c r="G25" i="18"/>
  <c r="H25" i="18"/>
  <c r="G25" i="19"/>
  <c r="H25" i="19"/>
  <c r="F3" i="2"/>
  <c r="I3" i="2"/>
  <c r="J3" i="2"/>
  <c r="K3" i="2"/>
  <c r="I4" i="2"/>
  <c r="J4" i="2"/>
  <c r="K4" i="2"/>
  <c r="F4" i="2"/>
  <c r="I5" i="2"/>
  <c r="J5" i="2"/>
  <c r="K5" i="2"/>
  <c r="F5" i="2"/>
  <c r="I6" i="2"/>
  <c r="J6" i="2"/>
  <c r="K6" i="2"/>
  <c r="F6" i="2"/>
  <c r="I7" i="2"/>
  <c r="J7" i="2"/>
  <c r="K7" i="2"/>
  <c r="F7" i="2"/>
  <c r="I8" i="2"/>
  <c r="J8" i="2"/>
  <c r="K8" i="2"/>
  <c r="F8" i="2"/>
  <c r="I9" i="2"/>
  <c r="J9" i="2"/>
  <c r="K9" i="2"/>
  <c r="F9" i="2"/>
  <c r="I10" i="2"/>
  <c r="J10" i="2"/>
  <c r="K10" i="2"/>
  <c r="F10" i="2"/>
  <c r="I11" i="2"/>
  <c r="J11" i="2"/>
  <c r="K11" i="2"/>
  <c r="F11" i="2"/>
  <c r="I12" i="2"/>
  <c r="J12" i="2"/>
  <c r="K12" i="2"/>
  <c r="F12" i="2"/>
  <c r="I13" i="2"/>
  <c r="J13" i="2"/>
  <c r="K13" i="2"/>
  <c r="F13" i="2"/>
  <c r="I14" i="2"/>
  <c r="J14" i="2"/>
  <c r="K14" i="2"/>
  <c r="F14" i="2"/>
  <c r="I15" i="2"/>
  <c r="J15" i="2"/>
  <c r="K15" i="2"/>
  <c r="F15" i="2"/>
  <c r="I16" i="2"/>
  <c r="J16" i="2"/>
  <c r="K16" i="2"/>
  <c r="F16" i="2"/>
  <c r="I17" i="2"/>
  <c r="J17" i="2"/>
  <c r="K17" i="2"/>
  <c r="F17" i="2"/>
  <c r="I18" i="2"/>
  <c r="J18" i="2"/>
  <c r="K18" i="2"/>
  <c r="F18" i="2"/>
  <c r="I19" i="2"/>
  <c r="J19" i="2"/>
  <c r="K19" i="2"/>
  <c r="F19" i="2"/>
  <c r="I20" i="2"/>
  <c r="J20" i="2"/>
  <c r="K20" i="2"/>
  <c r="H44" i="8"/>
  <c r="I44" i="8"/>
  <c r="L44" i="8"/>
  <c r="M44" i="8"/>
  <c r="P44" i="8"/>
  <c r="Q44" i="8"/>
  <c r="F20" i="2"/>
  <c r="I21" i="2"/>
  <c r="H21" i="8"/>
  <c r="I21" i="8"/>
  <c r="L21" i="8"/>
  <c r="M21" i="8"/>
  <c r="P21" i="8"/>
  <c r="Q21" i="8"/>
  <c r="T21" i="8"/>
  <c r="U21" i="8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21" i="5"/>
  <c r="I21" i="4"/>
  <c r="J21" i="4"/>
  <c r="H21" i="22"/>
  <c r="L21" i="22"/>
  <c r="P21" i="22"/>
  <c r="Q21" i="22"/>
  <c r="R21" i="22"/>
  <c r="S21" i="22"/>
  <c r="T21" i="22"/>
  <c r="U21" i="22"/>
  <c r="V21" i="22"/>
  <c r="W21" i="22"/>
  <c r="X21" i="22"/>
  <c r="H19" i="22"/>
  <c r="H20" i="22"/>
  <c r="J21" i="2"/>
  <c r="K21" i="2"/>
  <c r="Q21" i="3"/>
  <c r="R21" i="3"/>
  <c r="S2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3" i="3"/>
  <c r="D20" i="2"/>
  <c r="D16" i="2"/>
  <c r="D17" i="2"/>
  <c r="D18" i="2"/>
  <c r="D19" i="2"/>
  <c r="D21" i="2"/>
  <c r="F21" i="2"/>
  <c r="C15" i="2"/>
  <c r="C16" i="2"/>
  <c r="C17" i="2"/>
  <c r="C18" i="2"/>
  <c r="C19" i="2"/>
  <c r="C20" i="2"/>
  <c r="C21" i="2"/>
  <c r="H37" i="29"/>
  <c r="H38" i="29"/>
  <c r="G29" i="29"/>
  <c r="G30" i="29"/>
  <c r="G31" i="29"/>
  <c r="G32" i="29"/>
  <c r="G33" i="29"/>
  <c r="G34" i="29"/>
  <c r="G35" i="29"/>
  <c r="G36" i="29"/>
  <c r="G37" i="29"/>
  <c r="G38" i="29"/>
  <c r="G28" i="29"/>
  <c r="G24" i="29"/>
  <c r="G25" i="29"/>
  <c r="G26" i="29"/>
  <c r="G27" i="29"/>
  <c r="G23" i="29"/>
  <c r="G4" i="29"/>
  <c r="K4" i="29"/>
  <c r="H27" i="29"/>
  <c r="I27" i="29"/>
  <c r="D48" i="29"/>
  <c r="F40" i="29"/>
  <c r="I38" i="29"/>
  <c r="J38" i="29"/>
  <c r="K38" i="29"/>
  <c r="L38" i="29"/>
  <c r="F38" i="29"/>
  <c r="I37" i="29"/>
  <c r="J37" i="29"/>
  <c r="K37" i="29"/>
  <c r="L37" i="29"/>
  <c r="F37" i="29"/>
  <c r="H36" i="29"/>
  <c r="I36" i="29"/>
  <c r="J36" i="29"/>
  <c r="K36" i="29"/>
  <c r="L36" i="29"/>
  <c r="F36" i="29"/>
  <c r="H35" i="29"/>
  <c r="I35" i="29"/>
  <c r="J35" i="29"/>
  <c r="K35" i="29"/>
  <c r="L35" i="29"/>
  <c r="F35" i="29"/>
  <c r="H34" i="29"/>
  <c r="I34" i="29"/>
  <c r="J34" i="29"/>
  <c r="K34" i="29"/>
  <c r="L34" i="29"/>
  <c r="F34" i="29"/>
  <c r="H33" i="29"/>
  <c r="I33" i="29"/>
  <c r="J33" i="29"/>
  <c r="K33" i="29"/>
  <c r="L33" i="29"/>
  <c r="F33" i="29"/>
  <c r="H32" i="29"/>
  <c r="I32" i="29"/>
  <c r="J32" i="29"/>
  <c r="K32" i="29"/>
  <c r="L32" i="29"/>
  <c r="F32" i="29"/>
  <c r="H31" i="29"/>
  <c r="I31" i="29"/>
  <c r="J31" i="29"/>
  <c r="K31" i="29"/>
  <c r="L31" i="29"/>
  <c r="F31" i="29"/>
  <c r="H30" i="29"/>
  <c r="I30" i="29"/>
  <c r="J30" i="29"/>
  <c r="K30" i="29"/>
  <c r="L30" i="29"/>
  <c r="F30" i="29"/>
  <c r="H29" i="29"/>
  <c r="I29" i="29"/>
  <c r="J29" i="29"/>
  <c r="K29" i="29"/>
  <c r="L29" i="29"/>
  <c r="F29" i="29"/>
  <c r="H28" i="29"/>
  <c r="I28" i="29"/>
  <c r="J28" i="29"/>
  <c r="K28" i="29"/>
  <c r="L28" i="29"/>
  <c r="F28" i="29"/>
  <c r="J27" i="29"/>
  <c r="K27" i="29"/>
  <c r="L27" i="29"/>
  <c r="F27" i="29"/>
  <c r="H26" i="29"/>
  <c r="I26" i="29"/>
  <c r="J26" i="29"/>
  <c r="K26" i="29"/>
  <c r="L26" i="29"/>
  <c r="F26" i="29"/>
  <c r="H25" i="29"/>
  <c r="I25" i="29"/>
  <c r="J25" i="29"/>
  <c r="K25" i="29"/>
  <c r="L25" i="29"/>
  <c r="F25" i="29"/>
  <c r="H24" i="29"/>
  <c r="I24" i="29"/>
  <c r="J24" i="29"/>
  <c r="K24" i="29"/>
  <c r="L24" i="29"/>
  <c r="F24" i="29"/>
  <c r="H23" i="29"/>
  <c r="I23" i="29"/>
  <c r="J23" i="29"/>
  <c r="K23" i="29"/>
  <c r="L23" i="29"/>
  <c r="F23" i="29"/>
  <c r="O19" i="29"/>
  <c r="K19" i="29"/>
  <c r="G19" i="29"/>
  <c r="P19" i="29"/>
  <c r="R19" i="29"/>
  <c r="Q19" i="29"/>
  <c r="O18" i="29"/>
  <c r="K18" i="29"/>
  <c r="G18" i="29"/>
  <c r="P18" i="29"/>
  <c r="R18" i="29"/>
  <c r="Q18" i="29"/>
  <c r="O17" i="29"/>
  <c r="K17" i="29"/>
  <c r="G17" i="29"/>
  <c r="P17" i="29"/>
  <c r="R17" i="29"/>
  <c r="Q17" i="29"/>
  <c r="O16" i="29"/>
  <c r="K16" i="29"/>
  <c r="G16" i="29"/>
  <c r="P16" i="29"/>
  <c r="R16" i="29"/>
  <c r="Q16" i="29"/>
  <c r="O15" i="29"/>
  <c r="K15" i="29"/>
  <c r="G15" i="29"/>
  <c r="P15" i="29"/>
  <c r="R15" i="29"/>
  <c r="Q15" i="29"/>
  <c r="O14" i="29"/>
  <c r="K14" i="29"/>
  <c r="G14" i="29"/>
  <c r="P14" i="29"/>
  <c r="R14" i="29"/>
  <c r="Q14" i="29"/>
  <c r="O13" i="29"/>
  <c r="K13" i="29"/>
  <c r="G13" i="29"/>
  <c r="P13" i="29"/>
  <c r="R13" i="29"/>
  <c r="Q13" i="29"/>
  <c r="O12" i="29"/>
  <c r="K12" i="29"/>
  <c r="G12" i="29"/>
  <c r="P12" i="29"/>
  <c r="R12" i="29"/>
  <c r="Q12" i="29"/>
  <c r="O11" i="29"/>
  <c r="K11" i="29"/>
  <c r="G11" i="29"/>
  <c r="P11" i="29"/>
  <c r="R11" i="29"/>
  <c r="Q11" i="29"/>
  <c r="O10" i="29"/>
  <c r="K10" i="29"/>
  <c r="G10" i="29"/>
  <c r="P10" i="29"/>
  <c r="R10" i="29"/>
  <c r="Q10" i="29"/>
  <c r="O9" i="29"/>
  <c r="K9" i="29"/>
  <c r="G9" i="29"/>
  <c r="P9" i="29"/>
  <c r="R9" i="29"/>
  <c r="Q9" i="29"/>
  <c r="O8" i="29"/>
  <c r="K8" i="29"/>
  <c r="G8" i="29"/>
  <c r="P8" i="29"/>
  <c r="R8" i="29"/>
  <c r="Q8" i="29"/>
  <c r="O7" i="29"/>
  <c r="K7" i="29"/>
  <c r="G7" i="29"/>
  <c r="P7" i="29"/>
  <c r="R7" i="29"/>
  <c r="Q7" i="29"/>
  <c r="O6" i="29"/>
  <c r="K6" i="29"/>
  <c r="G6" i="29"/>
  <c r="P6" i="29"/>
  <c r="R6" i="29"/>
  <c r="Q6" i="29"/>
  <c r="O5" i="29"/>
  <c r="K5" i="29"/>
  <c r="G5" i="29"/>
  <c r="P5" i="29"/>
  <c r="R5" i="29"/>
  <c r="Q5" i="29"/>
  <c r="O4" i="29"/>
  <c r="P4" i="29"/>
  <c r="R4" i="29"/>
  <c r="Q4" i="29"/>
  <c r="H4" i="8"/>
  <c r="H20" i="8"/>
  <c r="C18" i="23"/>
  <c r="C19" i="23"/>
  <c r="L20" i="8"/>
  <c r="L4" i="8"/>
  <c r="C20" i="23"/>
  <c r="O19" i="23"/>
  <c r="P20" i="8"/>
  <c r="P4" i="8"/>
  <c r="P19" i="23"/>
  <c r="P20" i="23"/>
  <c r="T4" i="8"/>
  <c r="T20" i="8"/>
  <c r="L43" i="8"/>
  <c r="L27" i="8"/>
  <c r="B6" i="23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C101" i="7"/>
  <c r="D101" i="7"/>
  <c r="E101" i="7"/>
  <c r="F101" i="7"/>
  <c r="G101" i="7"/>
  <c r="B8" i="23"/>
  <c r="I4" i="8"/>
  <c r="I20" i="8"/>
  <c r="C2" i="23"/>
  <c r="G24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1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2" i="19"/>
  <c r="G23" i="19"/>
  <c r="G24" i="19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5" i="17"/>
  <c r="H4" i="22"/>
  <c r="U4" i="22"/>
  <c r="L4" i="22"/>
  <c r="V4" i="22"/>
  <c r="P4" i="22"/>
  <c r="W4" i="22"/>
  <c r="X4" i="22"/>
  <c r="P5" i="22"/>
  <c r="W5" i="22"/>
  <c r="P6" i="22"/>
  <c r="W6" i="22"/>
  <c r="P7" i="22"/>
  <c r="W7" i="22"/>
  <c r="P8" i="22"/>
  <c r="W8" i="22"/>
  <c r="P9" i="22"/>
  <c r="W9" i="22"/>
  <c r="P10" i="22"/>
  <c r="W10" i="22"/>
  <c r="P11" i="22"/>
  <c r="W11" i="22"/>
  <c r="P12" i="22"/>
  <c r="W12" i="22"/>
  <c r="P13" i="22"/>
  <c r="W13" i="22"/>
  <c r="P14" i="22"/>
  <c r="W14" i="22"/>
  <c r="P15" i="22"/>
  <c r="W15" i="22"/>
  <c r="P16" i="22"/>
  <c r="W16" i="22"/>
  <c r="P17" i="22"/>
  <c r="W17" i="22"/>
  <c r="P18" i="22"/>
  <c r="W18" i="22"/>
  <c r="P19" i="22"/>
  <c r="W19" i="22"/>
  <c r="P20" i="22"/>
  <c r="W20" i="22"/>
  <c r="D25" i="23"/>
  <c r="C25" i="23"/>
  <c r="C24" i="23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7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D35" i="17"/>
  <c r="E35" i="17"/>
  <c r="F35" i="17"/>
  <c r="G35" i="17"/>
  <c r="D36" i="17"/>
  <c r="E36" i="17"/>
  <c r="F36" i="17"/>
  <c r="G36" i="17"/>
  <c r="D37" i="17"/>
  <c r="E37" i="17"/>
  <c r="F37" i="17"/>
  <c r="G37" i="17"/>
  <c r="D38" i="17"/>
  <c r="E38" i="17"/>
  <c r="F38" i="17"/>
  <c r="G38" i="17"/>
  <c r="D39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D48" i="17"/>
  <c r="E48" i="17"/>
  <c r="F48" i="17"/>
  <c r="G48" i="17"/>
  <c r="D49" i="17"/>
  <c r="E49" i="17"/>
  <c r="F49" i="17"/>
  <c r="G49" i="17"/>
  <c r="D50" i="17"/>
  <c r="E50" i="17"/>
  <c r="F50" i="17"/>
  <c r="G50" i="17"/>
  <c r="D51" i="17"/>
  <c r="E51" i="17"/>
  <c r="F51" i="17"/>
  <c r="G51" i="17"/>
  <c r="D52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D59" i="17"/>
  <c r="E59" i="17"/>
  <c r="F59" i="17"/>
  <c r="G59" i="17"/>
  <c r="D60" i="17"/>
  <c r="E60" i="17"/>
  <c r="F60" i="17"/>
  <c r="G60" i="17"/>
  <c r="D61" i="17"/>
  <c r="E61" i="17"/>
  <c r="F61" i="17"/>
  <c r="G61" i="17"/>
  <c r="D62" i="17"/>
  <c r="E62" i="17"/>
  <c r="F62" i="17"/>
  <c r="G62" i="17"/>
  <c r="D63" i="17"/>
  <c r="E63" i="17"/>
  <c r="F63" i="17"/>
  <c r="G63" i="17"/>
  <c r="D64" i="17"/>
  <c r="E64" i="17"/>
  <c r="F64" i="17"/>
  <c r="G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D72" i="17"/>
  <c r="E72" i="17"/>
  <c r="F72" i="17"/>
  <c r="G72" i="17"/>
  <c r="D73" i="17"/>
  <c r="E73" i="17"/>
  <c r="F73" i="17"/>
  <c r="G73" i="17"/>
  <c r="D74" i="17"/>
  <c r="E74" i="17"/>
  <c r="F74" i="17"/>
  <c r="G74" i="17"/>
  <c r="D75" i="17"/>
  <c r="E75" i="17"/>
  <c r="F75" i="17"/>
  <c r="G75" i="17"/>
  <c r="D76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D83" i="17"/>
  <c r="E83" i="17"/>
  <c r="F83" i="17"/>
  <c r="G83" i="17"/>
  <c r="D84" i="17"/>
  <c r="E84" i="17"/>
  <c r="F84" i="17"/>
  <c r="G84" i="17"/>
  <c r="D85" i="17"/>
  <c r="E85" i="17"/>
  <c r="F85" i="17"/>
  <c r="G85" i="17"/>
  <c r="D86" i="17"/>
  <c r="E86" i="17"/>
  <c r="F86" i="17"/>
  <c r="G86" i="17"/>
  <c r="D87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93" i="17"/>
  <c r="E93" i="17"/>
  <c r="F93" i="17"/>
  <c r="G93" i="17"/>
  <c r="D94" i="17"/>
  <c r="E94" i="17"/>
  <c r="F94" i="17"/>
  <c r="G94" i="17"/>
  <c r="D95" i="17"/>
  <c r="E95" i="17"/>
  <c r="F95" i="17"/>
  <c r="G95" i="17"/>
  <c r="D96" i="17"/>
  <c r="E96" i="17"/>
  <c r="F96" i="17"/>
  <c r="G96" i="17"/>
  <c r="D97" i="17"/>
  <c r="E97" i="17"/>
  <c r="F97" i="17"/>
  <c r="G97" i="17"/>
  <c r="D98" i="17"/>
  <c r="E98" i="17"/>
  <c r="F98" i="17"/>
  <c r="G98" i="17"/>
  <c r="D99" i="17"/>
  <c r="E99" i="17"/>
  <c r="F99" i="17"/>
  <c r="G99" i="17"/>
  <c r="D100" i="17"/>
  <c r="E100" i="17"/>
  <c r="F100" i="17"/>
  <c r="G100" i="17"/>
  <c r="D101" i="17"/>
  <c r="E101" i="17"/>
  <c r="F101" i="17"/>
  <c r="G101" i="17"/>
  <c r="B7" i="23"/>
  <c r="N6" i="23"/>
  <c r="C21" i="23"/>
  <c r="C22" i="23"/>
  <c r="C23" i="23"/>
  <c r="B28" i="23"/>
  <c r="N7" i="23"/>
  <c r="N12" i="23"/>
  <c r="L8" i="23"/>
  <c r="L10" i="23"/>
  <c r="L12" i="23"/>
  <c r="N11" i="23"/>
  <c r="L9" i="23"/>
  <c r="L11" i="23"/>
  <c r="J28" i="23"/>
  <c r="L26" i="23"/>
  <c r="K26" i="23"/>
  <c r="U20" i="22"/>
  <c r="L20" i="22"/>
  <c r="V20" i="22"/>
  <c r="X20" i="2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U19" i="22"/>
  <c r="L19" i="22"/>
  <c r="V19" i="22"/>
  <c r="X19" i="22"/>
  <c r="B10" i="23"/>
  <c r="B9" i="23"/>
  <c r="M43" i="8"/>
  <c r="M27" i="8"/>
  <c r="C6" i="23"/>
  <c r="M20" i="8"/>
  <c r="M4" i="8"/>
  <c r="C5" i="23"/>
  <c r="U4" i="8"/>
  <c r="U20" i="8"/>
  <c r="C4" i="23"/>
  <c r="Q4" i="8"/>
  <c r="Q20" i="8"/>
  <c r="C3" i="23"/>
  <c r="C8" i="2"/>
  <c r="C9" i="2"/>
  <c r="C10" i="2"/>
  <c r="C11" i="2"/>
  <c r="C12" i="2"/>
  <c r="C13" i="2"/>
  <c r="C14" i="2"/>
  <c r="C4" i="2"/>
  <c r="C5" i="2"/>
  <c r="C6" i="2"/>
  <c r="C7" i="2"/>
  <c r="D13" i="2"/>
  <c r="I26" i="8"/>
  <c r="G24" i="16"/>
  <c r="H24" i="16"/>
  <c r="G24" i="14"/>
  <c r="H24" i="14"/>
  <c r="G24" i="21"/>
  <c r="H24" i="21"/>
  <c r="G24" i="20"/>
  <c r="H24" i="20"/>
  <c r="G24" i="15"/>
  <c r="H24" i="15"/>
  <c r="H43" i="8"/>
  <c r="I43" i="8"/>
  <c r="P43" i="8"/>
  <c r="Q43" i="8"/>
  <c r="G20" i="5"/>
  <c r="Q20" i="22"/>
  <c r="R20" i="22"/>
  <c r="S20" i="22"/>
  <c r="T20" i="22"/>
  <c r="Q20" i="3"/>
  <c r="R20" i="3"/>
  <c r="S20" i="3"/>
  <c r="C3" i="2"/>
  <c r="H19" i="8"/>
  <c r="L42" i="8"/>
  <c r="L19" i="8"/>
  <c r="T19" i="8"/>
  <c r="I20" i="4"/>
  <c r="J20" i="4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4" i="22"/>
  <c r="G7" i="18"/>
  <c r="H7" i="18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2" i="8"/>
  <c r="M19" i="8"/>
  <c r="U19" i="8"/>
  <c r="Q19" i="8"/>
  <c r="I19" i="8"/>
  <c r="L26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4" i="2"/>
  <c r="D15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M40" i="8"/>
  <c r="P40" i="8"/>
  <c r="Q40" i="8"/>
  <c r="H41" i="8"/>
  <c r="I41" i="8"/>
  <c r="M41" i="8"/>
  <c r="P41" i="8"/>
  <c r="Q41" i="8"/>
  <c r="H42" i="8"/>
  <c r="I42" i="8"/>
  <c r="P42" i="8"/>
  <c r="Q42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3" i="5"/>
  <c r="G14" i="5"/>
  <c r="G15" i="5"/>
  <c r="G16" i="5"/>
  <c r="G17" i="5"/>
  <c r="G18" i="5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6" i="8"/>
  <c r="H26" i="8"/>
  <c r="U3" i="8"/>
  <c r="Q3" i="8"/>
  <c r="M3" i="8"/>
  <c r="Q26" i="8"/>
  <c r="M26" i="8"/>
  <c r="T3" i="8"/>
  <c r="P3" i="8"/>
  <c r="L3" i="8"/>
  <c r="G3" i="5"/>
  <c r="P27" i="8"/>
  <c r="I27" i="8"/>
  <c r="Q27" i="8"/>
  <c r="H27" i="8"/>
  <c r="G4" i="5"/>
  <c r="P5" i="8"/>
  <c r="I5" i="8"/>
  <c r="H5" i="8"/>
  <c r="T5" i="8"/>
  <c r="Q28" i="8"/>
  <c r="Q5" i="8"/>
  <c r="P28" i="8"/>
  <c r="H28" i="8"/>
  <c r="L5" i="8"/>
  <c r="M28" i="8"/>
  <c r="U5" i="8"/>
  <c r="I28" i="8"/>
  <c r="M5" i="8"/>
  <c r="L7" i="8"/>
  <c r="G5" i="5"/>
  <c r="I6" i="8"/>
  <c r="M29" i="8"/>
  <c r="I29" i="8"/>
  <c r="Q29" i="8"/>
  <c r="P6" i="8"/>
  <c r="P29" i="8"/>
  <c r="H29" i="8"/>
  <c r="H6" i="8"/>
  <c r="L6" i="8"/>
  <c r="U6" i="8"/>
  <c r="Q6" i="8"/>
  <c r="T6" i="8"/>
  <c r="M6" i="8"/>
  <c r="P30" i="8"/>
  <c r="Q30" i="8"/>
  <c r="I30" i="8"/>
  <c r="M7" i="8"/>
  <c r="H30" i="8"/>
  <c r="I7" i="8"/>
  <c r="T7" i="8"/>
  <c r="U7" i="8"/>
  <c r="M30" i="8"/>
  <c r="Q7" i="8"/>
  <c r="H7" i="8"/>
  <c r="P7" i="8"/>
  <c r="G6" i="5"/>
  <c r="U8" i="8"/>
  <c r="M8" i="8"/>
  <c r="I31" i="8"/>
  <c r="P31" i="8"/>
  <c r="H8" i="8"/>
  <c r="H31" i="8"/>
  <c r="G7" i="5"/>
  <c r="T8" i="8"/>
  <c r="Q8" i="8"/>
  <c r="M31" i="8"/>
  <c r="T9" i="8"/>
  <c r="L8" i="8"/>
  <c r="I8" i="8"/>
  <c r="P8" i="8"/>
  <c r="Q31" i="8"/>
  <c r="L9" i="8"/>
  <c r="M32" i="8"/>
  <c r="U9" i="8"/>
  <c r="M9" i="8"/>
  <c r="H32" i="8"/>
  <c r="I32" i="8"/>
  <c r="P32" i="8"/>
  <c r="H9" i="8"/>
  <c r="P9" i="8"/>
  <c r="Q9" i="8"/>
  <c r="G8" i="5"/>
  <c r="Q32" i="8"/>
  <c r="I9" i="8"/>
  <c r="Q33" i="8"/>
  <c r="U10" i="8"/>
  <c r="M33" i="8"/>
  <c r="H33" i="8"/>
  <c r="Q10" i="8"/>
  <c r="I10" i="8"/>
  <c r="T10" i="8"/>
  <c r="L10" i="8"/>
  <c r="G9" i="5"/>
  <c r="P33" i="8"/>
  <c r="P10" i="8"/>
  <c r="M10" i="8"/>
  <c r="I33" i="8"/>
  <c r="H10" i="8"/>
  <c r="P34" i="8"/>
  <c r="T11" i="8"/>
  <c r="L11" i="8"/>
  <c r="I34" i="8"/>
  <c r="Q11" i="8"/>
  <c r="I11" i="8"/>
  <c r="G10" i="5"/>
  <c r="M34" i="8"/>
  <c r="H34" i="8"/>
  <c r="P11" i="8"/>
  <c r="Q34" i="8"/>
  <c r="U11" i="8"/>
  <c r="M11" i="8"/>
  <c r="H11" i="8"/>
  <c r="Q35" i="8"/>
  <c r="U12" i="8"/>
  <c r="M12" i="8"/>
  <c r="H12" i="8"/>
  <c r="M35" i="8"/>
  <c r="H35" i="8"/>
  <c r="P12" i="8"/>
  <c r="G11" i="5"/>
  <c r="I35" i="8"/>
  <c r="Q12" i="8"/>
  <c r="I12" i="8"/>
  <c r="P35" i="8"/>
  <c r="T12" i="8"/>
  <c r="L12" i="8"/>
  <c r="G12" i="5"/>
  <c r="H36" i="8"/>
  <c r="H13" i="8"/>
  <c r="U13" i="8"/>
  <c r="L13" i="8"/>
  <c r="Q36" i="8"/>
  <c r="I36" i="8"/>
  <c r="Q13" i="8"/>
  <c r="I13" i="8"/>
  <c r="P36" i="8"/>
  <c r="P13" i="8"/>
  <c r="M36" i="8"/>
  <c r="M13" i="8"/>
  <c r="G7" i="19"/>
  <c r="H7" i="19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<sst xmlns="http://schemas.openxmlformats.org/spreadsheetml/2006/main" count="896" uniqueCount="319">
  <si>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</si>
  <si>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</si>
  <si>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</si>
  <si>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</si>
  <si>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</si>
  <si>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</si>
  <si>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</si>
  <si>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</si>
  <si>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</si>
  <si>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</si>
  <si>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</si>
  <si>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</si>
  <si>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</si>
  <si>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</si>
  <si>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</si>
  <si>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</si>
  <si>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</si>
  <si>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</si>
  <si>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</si>
  <si>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</si>
  <si>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</si>
  <si>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</si>
  <si>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</si>
  <si>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</si>
  <si>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</si>
  <si>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</si>
  <si>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</si>
  <si>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</si>
  <si>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</si>
  <si>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</si>
  <si>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</si>
  <si>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</si>
  <si>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</si>
  <si>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</si>
  <si>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</si>
  <si>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</si>
  <si>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</si>
  <si>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</si>
  <si>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</si>
  <si>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</si>
  <si>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</si>
  <si>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</si>
  <si>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</si>
  <si>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</si>
  <si>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</si>
  <si>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</si>
  <si>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</si>
  <si>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</si>
  <si>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</si>
  <si>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</si>
  <si>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</si>
  <si>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</si>
  <si>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</si>
  <si>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</si>
  <si>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</si>
  <si>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</si>
  <si>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</si>
  <si>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</si>
  <si>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</si>
  <si>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</si>
  <si>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</si>
  <si>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</si>
  <si>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</si>
  <si>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</si>
  <si>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</si>
  <si>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</si>
  <si>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</si>
  <si>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</si>
  <si>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</si>
  <si>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</si>
  <si>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</si>
  <si>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</si>
  <si>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</si>
  <si>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</si>
  <si>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</si>
  <si>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</si>
  <si>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</si>
  <si>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</si>
  <si>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</si>
  <si>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</si>
  <si>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</si>
  <si>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</si>
  <si>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</si>
  <si>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</si>
  <si>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</si>
  <si>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</si>
  <si>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</si>
  <si>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</si>
  <si>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</si>
  <si>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</si>
  <si>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</si>
  <si>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</si>
  <si>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</si>
  <si>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</si>
  <si>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</si>
  <si>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</si>
  <si>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</si>
  <si>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</si>
  <si>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</si>
  <si>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</si>
  <si>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</si>
  <si>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</si>
  <si>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</si>
  <si>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</si>
  <si>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</si>
  <si>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</si>
  <si>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</si>
  <si>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</si>
  <si>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</si>
  <si>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</si>
  <si>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</si>
  <si>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</si>
  <si>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</si>
  <si>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</si>
  <si>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</si>
  <si>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</si>
  <si>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</si>
  <si>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</si>
  <si>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</si>
  <si>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</si>
  <si>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</si>
  <si>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</si>
  <si>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</si>
  <si>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</si>
  <si>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</si>
  <si>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</si>
  <si>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</si>
  <si>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</si>
  <si>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</si>
  <si>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</si>
  <si>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</si>
  <si>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</si>
  <si>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</si>
  <si>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</si>
  <si>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</si>
  <si>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 mol CO2 geproduceerd</t>
  </si>
  <si>
    <t>2x-z-f</t>
  </si>
  <si>
    <t>y mol acetaat verbruikt</t>
  </si>
  <si>
    <t>y</t>
  </si>
  <si>
    <t>LN(Count/mL)</t>
  </si>
  <si>
    <t>(2x-2+y)/2 mol butyraat gevormd</t>
  </si>
  <si>
    <t>2x-z+y mol acetyl-CoA gevormd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</si>
  <si>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</si>
  <si>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</si>
  <si>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</si>
  <si>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</si>
  <si>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</si>
  <si>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</si>
  <si>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</si>
  <si>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</si>
  <si>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</si>
  <si>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x mol D-Fructose consumed</t>
  </si>
  <si>
    <t>total amount</t>
  </si>
  <si>
    <t>LOG</t>
  </si>
  <si>
    <t>STDEV LOG(Count/mL)</t>
  </si>
  <si>
    <t>mol H2 geproduceerd</t>
  </si>
  <si>
    <t>mol H2 vrijgekomen</t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</si>
  <si>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 xml:space="preserve">DSM 17677T </t>
    </r>
  </si>
  <si>
    <r>
      <rPr>
        <i/>
        <sz val="11"/>
        <color theme="1"/>
        <rFont val="Calibri"/>
        <family val="2"/>
        <scheme val="minor"/>
      </rPr>
      <t>Blautia hydrogenotrophic</t>
    </r>
    <r>
      <rPr>
        <sz val="11"/>
        <color theme="1"/>
        <rFont val="Calibri"/>
        <family val="2"/>
        <scheme val="minor"/>
      </rPr>
      <t>a DSM 10507T</t>
    </r>
  </si>
  <si>
    <t>Total nett reaction in absence of formate</t>
  </si>
  <si>
    <t>4H2 + 2CO2</t>
  </si>
  <si>
    <t>&gt;</t>
  </si>
  <si>
    <t xml:space="preserve">CH3COOH </t>
  </si>
  <si>
    <t>en 2 H2O</t>
  </si>
  <si>
    <t xml:space="preserve"> en cell biomass</t>
  </si>
  <si>
    <t>Wood-Ljungdahl pathway</t>
  </si>
  <si>
    <t>mM formate consumed</t>
  </si>
  <si>
    <t>mM acetate produced</t>
  </si>
  <si>
    <t xml:space="preserve">Total amount of  H2 en CO2 produced </t>
  </si>
  <si>
    <t>Total amount of  H2 converted into acetate</t>
  </si>
  <si>
    <t>Total amount of  CO2 converted into acetate</t>
  </si>
  <si>
    <t>Total amount of left-over hydrogen</t>
  </si>
  <si>
    <t>Total amount of left-over carbon dioxide</t>
  </si>
  <si>
    <r>
      <rPr>
        <sz val="11"/>
        <color rgb="FFFF0000"/>
        <rFont val="Calibri"/>
        <scheme val="minor"/>
      </rPr>
      <t>red means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scheme val="minor"/>
      </rPr>
      <t>wrong values</t>
    </r>
  </si>
  <si>
    <t>Na-acetate trihydrate (0 mM)</t>
  </si>
  <si>
    <t>0.00</t>
  </si>
  <si>
    <t>Sodium Formate (50 mM)</t>
  </si>
  <si>
    <t>3.40</t>
  </si>
  <si>
    <r>
      <t>5.10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</si>
  <si>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0.40</t>
  </si>
  <si>
    <t>0.20</t>
  </si>
  <si>
    <r>
      <rPr>
        <sz val="11"/>
        <color theme="1"/>
        <rFont val="Calibri"/>
        <family val="2"/>
        <scheme val="minor"/>
      </rPr>
      <t>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</si>
  <si>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Formic acid consumed</t>
  </si>
  <si>
    <t>Acetic acid produced</t>
  </si>
  <si>
    <t>acetate</t>
  </si>
  <si>
    <t>overschot acetate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</si>
  <si>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</si>
  <si>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</si>
  <si>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</si>
  <si>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</si>
  <si>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</si>
  <si>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</si>
  <si>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</si>
  <si>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</si>
  <si>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</si>
  <si>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</si>
  <si>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</si>
  <si>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</si>
  <si>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</si>
  <si>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</si>
  <si>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</si>
  <si>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</si>
  <si>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</si>
  <si>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</si>
  <si>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</si>
  <si>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</si>
  <si>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</si>
  <si>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</si>
  <si>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</si>
  <si>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</si>
  <si>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</si>
  <si>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</si>
  <si>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</si>
  <si>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Threshold</t>
  </si>
  <si>
    <t>AUTO</t>
  </si>
  <si>
    <t>Ct Threshold</t>
  </si>
  <si>
    <t>baseline</t>
  </si>
  <si>
    <t>Rico</t>
  </si>
  <si>
    <t>intercept</t>
  </si>
  <si>
    <t>Efficiency E (%)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</si>
  <si>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</si>
  <si>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</si>
  <si>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</si>
  <si>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</si>
  <si>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</si>
  <si>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</si>
  <si>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</si>
  <si>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</si>
  <si>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</si>
  <si>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</si>
  <si>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</si>
  <si>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</si>
  <si>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</si>
  <si>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STDV Log (cells/ml medium)</t>
  </si>
  <si>
    <t>Dilution log (10x)</t>
  </si>
  <si>
    <t>IPC BH10 epp</t>
  </si>
  <si>
    <t>Log (cells/ml medium)</t>
  </si>
  <si>
    <t>Outliers</t>
  </si>
  <si>
    <t xml:space="preserve">Dilution per ml </t>
  </si>
  <si>
    <t>B. hydrogenotrophica</t>
  </si>
  <si>
    <t>IPC value  epp 10 plate  20150724</t>
  </si>
  <si>
    <t>Taqman probe BH4O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</si>
  <si>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</si>
  <si>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</si>
  <si>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</si>
  <si>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</si>
  <si>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</si>
  <si>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</si>
  <si>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</si>
  <si>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</si>
  <si>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>IPC value  epp 7 plate  20150914</t>
  </si>
  <si>
    <t>IPC value  epp 6 plate  20150910</t>
  </si>
  <si>
    <t>IPC value  epp 6 plate  20150929</t>
  </si>
  <si>
    <t>IPC value  epp 6 plate  20151002</t>
  </si>
  <si>
    <t>IPC value  epp 5 plate  20151009</t>
  </si>
  <si>
    <t>0?096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</si>
  <si>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</si>
  <si>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</si>
  <si>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</si>
  <si>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</si>
  <si>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</si>
  <si>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</si>
  <si>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</si>
  <si>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A (area)</t>
  </si>
  <si>
    <t>B (area)</t>
  </si>
  <si>
    <t>C (area)</t>
  </si>
  <si>
    <t>IS (A)</t>
  </si>
  <si>
    <t>IS (B)</t>
  </si>
  <si>
    <t>IS ©</t>
  </si>
  <si>
    <t xml:space="preserve">A/IS </t>
  </si>
  <si>
    <t>B/IS</t>
  </si>
  <si>
    <t xml:space="preserve">C/IS </t>
  </si>
  <si>
    <t>A (mM)</t>
  </si>
  <si>
    <t>B (mM)</t>
  </si>
  <si>
    <t>C (mM)</t>
  </si>
  <si>
    <t>STDVE (mM)</t>
  </si>
  <si>
    <t>Average (mM)</t>
  </si>
  <si>
    <t>a</t>
  </si>
  <si>
    <t>b</t>
  </si>
  <si>
    <t>y=ax +b</t>
  </si>
  <si>
    <t>x= (y-b)/a</t>
  </si>
  <si>
    <t>sample</t>
  </si>
  <si>
    <t>Mass per 50 ml</t>
  </si>
  <si>
    <t>Mass per l (g)</t>
  </si>
  <si>
    <t>concentration (mM)</t>
  </si>
  <si>
    <t>concentration in sample</t>
  </si>
  <si>
    <t>area</t>
  </si>
  <si>
    <t>IS</t>
  </si>
  <si>
    <t>area/IS</t>
  </si>
  <si>
    <t>rico</t>
  </si>
  <si>
    <t>MAKEN Standaarden</t>
  </si>
  <si>
    <t>Opschrijven theoretische massa per 50 ml</t>
  </si>
  <si>
    <t>Opschrijven afgewogen massa per 50 ml</t>
  </si>
  <si>
    <t xml:space="preserve">Met 50 ml maatkolven werken </t>
  </si>
  <si>
    <t>Tweevoudige verdunningen maken</t>
  </si>
  <si>
    <t xml:space="preserve">dan concentratie herberekenen met afgewogen massa </t>
  </si>
  <si>
    <t>Mass (g) per 50 ml</t>
  </si>
  <si>
    <t>Mass (g)</t>
  </si>
  <si>
    <t>Concentration divided by 4 (mM)</t>
  </si>
  <si>
    <t>Mass (g) per l</t>
  </si>
  <si>
    <t>concentration divided by 4 (mM)</t>
  </si>
  <si>
    <t>Tweevoudige verdunningen maken in steriele 2 ml eps</t>
  </si>
  <si>
    <t>VALINE</t>
  </si>
  <si>
    <t>LEUCINE</t>
  </si>
  <si>
    <t>ISOLEUCINE</t>
  </si>
  <si>
    <t>Standard</t>
  </si>
  <si>
    <t>Isobutyric acid</t>
  </si>
  <si>
    <t>Isovaleric acid</t>
  </si>
  <si>
    <t>2-methylbutyric acid</t>
  </si>
  <si>
    <t>IPC value  epp 3 plate  20160222</t>
  </si>
  <si>
    <t>IPC value  epp 2 plate  20160223</t>
  </si>
  <si>
    <t>IPC value  epp 2 plate  20160224</t>
  </si>
  <si>
    <t>IPC value  epp 2 plate  20160308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</si>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</sst>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7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25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1" fontId="27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4" fillId="0" borderId="0" xfId="0" applyFont="1"/>
    <xf numFmtId="164" fontId="24" fillId="0" borderId="18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4" fillId="0" borderId="0" xfId="0" applyNumberFormat="1" applyFont="1"/>
    <xf numFmtId="1" fontId="28" fillId="0" borderId="0" xfId="0" applyNumberFormat="1" applyFont="1"/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4" fillId="11" borderId="0" xfId="0" applyFont="1" applyFill="1"/>
    <xf numFmtId="164" fontId="18" fillId="0" borderId="1" xfId="0" applyNumberFormat="1" applyFont="1" applyFill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64" fontId="18" fillId="0" borderId="21" xfId="0" applyNumberFormat="1" applyFont="1" applyFill="1" applyBorder="1" applyAlignment="1">
      <alignment horizontal="center"/>
    </xf>
    <xf numFmtId="0" fontId="29" fillId="0" borderId="0" xfId="427"/>
    <xf numFmtId="0" fontId="29" fillId="0" borderId="3" xfId="427" applyFill="1" applyBorder="1" applyAlignment="1">
      <alignment horizontal="center" vertical="center"/>
    </xf>
    <xf numFmtId="0" fontId="29" fillId="0" borderId="16" xfId="427" applyFill="1" applyBorder="1" applyAlignment="1">
      <alignment horizontal="center" vertical="center"/>
    </xf>
    <xf numFmtId="11" fontId="29" fillId="0" borderId="16" xfId="427" applyNumberFormat="1" applyFill="1" applyBorder="1" applyAlignment="1">
      <alignment horizontal="center" vertical="center"/>
    </xf>
    <xf numFmtId="0" fontId="0" fillId="0" borderId="16" xfId="427" applyFont="1" applyBorder="1" applyAlignment="1">
      <alignment horizontal="center" vertical="center"/>
    </xf>
    <xf numFmtId="0" fontId="29" fillId="0" borderId="16" xfId="427" applyBorder="1" applyAlignment="1">
      <alignment horizontal="center" vertical="center"/>
    </xf>
    <xf numFmtId="11" fontId="29" fillId="0" borderId="16" xfId="427" applyNumberFormat="1" applyBorder="1" applyAlignment="1">
      <alignment horizontal="center" vertical="center"/>
    </xf>
    <xf numFmtId="2" fontId="29" fillId="0" borderId="16" xfId="427" applyNumberFormat="1" applyBorder="1" applyAlignment="1">
      <alignment horizontal="center" vertical="center"/>
    </xf>
    <xf numFmtId="0" fontId="29" fillId="2" borderId="22" xfId="427" applyFill="1" applyBorder="1" applyAlignment="1">
      <alignment wrapText="1"/>
    </xf>
    <xf numFmtId="0" fontId="0" fillId="2" borderId="22" xfId="427" applyFont="1" applyFill="1" applyBorder="1" applyAlignment="1">
      <alignment wrapText="1"/>
    </xf>
    <xf numFmtId="0" fontId="0" fillId="2" borderId="22" xfId="427" applyFont="1" applyFill="1" applyBorder="1" applyAlignment="1">
      <alignment horizontal="center" vertical="center" wrapText="1"/>
    </xf>
    <xf numFmtId="165" fontId="29" fillId="0" borderId="16" xfId="427" applyNumberFormat="1" applyBorder="1" applyAlignment="1">
      <alignment horizontal="center" vertical="center"/>
    </xf>
    <xf numFmtId="165" fontId="29" fillId="0" borderId="16" xfId="427" applyNumberFormat="1" applyBorder="1"/>
    <xf numFmtId="165" fontId="29" fillId="0" borderId="0" xfId="427" applyNumberFormat="1"/>
    <xf numFmtId="0" fontId="0" fillId="0" borderId="0" xfId="427" applyFont="1"/>
    <xf numFmtId="0" fontId="29" fillId="2" borderId="16" xfId="427" applyFill="1" applyBorder="1"/>
    <xf numFmtId="0" fontId="29" fillId="0" borderId="16" xfId="427" applyBorder="1"/>
    <xf numFmtId="0" fontId="30" fillId="12" borderId="0" xfId="427" applyFont="1" applyFill="1"/>
    <xf numFmtId="165" fontId="25" fillId="0" borderId="18" xfId="0" applyNumberFormat="1" applyFont="1" applyBorder="1" applyAlignment="1">
      <alignment horizontal="center" vertical="center"/>
    </xf>
    <xf numFmtId="0" fontId="0" fillId="0" borderId="16" xfId="427" applyFont="1" applyBorder="1"/>
    <xf numFmtId="165" fontId="25" fillId="0" borderId="16" xfId="0" applyNumberFormat="1" applyFont="1" applyBorder="1" applyAlignment="1">
      <alignment horizontal="center" vertical="center"/>
    </xf>
    <xf numFmtId="0" fontId="0" fillId="0" borderId="0" xfId="427" applyFont="1" applyFill="1" applyBorder="1"/>
    <xf numFmtId="165" fontId="0" fillId="0" borderId="0" xfId="0" applyNumberFormat="1"/>
    <xf numFmtId="2" fontId="29" fillId="0" borderId="16" xfId="427" applyNumberFormat="1" applyBorder="1"/>
    <xf numFmtId="1" fontId="29" fillId="0" borderId="16" xfId="427" applyNumberFormat="1" applyBorder="1"/>
    <xf numFmtId="165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9" fillId="0" borderId="0" xfId="427" applyNumberFormat="1" applyBorder="1" applyAlignment="1">
      <alignment horizontal="center" vertical="center"/>
    </xf>
    <xf numFmtId="165" fontId="29" fillId="0" borderId="0" xfId="427" applyNumberFormat="1" applyBorder="1"/>
    <xf numFmtId="2" fontId="29" fillId="0" borderId="0" xfId="427" applyNumberFormat="1" applyBorder="1"/>
    <xf numFmtId="1" fontId="29" fillId="0" borderId="0" xfId="427" applyNumberFormat="1" applyBorder="1"/>
    <xf numFmtId="0" fontId="29" fillId="2" borderId="4" xfId="427" applyFill="1" applyBorder="1" applyAlignment="1">
      <alignment horizontal="center" vertical="center"/>
    </xf>
    <xf numFmtId="0" fontId="29" fillId="2" borderId="3" xfId="427" applyFill="1" applyBorder="1" applyAlignment="1">
      <alignment horizontal="center" vertical="center"/>
    </xf>
    <xf numFmtId="0" fontId="29" fillId="2" borderId="16" xfId="427" applyFill="1" applyBorder="1" applyAlignment="1">
      <alignment horizontal="center" vertical="center"/>
    </xf>
    <xf numFmtId="0" fontId="31" fillId="2" borderId="0" xfId="427" applyFont="1" applyFill="1"/>
    <xf numFmtId="1" fontId="29" fillId="0" borderId="0" xfId="427" applyNumberFormat="1"/>
    <xf numFmtId="165" fontId="29" fillId="0" borderId="16" xfId="427" applyNumberFormat="1" applyFont="1" applyBorder="1" applyAlignment="1">
      <alignment horizontal="center" vertical="center"/>
    </xf>
    <xf numFmtId="165" fontId="29" fillId="0" borderId="16" xfId="427" applyNumberFormat="1" applyFont="1" applyBorder="1"/>
    <xf numFmtId="165" fontId="29" fillId="0" borderId="18" xfId="0" applyNumberFormat="1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1" fontId="25" fillId="0" borderId="16" xfId="0" applyNumberFormat="1" applyFont="1" applyBorder="1" applyAlignment="1">
      <alignment horizontal="center" vertical="center"/>
    </xf>
    <xf numFmtId="1" fontId="25" fillId="0" borderId="3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/>
    </xf>
    <xf numFmtId="0" fontId="31" fillId="0" borderId="25" xfId="514"/>
    <xf numFmtId="0" fontId="0" fillId="2" borderId="0" xfId="0" applyFill="1" applyBorder="1"/>
    <xf numFmtId="166" fontId="0" fillId="0" borderId="0" xfId="0" applyNumberFormat="1"/>
    <xf numFmtId="164" fontId="0" fillId="0" borderId="0" xfId="0" applyNumberFormat="1"/>
    <xf numFmtId="0" fontId="0" fillId="0" borderId="0" xfId="427" applyFont="1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3" xfId="427" applyFont="1" applyBorder="1" applyAlignment="1">
      <alignment horizontal="center"/>
    </xf>
    <xf numFmtId="0" fontId="29" fillId="0" borderId="23" xfId="427" applyBorder="1" applyAlignment="1">
      <alignment horizontal="center"/>
    </xf>
    <xf numFmtId="0" fontId="29" fillId="0" borderId="17" xfId="427" applyNumberFormat="1" applyFill="1" applyBorder="1" applyAlignment="1">
      <alignment horizontal="center" vertical="center"/>
    </xf>
    <xf numFmtId="0" fontId="29" fillId="0" borderId="5" xfId="427" applyNumberFormat="1" applyFill="1" applyBorder="1" applyAlignment="1">
      <alignment horizontal="center" vertical="center"/>
    </xf>
    <xf numFmtId="0" fontId="29" fillId="0" borderId="18" xfId="427" applyNumberFormat="1" applyFill="1" applyBorder="1" applyAlignment="1">
      <alignment horizontal="center" vertical="center"/>
    </xf>
    <xf numFmtId="0" fontId="29" fillId="2" borderId="4" xfId="427" applyFill="1" applyBorder="1" applyAlignment="1">
      <alignment horizontal="center" vertical="center"/>
    </xf>
    <xf numFmtId="0" fontId="29" fillId="2" borderId="3" xfId="427" applyFill="1" applyBorder="1" applyAlignment="1">
      <alignment horizontal="center" vertical="center"/>
    </xf>
    <xf numFmtId="0" fontId="0" fillId="2" borderId="4" xfId="427" applyFont="1" applyFill="1" applyBorder="1" applyAlignment="1">
      <alignment horizontal="center" vertical="center"/>
    </xf>
    <xf numFmtId="0" fontId="29" fillId="2" borderId="16" xfId="427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</cellXfs>
  <cellStyles count="557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Input" xfId="10"/>
    <cellStyle name="Linked Cell" xfId="11"/>
    <cellStyle name="Neutral" xfId="12"/>
    <cellStyle name="Normal" xfId="0" builtinId="0"/>
    <cellStyle name="Normal 2" xfId="427"/>
    <cellStyle name="Note" xfId="13"/>
    <cellStyle name="Output" xfId="14"/>
    <cellStyle name="Standaard 2" xfId="15"/>
    <cellStyle name="Title" xfId="16"/>
    <cellStyle name="Total" xfId="17"/>
    <cellStyle name="Total 2" xfId="514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chartsheet" Target="chartsheets/sheet1.xml"/><Relationship Id="rId28" Type="http://schemas.openxmlformats.org/officeDocument/2006/relationships/chartsheet" Target="chartsheets/sheet2.xml"/><Relationship Id="rId29" Type="http://schemas.openxmlformats.org/officeDocument/2006/relationships/worksheet" Target="worksheets/sheet2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033032"/>
        <c:axId val="-2109047080"/>
      </c:scatterChart>
      <c:valAx>
        <c:axId val="-2091033032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09047080"/>
        <c:crosses val="autoZero"/>
        <c:crossBetween val="midCat"/>
        <c:majorUnit val="2.0"/>
      </c:valAx>
      <c:valAx>
        <c:axId val="-2109047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9103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0.073915720675837</c:v>
                  </c:pt>
                  <c:pt idx="1">
                    <c:v>0.02793751641234</c:v>
                  </c:pt>
                  <c:pt idx="2">
                    <c:v>0.02793751641234</c:v>
                  </c:pt>
                  <c:pt idx="3">
                    <c:v>0.0128186116605157</c:v>
                  </c:pt>
                  <c:pt idx="4">
                    <c:v>3.77370103105717E-16</c:v>
                  </c:pt>
                  <c:pt idx="5">
                    <c:v>0.0547611330186083</c:v>
                  </c:pt>
                  <c:pt idx="6">
                    <c:v>0.0547611330186085</c:v>
                  </c:pt>
                  <c:pt idx="7">
                    <c:v>0.0333599863184677</c:v>
                  </c:pt>
                  <c:pt idx="8">
                    <c:v>0.0170010789750539</c:v>
                  </c:pt>
                  <c:pt idx="9">
                    <c:v>0.0128633550670146</c:v>
                  </c:pt>
                  <c:pt idx="10">
                    <c:v>0.00643776237507165</c:v>
                  </c:pt>
                  <c:pt idx="11">
                    <c:v>0.0170327182441681</c:v>
                  </c:pt>
                  <c:pt idx="12">
                    <c:v>0.0</c:v>
                  </c:pt>
                  <c:pt idx="13">
                    <c:v>0.0111620387771507</c:v>
                  </c:pt>
                  <c:pt idx="14">
                    <c:v>0.00644440609269298</c:v>
                  </c:pt>
                  <c:pt idx="15">
                    <c:v>0.0425683850332581</c:v>
                  </c:pt>
                  <c:pt idx="16">
                    <c:v>0.0384679512959965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0.073915720675837</c:v>
                  </c:pt>
                  <c:pt idx="1">
                    <c:v>0.02793751641234</c:v>
                  </c:pt>
                  <c:pt idx="2">
                    <c:v>0.02793751641234</c:v>
                  </c:pt>
                  <c:pt idx="3">
                    <c:v>0.0128186116605157</c:v>
                  </c:pt>
                  <c:pt idx="4">
                    <c:v>3.77370103105717E-16</c:v>
                  </c:pt>
                  <c:pt idx="5">
                    <c:v>0.0547611330186083</c:v>
                  </c:pt>
                  <c:pt idx="6">
                    <c:v>0.0547611330186085</c:v>
                  </c:pt>
                  <c:pt idx="7">
                    <c:v>0.0333599863184677</c:v>
                  </c:pt>
                  <c:pt idx="8">
                    <c:v>0.0170010789750539</c:v>
                  </c:pt>
                  <c:pt idx="9">
                    <c:v>0.0128633550670146</c:v>
                  </c:pt>
                  <c:pt idx="10">
                    <c:v>0.00643776237507165</c:v>
                  </c:pt>
                  <c:pt idx="11">
                    <c:v>0.0170327182441681</c:v>
                  </c:pt>
                  <c:pt idx="12">
                    <c:v>0.0</c:v>
                  </c:pt>
                  <c:pt idx="13">
                    <c:v>0.0111620387771507</c:v>
                  </c:pt>
                  <c:pt idx="14">
                    <c:v>0.00644440609269298</c:v>
                  </c:pt>
                  <c:pt idx="15">
                    <c:v>0.0425683850332581</c:v>
                  </c:pt>
                  <c:pt idx="16">
                    <c:v>0.0384679512959965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1.994523386619301</c:v>
                </c:pt>
                <c:pt idx="1">
                  <c:v>1.957519242155121</c:v>
                </c:pt>
                <c:pt idx="2">
                  <c:v>1.968620485494375</c:v>
                </c:pt>
                <c:pt idx="3">
                  <c:v>1.924215512137359</c:v>
                </c:pt>
                <c:pt idx="4">
                  <c:v>1.94271758436945</c:v>
                </c:pt>
                <c:pt idx="5">
                  <c:v>1.879810538780343</c:v>
                </c:pt>
                <c:pt idx="6">
                  <c:v>1.850207223209</c:v>
                </c:pt>
                <c:pt idx="7">
                  <c:v>1.945999201910614</c:v>
                </c:pt>
                <c:pt idx="8">
                  <c:v>1.944008342892001</c:v>
                </c:pt>
                <c:pt idx="9">
                  <c:v>2.00891193862342</c:v>
                </c:pt>
                <c:pt idx="10">
                  <c:v>2.401081120786293</c:v>
                </c:pt>
                <c:pt idx="11">
                  <c:v>3.070113012027056</c:v>
                </c:pt>
                <c:pt idx="12">
                  <c:v>3.817417261785529</c:v>
                </c:pt>
                <c:pt idx="13">
                  <c:v>4.632246092517528</c:v>
                </c:pt>
                <c:pt idx="14">
                  <c:v>5.25359958444558</c:v>
                </c:pt>
                <c:pt idx="15">
                  <c:v>6.326518193349622</c:v>
                </c:pt>
                <c:pt idx="16">
                  <c:v>6.765703906336202</c:v>
                </c:pt>
                <c:pt idx="17">
                  <c:v>8.310265145583237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0.201904340599203</c:v>
                  </c:pt>
                  <c:pt idx="1">
                    <c:v>0.0499583680266444</c:v>
                  </c:pt>
                  <c:pt idx="2">
                    <c:v>0.150183172450387</c:v>
                  </c:pt>
                  <c:pt idx="3">
                    <c:v>0.0508751117952356</c:v>
                  </c:pt>
                  <c:pt idx="4">
                    <c:v>0.0166527893422148</c:v>
                  </c:pt>
                  <c:pt idx="5">
                    <c:v>0.167634403225551</c:v>
                  </c:pt>
                  <c:pt idx="6">
                    <c:v>0.0821462591559742</c:v>
                  </c:pt>
                  <c:pt idx="7">
                    <c:v>0.236100324262783</c:v>
                  </c:pt>
                  <c:pt idx="8">
                    <c:v>0.107338043054482</c:v>
                  </c:pt>
                  <c:pt idx="9">
                    <c:v>0.574768061486031</c:v>
                  </c:pt>
                  <c:pt idx="10">
                    <c:v>0.799798728842328</c:v>
                  </c:pt>
                  <c:pt idx="11">
                    <c:v>0.200952889967814</c:v>
                  </c:pt>
                  <c:pt idx="12">
                    <c:v>0.228562074552325</c:v>
                  </c:pt>
                  <c:pt idx="13">
                    <c:v>0.202549196852948</c:v>
                  </c:pt>
                  <c:pt idx="14">
                    <c:v>0.383652952171338</c:v>
                  </c:pt>
                  <c:pt idx="15">
                    <c:v>0.508336817248903</c:v>
                  </c:pt>
                  <c:pt idx="16">
                    <c:v>0.609144361644974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0.201904340599203</c:v>
                  </c:pt>
                  <c:pt idx="1">
                    <c:v>0.0499583680266444</c:v>
                  </c:pt>
                  <c:pt idx="2">
                    <c:v>0.150183172450387</c:v>
                  </c:pt>
                  <c:pt idx="3">
                    <c:v>0.0508751117952356</c:v>
                  </c:pt>
                  <c:pt idx="4">
                    <c:v>0.0166527893422148</c:v>
                  </c:pt>
                  <c:pt idx="5">
                    <c:v>0.167634403225551</c:v>
                  </c:pt>
                  <c:pt idx="6">
                    <c:v>0.0821462591559742</c:v>
                  </c:pt>
                  <c:pt idx="7">
                    <c:v>0.236100324262783</c:v>
                  </c:pt>
                  <c:pt idx="8">
                    <c:v>0.107338043054482</c:v>
                  </c:pt>
                  <c:pt idx="9">
                    <c:v>0.574768061486031</c:v>
                  </c:pt>
                  <c:pt idx="10">
                    <c:v>0.799798728842328</c:v>
                  </c:pt>
                  <c:pt idx="11">
                    <c:v>0.200952889967814</c:v>
                  </c:pt>
                  <c:pt idx="12">
                    <c:v>0.228562074552325</c:v>
                  </c:pt>
                  <c:pt idx="13">
                    <c:v>0.202549196852948</c:v>
                  </c:pt>
                  <c:pt idx="14">
                    <c:v>0.383652952171338</c:v>
                  </c:pt>
                  <c:pt idx="15">
                    <c:v>0.508336817248903</c:v>
                  </c:pt>
                  <c:pt idx="16">
                    <c:v>0.609144361644974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0.93255620316403</c:v>
                </c:pt>
                <c:pt idx="1">
                  <c:v>1.015820149875104</c:v>
                </c:pt>
                <c:pt idx="2">
                  <c:v>1.071329447682487</c:v>
                </c:pt>
                <c:pt idx="3">
                  <c:v>1.243408270885373</c:v>
                </c:pt>
                <c:pt idx="4">
                  <c:v>1.648626144879268</c:v>
                </c:pt>
                <c:pt idx="5">
                  <c:v>2.459061892867055</c:v>
                </c:pt>
                <c:pt idx="6">
                  <c:v>3.769081321121288</c:v>
                </c:pt>
                <c:pt idx="7">
                  <c:v>6.694608846981869</c:v>
                </c:pt>
                <c:pt idx="8">
                  <c:v>10.55721908231908</c:v>
                </c:pt>
                <c:pt idx="9">
                  <c:v>13.65281833819523</c:v>
                </c:pt>
                <c:pt idx="10">
                  <c:v>16.2528018229301</c:v>
                </c:pt>
                <c:pt idx="11">
                  <c:v>18.00910802334965</c:v>
                </c:pt>
                <c:pt idx="12">
                  <c:v>18.8593113230171</c:v>
                </c:pt>
                <c:pt idx="13">
                  <c:v>19.8025559556273</c:v>
                </c:pt>
                <c:pt idx="14">
                  <c:v>19.82488127237547</c:v>
                </c:pt>
                <c:pt idx="15">
                  <c:v>20.53796252041525</c:v>
                </c:pt>
                <c:pt idx="16">
                  <c:v>20.38587245418934</c:v>
                </c:pt>
                <c:pt idx="17">
                  <c:v>21.5719065551802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0.339586475130521</c:v>
                  </c:pt>
                  <c:pt idx="1">
                    <c:v>1.018064263641973</c:v>
                  </c:pt>
                  <c:pt idx="2">
                    <c:v>0.416190398884811</c:v>
                  </c:pt>
                  <c:pt idx="3">
                    <c:v>0.737689630517041</c:v>
                  </c:pt>
                  <c:pt idx="4">
                    <c:v>0.827356988027351</c:v>
                  </c:pt>
                  <c:pt idx="5">
                    <c:v>0.944723654362761</c:v>
                  </c:pt>
                  <c:pt idx="6">
                    <c:v>0.66287839680175</c:v>
                  </c:pt>
                  <c:pt idx="7">
                    <c:v>1.678095362243401</c:v>
                  </c:pt>
                  <c:pt idx="8">
                    <c:v>0.572275188173923</c:v>
                  </c:pt>
                  <c:pt idx="9">
                    <c:v>0.927067883084414</c:v>
                  </c:pt>
                  <c:pt idx="10">
                    <c:v>1.383610992389831</c:v>
                  </c:pt>
                  <c:pt idx="11">
                    <c:v>0.323909044309131</c:v>
                  </c:pt>
                  <c:pt idx="12">
                    <c:v>0.0577936268496693</c:v>
                  </c:pt>
                  <c:pt idx="13">
                    <c:v>0.208377885001517</c:v>
                  </c:pt>
                  <c:pt idx="14">
                    <c:v>0.264242434738639</c:v>
                  </c:pt>
                  <c:pt idx="15">
                    <c:v>0.158672859414861</c:v>
                  </c:pt>
                  <c:pt idx="16">
                    <c:v>0.130390841307543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0.339586475130521</c:v>
                  </c:pt>
                  <c:pt idx="1">
                    <c:v>1.018064263641973</c:v>
                  </c:pt>
                  <c:pt idx="2">
                    <c:v>0.416190398884811</c:v>
                  </c:pt>
                  <c:pt idx="3">
                    <c:v>0.737689630517041</c:v>
                  </c:pt>
                  <c:pt idx="4">
                    <c:v>0.827356988027351</c:v>
                  </c:pt>
                  <c:pt idx="5">
                    <c:v>0.944723654362761</c:v>
                  </c:pt>
                  <c:pt idx="6">
                    <c:v>0.66287839680175</c:v>
                  </c:pt>
                  <c:pt idx="7">
                    <c:v>1.678095362243401</c:v>
                  </c:pt>
                  <c:pt idx="8">
                    <c:v>0.572275188173923</c:v>
                  </c:pt>
                  <c:pt idx="9">
                    <c:v>0.927067883084414</c:v>
                  </c:pt>
                  <c:pt idx="10">
                    <c:v>1.383610992389831</c:v>
                  </c:pt>
                  <c:pt idx="11">
                    <c:v>0.323909044309131</c:v>
                  </c:pt>
                  <c:pt idx="12">
                    <c:v>0.0577936268496693</c:v>
                  </c:pt>
                  <c:pt idx="13">
                    <c:v>0.208377885001517</c:v>
                  </c:pt>
                  <c:pt idx="14">
                    <c:v>0.264242434738639</c:v>
                  </c:pt>
                  <c:pt idx="15">
                    <c:v>0.158672859414861</c:v>
                  </c:pt>
                  <c:pt idx="16">
                    <c:v>0.130390841307543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50.11224563690346</c:v>
                </c:pt>
                <c:pt idx="1">
                  <c:v>49.46773843145773</c:v>
                </c:pt>
                <c:pt idx="2">
                  <c:v>47.5776667390832</c:v>
                </c:pt>
                <c:pt idx="3">
                  <c:v>49.9239626330654</c:v>
                </c:pt>
                <c:pt idx="4">
                  <c:v>48.56253168223621</c:v>
                </c:pt>
                <c:pt idx="5">
                  <c:v>47.92526613078427</c:v>
                </c:pt>
                <c:pt idx="6">
                  <c:v>46.44796871605474</c:v>
                </c:pt>
                <c:pt idx="7">
                  <c:v>43.32021028197434</c:v>
                </c:pt>
                <c:pt idx="8">
                  <c:v>40.98436270296384</c:v>
                </c:pt>
                <c:pt idx="9">
                  <c:v>37.76624046440556</c:v>
                </c:pt>
                <c:pt idx="10">
                  <c:v>34.33963842831625</c:v>
                </c:pt>
                <c:pt idx="11">
                  <c:v>33.04490094891775</c:v>
                </c:pt>
                <c:pt idx="12">
                  <c:v>31.28051880863542</c:v>
                </c:pt>
                <c:pt idx="13">
                  <c:v>29.57669166682427</c:v>
                </c:pt>
                <c:pt idx="14">
                  <c:v>27.86558321244128</c:v>
                </c:pt>
                <c:pt idx="15">
                  <c:v>22.86212125922748</c:v>
                </c:pt>
                <c:pt idx="16">
                  <c:v>15.90560272052138</c:v>
                </c:pt>
                <c:pt idx="17">
                  <c:v>2.604512515358814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0.0141948654673304</c:v>
                </c:pt>
                <c:pt idx="2">
                  <c:v>0.04599862733786</c:v>
                </c:pt>
                <c:pt idx="3">
                  <c:v>0.0836953899755944</c:v>
                </c:pt>
                <c:pt idx="4">
                  <c:v>0.126109458516576</c:v>
                </c:pt>
                <c:pt idx="5">
                  <c:v>0.173753679713174</c:v>
                </c:pt>
                <c:pt idx="6">
                  <c:v>0.206300185156099</c:v>
                </c:pt>
                <c:pt idx="7">
                  <c:v>0.246229915396047</c:v>
                </c:pt>
                <c:pt idx="8">
                  <c:v>0.317199505847671</c:v>
                </c:pt>
                <c:pt idx="9">
                  <c:v>0.400804263423062</c:v>
                </c:pt>
                <c:pt idx="10">
                  <c:v>0.49870020312802</c:v>
                </c:pt>
                <c:pt idx="11">
                  <c:v>0.609338047766045</c:v>
                </c:pt>
                <c:pt idx="12">
                  <c:v>0.733150432836362</c:v>
                </c:pt>
                <c:pt idx="13">
                  <c:v>0.871318105880292</c:v>
                </c:pt>
                <c:pt idx="14">
                  <c:v>1.027196044667021</c:v>
                </c:pt>
                <c:pt idx="15">
                  <c:v>1.205944927538421</c:v>
                </c:pt>
                <c:pt idx="16">
                  <c:v>1.412009847404794</c:v>
                </c:pt>
                <c:pt idx="17">
                  <c:v>1.637153045410062</c:v>
                </c:pt>
                <c:pt idx="18">
                  <c:v>1.907579285321622</c:v>
                </c:pt>
                <c:pt idx="19">
                  <c:v>2.245486241965494</c:v>
                </c:pt>
                <c:pt idx="20">
                  <c:v>2.640370978065195</c:v>
                </c:pt>
                <c:pt idx="21">
                  <c:v>3.109195963113764</c:v>
                </c:pt>
                <c:pt idx="22">
                  <c:v>3.652414990696888</c:v>
                </c:pt>
                <c:pt idx="23">
                  <c:v>4.257991320166007</c:v>
                </c:pt>
                <c:pt idx="24">
                  <c:v>4.915427066922</c:v>
                </c:pt>
                <c:pt idx="25">
                  <c:v>5.605916797403587</c:v>
                </c:pt>
                <c:pt idx="26">
                  <c:v>6.324716363359029</c:v>
                </c:pt>
                <c:pt idx="27">
                  <c:v>7.060601242025905</c:v>
                </c:pt>
                <c:pt idx="28">
                  <c:v>7.800941950542482</c:v>
                </c:pt>
                <c:pt idx="29">
                  <c:v>8.544819533213321</c:v>
                </c:pt>
                <c:pt idx="30">
                  <c:v>9.275955210951094</c:v>
                </c:pt>
                <c:pt idx="31">
                  <c:v>9.988632510903974</c:v>
                </c:pt>
                <c:pt idx="32">
                  <c:v>10.68330017398028</c:v>
                </c:pt>
                <c:pt idx="33">
                  <c:v>11.34893673188914</c:v>
                </c:pt>
                <c:pt idx="34">
                  <c:v>11.98138035744491</c:v>
                </c:pt>
                <c:pt idx="35">
                  <c:v>12.57445509994805</c:v>
                </c:pt>
                <c:pt idx="36">
                  <c:v>13.11866761021772</c:v>
                </c:pt>
                <c:pt idx="37">
                  <c:v>13.61847877078098</c:v>
                </c:pt>
                <c:pt idx="38">
                  <c:v>14.07919894554659</c:v>
                </c:pt>
                <c:pt idx="39">
                  <c:v>14.50239888558985</c:v>
                </c:pt>
                <c:pt idx="40">
                  <c:v>14.89220283880848</c:v>
                </c:pt>
                <c:pt idx="41">
                  <c:v>15.25632529615915</c:v>
                </c:pt>
                <c:pt idx="42">
                  <c:v>15.60617804525904</c:v>
                </c:pt>
                <c:pt idx="43">
                  <c:v>15.94453374281124</c:v>
                </c:pt>
                <c:pt idx="44">
                  <c:v>16.27369483073169</c:v>
                </c:pt>
                <c:pt idx="45">
                  <c:v>16.5980104010608</c:v>
                </c:pt>
                <c:pt idx="46">
                  <c:v>16.91416273952494</c:v>
                </c:pt>
                <c:pt idx="47">
                  <c:v>17.22585419546202</c:v>
                </c:pt>
                <c:pt idx="48">
                  <c:v>17.53826155262299</c:v>
                </c:pt>
                <c:pt idx="49">
                  <c:v>17.85427494245965</c:v>
                </c:pt>
                <c:pt idx="50">
                  <c:v>18.16900084694568</c:v>
                </c:pt>
                <c:pt idx="51">
                  <c:v>18.47377392440315</c:v>
                </c:pt>
                <c:pt idx="52">
                  <c:v>18.77359979913735</c:v>
                </c:pt>
                <c:pt idx="53">
                  <c:v>19.06821667930239</c:v>
                </c:pt>
                <c:pt idx="54">
                  <c:v>19.35646529123574</c:v>
                </c:pt>
                <c:pt idx="55">
                  <c:v>19.64114513398898</c:v>
                </c:pt>
                <c:pt idx="56">
                  <c:v>19.92167388649599</c:v>
                </c:pt>
                <c:pt idx="57">
                  <c:v>20.19972903764136</c:v>
                </c:pt>
                <c:pt idx="58">
                  <c:v>20.47676386375169</c:v>
                </c:pt>
                <c:pt idx="59">
                  <c:v>20.75359026692079</c:v>
                </c:pt>
                <c:pt idx="60">
                  <c:v>21.03129804649744</c:v>
                </c:pt>
                <c:pt idx="61">
                  <c:v>21.31084373746496</c:v>
                </c:pt>
                <c:pt idx="62">
                  <c:v>21.58979637042697</c:v>
                </c:pt>
                <c:pt idx="63">
                  <c:v>21.86052134988763</c:v>
                </c:pt>
                <c:pt idx="64">
                  <c:v>22.12320594070172</c:v>
                </c:pt>
                <c:pt idx="65">
                  <c:v>22.38103964545476</c:v>
                </c:pt>
                <c:pt idx="66">
                  <c:v>22.63188549741445</c:v>
                </c:pt>
                <c:pt idx="67">
                  <c:v>22.87587707673859</c:v>
                </c:pt>
                <c:pt idx="68">
                  <c:v>23.11491071640005</c:v>
                </c:pt>
                <c:pt idx="69">
                  <c:v>23.35050379856949</c:v>
                </c:pt>
                <c:pt idx="70">
                  <c:v>23.5843338121315</c:v>
                </c:pt>
                <c:pt idx="71">
                  <c:v>23.81335557159771</c:v>
                </c:pt>
                <c:pt idx="72">
                  <c:v>24.03537874133119</c:v>
                </c:pt>
                <c:pt idx="73">
                  <c:v>24.25110848561641</c:v>
                </c:pt>
                <c:pt idx="74">
                  <c:v>24.46426325920041</c:v>
                </c:pt>
                <c:pt idx="75">
                  <c:v>24.67494443142277</c:v>
                </c:pt>
                <c:pt idx="76">
                  <c:v>24.88130335395321</c:v>
                </c:pt>
                <c:pt idx="77">
                  <c:v>25.08291812823192</c:v>
                </c:pt>
                <c:pt idx="78">
                  <c:v>25.27777463074497</c:v>
                </c:pt>
                <c:pt idx="79">
                  <c:v>25.46838372634955</c:v>
                </c:pt>
                <c:pt idx="80">
                  <c:v>25.6561936386949</c:v>
                </c:pt>
                <c:pt idx="81">
                  <c:v>25.84072341605451</c:v>
                </c:pt>
                <c:pt idx="82">
                  <c:v>26.01975556465058</c:v>
                </c:pt>
                <c:pt idx="83">
                  <c:v>26.19434262033636</c:v>
                </c:pt>
                <c:pt idx="84">
                  <c:v>26.36470911146215</c:v>
                </c:pt>
                <c:pt idx="85">
                  <c:v>26.52911344329934</c:v>
                </c:pt>
                <c:pt idx="86">
                  <c:v>26.68782814463319</c:v>
                </c:pt>
                <c:pt idx="87">
                  <c:v>26.8410559541429</c:v>
                </c:pt>
                <c:pt idx="88">
                  <c:v>26.99437976452252</c:v>
                </c:pt>
                <c:pt idx="89">
                  <c:v>27.14588208471269</c:v>
                </c:pt>
                <c:pt idx="90">
                  <c:v>27.29017202375918</c:v>
                </c:pt>
                <c:pt idx="91">
                  <c:v>27.42717473887854</c:v>
                </c:pt>
                <c:pt idx="92">
                  <c:v>27.55626527703943</c:v>
                </c:pt>
                <c:pt idx="93">
                  <c:v>27.679500393721</c:v>
                </c:pt>
                <c:pt idx="94">
                  <c:v>27.79759093746979</c:v>
                </c:pt>
                <c:pt idx="95">
                  <c:v>27.90953237286753</c:v>
                </c:pt>
                <c:pt idx="96">
                  <c:v>28.01582144125748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0.356163689032445</c:v>
                  </c:pt>
                  <c:pt idx="1">
                    <c:v>1.142529552069229</c:v>
                  </c:pt>
                  <c:pt idx="2">
                    <c:v>0.49603845167698</c:v>
                  </c:pt>
                  <c:pt idx="3">
                    <c:v>0.612113873703506</c:v>
                  </c:pt>
                  <c:pt idx="4">
                    <c:v>0.766113149158526</c:v>
                  </c:pt>
                  <c:pt idx="5">
                    <c:v>0.900439039798622</c:v>
                  </c:pt>
                  <c:pt idx="6">
                    <c:v>0.583352468885095</c:v>
                  </c:pt>
                  <c:pt idx="7">
                    <c:v>1.851072909968067</c:v>
                  </c:pt>
                  <c:pt idx="8">
                    <c:v>0.395343632964272</c:v>
                  </c:pt>
                  <c:pt idx="9">
                    <c:v>0.494831802172833</c:v>
                  </c:pt>
                  <c:pt idx="10">
                    <c:v>1.080091733339283</c:v>
                  </c:pt>
                  <c:pt idx="11">
                    <c:v>0.292741273035993</c:v>
                  </c:pt>
                  <c:pt idx="12">
                    <c:v>0.166528989945907</c:v>
                  </c:pt>
                  <c:pt idx="13">
                    <c:v>0.389246929264975</c:v>
                  </c:pt>
                  <c:pt idx="14">
                    <c:v>0.247858426639366</c:v>
                  </c:pt>
                  <c:pt idx="15">
                    <c:v>0.245461282475052</c:v>
                  </c:pt>
                  <c:pt idx="16">
                    <c:v>0.257430173678317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0.356163689032445</c:v>
                  </c:pt>
                  <c:pt idx="1">
                    <c:v>1.142529552069229</c:v>
                  </c:pt>
                  <c:pt idx="2">
                    <c:v>0.49603845167698</c:v>
                  </c:pt>
                  <c:pt idx="3">
                    <c:v>0.612113873703506</c:v>
                  </c:pt>
                  <c:pt idx="4">
                    <c:v>0.766113149158526</c:v>
                  </c:pt>
                  <c:pt idx="5">
                    <c:v>0.900439039798622</c:v>
                  </c:pt>
                  <c:pt idx="6">
                    <c:v>0.583352468885095</c:v>
                  </c:pt>
                  <c:pt idx="7">
                    <c:v>1.851072909968067</c:v>
                  </c:pt>
                  <c:pt idx="8">
                    <c:v>0.395343632964272</c:v>
                  </c:pt>
                  <c:pt idx="9">
                    <c:v>0.494831802172833</c:v>
                  </c:pt>
                  <c:pt idx="10">
                    <c:v>1.080091733339283</c:v>
                  </c:pt>
                  <c:pt idx="11">
                    <c:v>0.292741273035993</c:v>
                  </c:pt>
                  <c:pt idx="12">
                    <c:v>0.166528989945907</c:v>
                  </c:pt>
                  <c:pt idx="13">
                    <c:v>0.389246929264975</c:v>
                  </c:pt>
                  <c:pt idx="14">
                    <c:v>0.247858426639366</c:v>
                  </c:pt>
                  <c:pt idx="15">
                    <c:v>0.245461282475052</c:v>
                  </c:pt>
                  <c:pt idx="16">
                    <c:v>0.257430173678317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49.44123741859087</c:v>
                </c:pt>
                <c:pt idx="1">
                  <c:v>49.34317643576081</c:v>
                </c:pt>
                <c:pt idx="2">
                  <c:v>47.60583185316755</c:v>
                </c:pt>
                <c:pt idx="3">
                  <c:v>50.55136175251629</c:v>
                </c:pt>
                <c:pt idx="4">
                  <c:v>50.09806098283007</c:v>
                </c:pt>
                <c:pt idx="5">
                  <c:v>50.19797217288336</c:v>
                </c:pt>
                <c:pt idx="6">
                  <c:v>49.42088513913558</c:v>
                </c:pt>
                <c:pt idx="7">
                  <c:v>47.2673939481222</c:v>
                </c:pt>
                <c:pt idx="8">
                  <c:v>46.03293037901515</c:v>
                </c:pt>
                <c:pt idx="9">
                  <c:v>43.84515289333831</c:v>
                </c:pt>
                <c:pt idx="10">
                  <c:v>40.5544831407109</c:v>
                </c:pt>
                <c:pt idx="11">
                  <c:v>39.15509143486564</c:v>
                </c:pt>
                <c:pt idx="12">
                  <c:v>38.04394883212185</c:v>
                </c:pt>
                <c:pt idx="13">
                  <c:v>36.65799568395899</c:v>
                </c:pt>
                <c:pt idx="14">
                  <c:v>36.20221243389201</c:v>
                </c:pt>
                <c:pt idx="15">
                  <c:v>35.26996413419231</c:v>
                </c:pt>
                <c:pt idx="16">
                  <c:v>33.4506186389094</c:v>
                </c:pt>
                <c:pt idx="17">
                  <c:v>34.10187715351184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Metabolites!$J$24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Metabolites!$M$27:$M$43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Metabolites!$M$27:$M$43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Metabolites!$L$27:$L$44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0.00758438451454668</c:v>
                </c:pt>
                <c:pt idx="1">
                  <c:v>0.0539066989959888</c:v>
                </c:pt>
                <c:pt idx="2">
                  <c:v>0.143914146167601</c:v>
                </c:pt>
                <c:pt idx="3">
                  <c:v>0.274339854321719</c:v>
                </c:pt>
                <c:pt idx="4">
                  <c:v>0.41984085697371</c:v>
                </c:pt>
                <c:pt idx="5">
                  <c:v>0.560254760897932</c:v>
                </c:pt>
                <c:pt idx="6">
                  <c:v>0.634603960920887</c:v>
                </c:pt>
                <c:pt idx="7">
                  <c:v>0.717633976446211</c:v>
                </c:pt>
                <c:pt idx="8">
                  <c:v>0.896505702536004</c:v>
                </c:pt>
                <c:pt idx="9">
                  <c:v>1.093673173358061</c:v>
                </c:pt>
                <c:pt idx="10">
                  <c:v>1.310209451267398</c:v>
                </c:pt>
                <c:pt idx="11">
                  <c:v>1.540957331637831</c:v>
                </c:pt>
                <c:pt idx="12">
                  <c:v>1.788974000066451</c:v>
                </c:pt>
                <c:pt idx="13">
                  <c:v>2.067117888858013</c:v>
                </c:pt>
                <c:pt idx="14">
                  <c:v>2.360920340590566</c:v>
                </c:pt>
                <c:pt idx="15">
                  <c:v>2.674068230777595</c:v>
                </c:pt>
                <c:pt idx="16">
                  <c:v>3.033235274804272</c:v>
                </c:pt>
                <c:pt idx="17">
                  <c:v>3.419238983061086</c:v>
                </c:pt>
                <c:pt idx="18">
                  <c:v>3.822161265676348</c:v>
                </c:pt>
                <c:pt idx="19">
                  <c:v>4.294251859263242</c:v>
                </c:pt>
                <c:pt idx="20">
                  <c:v>4.845802120233665</c:v>
                </c:pt>
                <c:pt idx="21">
                  <c:v>5.458796727449014</c:v>
                </c:pt>
                <c:pt idx="22">
                  <c:v>6.107939135897932</c:v>
                </c:pt>
                <c:pt idx="23">
                  <c:v>6.780394281908467</c:v>
                </c:pt>
                <c:pt idx="24">
                  <c:v>7.441064689553934</c:v>
                </c:pt>
                <c:pt idx="25">
                  <c:v>8.08385967206529</c:v>
                </c:pt>
                <c:pt idx="26">
                  <c:v>8.750177394041177</c:v>
                </c:pt>
                <c:pt idx="27">
                  <c:v>9.414931628165476</c:v>
                </c:pt>
                <c:pt idx="28">
                  <c:v>10.10234522550986</c:v>
                </c:pt>
                <c:pt idx="29">
                  <c:v>10.80679424037672</c:v>
                </c:pt>
                <c:pt idx="30">
                  <c:v>11.49406794171661</c:v>
                </c:pt>
                <c:pt idx="31">
                  <c:v>12.26724189511647</c:v>
                </c:pt>
                <c:pt idx="32">
                  <c:v>13.01248243750604</c:v>
                </c:pt>
                <c:pt idx="33">
                  <c:v>13.6240067156087</c:v>
                </c:pt>
                <c:pt idx="34">
                  <c:v>14.21371163810289</c:v>
                </c:pt>
                <c:pt idx="35">
                  <c:v>14.7771167433368</c:v>
                </c:pt>
                <c:pt idx="36">
                  <c:v>15.3107448419075</c:v>
                </c:pt>
                <c:pt idx="37">
                  <c:v>15.8443495718454</c:v>
                </c:pt>
                <c:pt idx="38">
                  <c:v>16.36168910176639</c:v>
                </c:pt>
                <c:pt idx="39">
                  <c:v>16.83933385094481</c:v>
                </c:pt>
                <c:pt idx="40">
                  <c:v>17.30650061044124</c:v>
                </c:pt>
                <c:pt idx="41">
                  <c:v>17.77250051725909</c:v>
                </c:pt>
                <c:pt idx="42">
                  <c:v>18.22235175143172</c:v>
                </c:pt>
                <c:pt idx="43">
                  <c:v>18.67652018261889</c:v>
                </c:pt>
                <c:pt idx="44">
                  <c:v>19.1257647797156</c:v>
                </c:pt>
                <c:pt idx="45">
                  <c:v>19.56551160653877</c:v>
                </c:pt>
                <c:pt idx="46">
                  <c:v>20.01277271197807</c:v>
                </c:pt>
                <c:pt idx="47">
                  <c:v>20.45891370200441</c:v>
                </c:pt>
                <c:pt idx="48">
                  <c:v>20.90083065375508</c:v>
                </c:pt>
                <c:pt idx="49">
                  <c:v>21.33072949660498</c:v>
                </c:pt>
                <c:pt idx="50">
                  <c:v>21.75596124453292</c:v>
                </c:pt>
                <c:pt idx="51">
                  <c:v>22.19129739981032</c:v>
                </c:pt>
                <c:pt idx="52">
                  <c:v>22.62023939188455</c:v>
                </c:pt>
                <c:pt idx="53">
                  <c:v>23.04859811551567</c:v>
                </c:pt>
                <c:pt idx="54">
                  <c:v>23.46694559053621</c:v>
                </c:pt>
                <c:pt idx="55">
                  <c:v>23.87430159753771</c:v>
                </c:pt>
                <c:pt idx="56">
                  <c:v>24.29633626386406</c:v>
                </c:pt>
                <c:pt idx="57">
                  <c:v>24.72047126501185</c:v>
                </c:pt>
                <c:pt idx="58">
                  <c:v>25.13814199705805</c:v>
                </c:pt>
                <c:pt idx="59">
                  <c:v>25.53541696534289</c:v>
                </c:pt>
                <c:pt idx="60">
                  <c:v>25.91192258753384</c:v>
                </c:pt>
                <c:pt idx="61">
                  <c:v>26.34165816574643</c:v>
                </c:pt>
                <c:pt idx="62">
                  <c:v>26.76490642201697</c:v>
                </c:pt>
                <c:pt idx="63">
                  <c:v>27.11910289468757</c:v>
                </c:pt>
                <c:pt idx="64">
                  <c:v>27.48473420781583</c:v>
                </c:pt>
                <c:pt idx="65">
                  <c:v>27.87115791987846</c:v>
                </c:pt>
                <c:pt idx="66">
                  <c:v>28.24010284198</c:v>
                </c:pt>
                <c:pt idx="67">
                  <c:v>28.5996898898125</c:v>
                </c:pt>
                <c:pt idx="68">
                  <c:v>28.95904356710928</c:v>
                </c:pt>
                <c:pt idx="69">
                  <c:v>29.30712598437803</c:v>
                </c:pt>
                <c:pt idx="70">
                  <c:v>29.63982963071478</c:v>
                </c:pt>
                <c:pt idx="71">
                  <c:v>29.94518313448435</c:v>
                </c:pt>
                <c:pt idx="72">
                  <c:v>30.26274169621715</c:v>
                </c:pt>
                <c:pt idx="73">
                  <c:v>30.59304184709067</c:v>
                </c:pt>
                <c:pt idx="74">
                  <c:v>30.91750773457134</c:v>
                </c:pt>
                <c:pt idx="75">
                  <c:v>31.24020013229752</c:v>
                </c:pt>
                <c:pt idx="76">
                  <c:v>31.59845706281414</c:v>
                </c:pt>
                <c:pt idx="77">
                  <c:v>31.95370354499929</c:v>
                </c:pt>
                <c:pt idx="78">
                  <c:v>32.25674702783686</c:v>
                </c:pt>
                <c:pt idx="79">
                  <c:v>32.55278971039534</c:v>
                </c:pt>
                <c:pt idx="80">
                  <c:v>32.85104925514693</c:v>
                </c:pt>
                <c:pt idx="81">
                  <c:v>33.14051114123213</c:v>
                </c:pt>
                <c:pt idx="82">
                  <c:v>33.4152479465192</c:v>
                </c:pt>
                <c:pt idx="83">
                  <c:v>33.68046361289993</c:v>
                </c:pt>
                <c:pt idx="84">
                  <c:v>33.93333432531293</c:v>
                </c:pt>
                <c:pt idx="85">
                  <c:v>34.18835210981298</c:v>
                </c:pt>
                <c:pt idx="86">
                  <c:v>34.44154966729293</c:v>
                </c:pt>
                <c:pt idx="87">
                  <c:v>34.68067551831627</c:v>
                </c:pt>
                <c:pt idx="88">
                  <c:v>34.89527504183381</c:v>
                </c:pt>
                <c:pt idx="89">
                  <c:v>35.10397051185242</c:v>
                </c:pt>
                <c:pt idx="90">
                  <c:v>35.31665664961097</c:v>
                </c:pt>
                <c:pt idx="91">
                  <c:v>35.51634445906027</c:v>
                </c:pt>
                <c:pt idx="92">
                  <c:v>35.70882115053524</c:v>
                </c:pt>
                <c:pt idx="93">
                  <c:v>35.8836090501462</c:v>
                </c:pt>
                <c:pt idx="94">
                  <c:v>36.05146625537648</c:v>
                </c:pt>
                <c:pt idx="95">
                  <c:v>36.2182033451938</c:v>
                </c:pt>
                <c:pt idx="96">
                  <c:v>36.37709931132805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08680"/>
        <c:axId val="211732293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12223.0</c:v>
                </c:pt>
                <c:pt idx="1">
                  <c:v>17192.0</c:v>
                </c:pt>
                <c:pt idx="2">
                  <c:v>25926.0</c:v>
                </c:pt>
                <c:pt idx="3">
                  <c:v>5070.0</c:v>
                </c:pt>
                <c:pt idx="4">
                  <c:v>7689.0</c:v>
                </c:pt>
                <c:pt idx="5">
                  <c:v>13934.0</c:v>
                </c:pt>
                <c:pt idx="6">
                  <c:v>27144.0</c:v>
                </c:pt>
                <c:pt idx="7">
                  <c:v>5323.0</c:v>
                </c:pt>
                <c:pt idx="8">
                  <c:v>8305.0</c:v>
                </c:pt>
                <c:pt idx="9">
                  <c:v>11693.0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5.44133936696422E-17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0.015129226145885</c:v>
                  </c:pt>
                  <c:pt idx="8">
                    <c:v>0.0169402164944844</c:v>
                  </c:pt>
                  <c:pt idx="9">
                    <c:v>0.0666424553069087</c:v>
                  </c:pt>
                  <c:pt idx="10">
                    <c:v>0.0402833999351263</c:v>
                  </c:pt>
                  <c:pt idx="11">
                    <c:v>0.0554498745535099</c:v>
                  </c:pt>
                  <c:pt idx="12">
                    <c:v>0.0821415442412263</c:v>
                  </c:pt>
                  <c:pt idx="13">
                    <c:v>0.0333212276534544</c:v>
                  </c:pt>
                  <c:pt idx="14">
                    <c:v>0.0</c:v>
                  </c:pt>
                  <c:pt idx="15">
                    <c:v>0.0452746329858123</c:v>
                  </c:pt>
                  <c:pt idx="16">
                    <c:v>0.0821415442412262</c:v>
                  </c:pt>
                  <c:pt idx="17">
                    <c:v>0.016007</c:v>
                  </c:pt>
                </c:numCache>
              </c:numRef>
            </c:plus>
            <c:min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5.44133936696422E-17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0.015129226145885</c:v>
                  </c:pt>
                  <c:pt idx="8">
                    <c:v>0.0169402164944844</c:v>
                  </c:pt>
                  <c:pt idx="9">
                    <c:v>0.0666424553069087</c:v>
                  </c:pt>
                  <c:pt idx="10">
                    <c:v>0.0402833999351263</c:v>
                  </c:pt>
                  <c:pt idx="11">
                    <c:v>0.0554498745535099</c:v>
                  </c:pt>
                  <c:pt idx="12">
                    <c:v>0.0821415442412263</c:v>
                  </c:pt>
                  <c:pt idx="13">
                    <c:v>0.0333212276534544</c:v>
                  </c:pt>
                  <c:pt idx="14">
                    <c:v>0.0</c:v>
                  </c:pt>
                  <c:pt idx="15">
                    <c:v>0.0452746329858123</c:v>
                  </c:pt>
                  <c:pt idx="16">
                    <c:v>0.0821415442412262</c:v>
                  </c:pt>
                  <c:pt idx="17">
                    <c:v>0.016007</c:v>
                  </c:pt>
                </c:numCache>
              </c:numRef>
            </c:minus>
          </c:errBars>
          <c:xVal>
            <c:numRef>
              <c:f>OD600nm!$D$4:$D$21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OD600nm!$I$4:$I$21</c:f>
              <c:numCache>
                <c:formatCode>0.000</c:formatCode>
                <c:ptCount val="18"/>
                <c:pt idx="0">
                  <c:v>0.1658777</c:v>
                </c:pt>
                <c:pt idx="1">
                  <c:v>0.1738812</c:v>
                </c:pt>
                <c:pt idx="2">
                  <c:v>0.1914889</c:v>
                </c:pt>
                <c:pt idx="3">
                  <c:v>0.2235029</c:v>
                </c:pt>
                <c:pt idx="4">
                  <c:v>0.2747253</c:v>
                </c:pt>
                <c:pt idx="5">
                  <c:v>0.3595624</c:v>
                </c:pt>
                <c:pt idx="6">
                  <c:v>0.5132296</c:v>
                </c:pt>
                <c:pt idx="7">
                  <c:v>0.886664733333333</c:v>
                </c:pt>
                <c:pt idx="8">
                  <c:v>1.3165964</c:v>
                </c:pt>
                <c:pt idx="9">
                  <c:v>1.573406333333333</c:v>
                </c:pt>
                <c:pt idx="10">
                  <c:v>1.701462333333333</c:v>
                </c:pt>
                <c:pt idx="11">
                  <c:v>1.722805</c:v>
                </c:pt>
                <c:pt idx="12">
                  <c:v>1.621427333333333</c:v>
                </c:pt>
                <c:pt idx="13">
                  <c:v>1.653441333333333</c:v>
                </c:pt>
                <c:pt idx="14">
                  <c:v>1.546728</c:v>
                </c:pt>
                <c:pt idx="15">
                  <c:v>1.32263</c:v>
                </c:pt>
                <c:pt idx="16">
                  <c:v>1.221252333333333</c:v>
                </c:pt>
                <c:pt idx="17">
                  <c:v>0.906448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11592"/>
        <c:axId val="-2089996552"/>
      </c:scatterChart>
      <c:valAx>
        <c:axId val="211780868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322936"/>
        <c:crosses val="autoZero"/>
        <c:crossBetween val="midCat"/>
        <c:majorUnit val="6.0"/>
      </c:valAx>
      <c:valAx>
        <c:axId val="211732293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808680"/>
        <c:crosses val="autoZero"/>
        <c:crossBetween val="midCat"/>
      </c:valAx>
      <c:valAx>
        <c:axId val="-2089996552"/>
        <c:scaling>
          <c:orientation val="minMax"/>
          <c:max val="2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24011592"/>
        <c:crosses val="max"/>
        <c:crossBetween val="midCat"/>
        <c:majorUnit val="1.0"/>
        <c:minorUnit val="0.2"/>
      </c:valAx>
      <c:valAx>
        <c:axId val="-2124011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8999655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curve ethanol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 ethanol</c:v>
          </c:tx>
          <c:trendline>
            <c:trendlineType val="linear"/>
            <c:dispRSqr val="1"/>
            <c:dispEq val="1"/>
            <c:trendlineLbl>
              <c:layout>
                <c:manualLayout>
                  <c:x val="0.378022924349646"/>
                  <c:y val="0.139745781777278"/>
                </c:manualLayout>
              </c:layout>
              <c:numFmt formatCode="General" sourceLinked="0"/>
            </c:trendlineLbl>
          </c:trendline>
          <c:xVal>
            <c:numRef>
              <c:f>'calibration ethanol'!$E$2:$E$9</c:f>
              <c:numCache>
                <c:formatCode>General</c:formatCode>
                <c:ptCount val="8"/>
                <c:pt idx="0">
                  <c:v>0.777349685261558</c:v>
                </c:pt>
                <c:pt idx="1">
                  <c:v>1.554699370523117</c:v>
                </c:pt>
                <c:pt idx="2">
                  <c:v>3.109398741046233</c:v>
                </c:pt>
                <c:pt idx="3">
                  <c:v>6.218797482092467</c:v>
                </c:pt>
                <c:pt idx="4">
                  <c:v>12.43759496418494</c:v>
                </c:pt>
                <c:pt idx="5">
                  <c:v>24.87518992836987</c:v>
                </c:pt>
                <c:pt idx="6">
                  <c:v>49.75037985673974</c:v>
                </c:pt>
                <c:pt idx="7">
                  <c:v>99.50075971347948</c:v>
                </c:pt>
              </c:numCache>
            </c:numRef>
          </c:xVal>
          <c:yVal>
            <c:numRef>
              <c:f>'calibration ethanol'!$H$2:$H$9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49048"/>
        <c:axId val="-2094642584"/>
      </c:scatterChart>
      <c:valAx>
        <c:axId val="211804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4642584"/>
        <c:crosses val="autoZero"/>
        <c:crossBetween val="midCat"/>
      </c:valAx>
      <c:valAx>
        <c:axId val="-2094642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049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 acetic acid</c:v>
          </c:tx>
          <c:trendline>
            <c:trendlineType val="linear"/>
            <c:dispRSqr val="1"/>
            <c:dispEq val="1"/>
            <c:trendlineLbl>
              <c:layout>
                <c:manualLayout>
                  <c:x val="-0.0450166450712648"/>
                  <c:y val="-0.0605769230769231"/>
                </c:manualLayout>
              </c:layout>
              <c:numFmt formatCode="General" sourceLinked="0"/>
            </c:trendlineLbl>
          </c:trendline>
          <c:xVal>
            <c:numRef>
              <c:f>'Calibration acetic acid'!$E$2:$E$9</c:f>
              <c:numCache>
                <c:formatCode>General</c:formatCode>
                <c:ptCount val="8"/>
                <c:pt idx="0">
                  <c:v>0.780209200666111</c:v>
                </c:pt>
                <c:pt idx="1">
                  <c:v>1.560418401332223</c:v>
                </c:pt>
                <c:pt idx="2">
                  <c:v>3.120836802664446</c:v>
                </c:pt>
                <c:pt idx="3">
                  <c:v>6.241673605328892</c:v>
                </c:pt>
                <c:pt idx="4">
                  <c:v>12.48334721065778</c:v>
                </c:pt>
                <c:pt idx="5">
                  <c:v>24.96669442131557</c:v>
                </c:pt>
                <c:pt idx="6">
                  <c:v>49.93338884263114</c:v>
                </c:pt>
                <c:pt idx="7">
                  <c:v>99.86677768526227</c:v>
                </c:pt>
              </c:numCache>
            </c:numRef>
          </c:xVal>
          <c:yVal>
            <c:numRef>
              <c:f>'Calibration acetic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31112"/>
        <c:axId val="-2125668616"/>
      </c:scatterChart>
      <c:valAx>
        <c:axId val="-209403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668616"/>
        <c:crosses val="autoZero"/>
        <c:crossBetween val="midCat"/>
      </c:valAx>
      <c:valAx>
        <c:axId val="-212566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4031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propionic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propionic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propionic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Calibration curve propionic acid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propionic acid'!$E$2:$E$9</c:f>
              <c:numCache>
                <c:formatCode>General</c:formatCode>
                <c:ptCount val="8"/>
                <c:pt idx="0">
                  <c:v>0.415935475161987</c:v>
                </c:pt>
                <c:pt idx="1">
                  <c:v>0.831870950323974</c:v>
                </c:pt>
                <c:pt idx="2">
                  <c:v>1.663741900647948</c:v>
                </c:pt>
                <c:pt idx="3">
                  <c:v>3.327483801295896</c:v>
                </c:pt>
                <c:pt idx="4">
                  <c:v>6.654967602591792</c:v>
                </c:pt>
                <c:pt idx="5">
                  <c:v>13.30993520518359</c:v>
                </c:pt>
                <c:pt idx="6">
                  <c:v>26.61987041036717</c:v>
                </c:pt>
                <c:pt idx="7">
                  <c:v>53.23974082073434</c:v>
                </c:pt>
              </c:numCache>
            </c:numRef>
          </c:xVal>
          <c:yVal>
            <c:numRef>
              <c:f>'Calibration propionic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416232"/>
        <c:axId val="-2107383464"/>
      </c:scatterChart>
      <c:valAx>
        <c:axId val="-207641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107383464"/>
        <c:crosses val="autoZero"/>
        <c:crossBetween val="midCat"/>
      </c:valAx>
      <c:valAx>
        <c:axId val="-210738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76416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butyric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butyric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butyric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"Calibration curve butyric acid"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butyric acid'!$E$2:$E$9</c:f>
              <c:numCache>
                <c:formatCode>General</c:formatCode>
                <c:ptCount val="8"/>
                <c:pt idx="0">
                  <c:v>0.772516243899671</c:v>
                </c:pt>
                <c:pt idx="1">
                  <c:v>1.545032487799342</c:v>
                </c:pt>
                <c:pt idx="2">
                  <c:v>3.090064975598684</c:v>
                </c:pt>
                <c:pt idx="3">
                  <c:v>6.180129951197367</c:v>
                </c:pt>
                <c:pt idx="4">
                  <c:v>12.36025990239473</c:v>
                </c:pt>
                <c:pt idx="5">
                  <c:v>24.72051980478947</c:v>
                </c:pt>
                <c:pt idx="6">
                  <c:v>49.44103960957894</c:v>
                </c:pt>
                <c:pt idx="7">
                  <c:v>98.88207921915787</c:v>
                </c:pt>
              </c:numCache>
            </c:numRef>
          </c:xVal>
          <c:yVal>
            <c:numRef>
              <c:f>'Calibration butyric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025880"/>
        <c:axId val="-2126155128"/>
      </c:scatterChart>
      <c:valAx>
        <c:axId val="-209502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126155128"/>
        <c:crosses val="autoZero"/>
        <c:crossBetween val="midCat"/>
      </c:valAx>
      <c:valAx>
        <c:axId val="-2126155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5025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isobutyric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isobutyric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isobutyric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"Calibration curve isobutyric acid"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isobutyric acid'!$E$2:$E$9</c:f>
              <c:numCache>
                <c:formatCode>General</c:formatCode>
                <c:ptCount val="8"/>
                <c:pt idx="0">
                  <c:v>0.390580666212689</c:v>
                </c:pt>
                <c:pt idx="1">
                  <c:v>0.781161332425377</c:v>
                </c:pt>
                <c:pt idx="2">
                  <c:v>1.562322664850755</c:v>
                </c:pt>
                <c:pt idx="3">
                  <c:v>3.12464532970151</c:v>
                </c:pt>
                <c:pt idx="4">
                  <c:v>6.24929065940302</c:v>
                </c:pt>
                <c:pt idx="5">
                  <c:v>12.49858131880604</c:v>
                </c:pt>
                <c:pt idx="6">
                  <c:v>24.99716263761208</c:v>
                </c:pt>
                <c:pt idx="7">
                  <c:v>49.99432527522416</c:v>
                </c:pt>
              </c:numCache>
            </c:numRef>
          </c:xVal>
          <c:yVal>
            <c:numRef>
              <c:f>'Calibration isobutyric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68360"/>
        <c:axId val="-2094772616"/>
      </c:scatterChart>
      <c:valAx>
        <c:axId val="-210856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094772616"/>
        <c:crosses val="autoZero"/>
        <c:crossBetween val="midCat"/>
      </c:valAx>
      <c:valAx>
        <c:axId val="-209477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8568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isovaleric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isovaleric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isovaleric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"Calibration curve isovaleric acid"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isovaleric acid'!$E$2:$E$9</c:f>
              <c:numCache>
                <c:formatCode>General</c:formatCode>
                <c:ptCount val="8"/>
                <c:pt idx="0">
                  <c:v>0.390548504357192</c:v>
                </c:pt>
                <c:pt idx="1">
                  <c:v>0.781097008714383</c:v>
                </c:pt>
                <c:pt idx="2">
                  <c:v>1.562194017428767</c:v>
                </c:pt>
                <c:pt idx="3">
                  <c:v>3.124388034857534</c:v>
                </c:pt>
                <c:pt idx="4">
                  <c:v>6.248776069715068</c:v>
                </c:pt>
                <c:pt idx="5">
                  <c:v>12.49755213943014</c:v>
                </c:pt>
                <c:pt idx="6">
                  <c:v>24.99510427886027</c:v>
                </c:pt>
                <c:pt idx="7">
                  <c:v>49.99020855772054</c:v>
                </c:pt>
              </c:numCache>
            </c:numRef>
          </c:xVal>
          <c:yVal>
            <c:numRef>
              <c:f>'Calibration isovaleric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35432"/>
        <c:axId val="-2094245704"/>
      </c:scatterChart>
      <c:valAx>
        <c:axId val="-209403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094245704"/>
        <c:crosses val="autoZero"/>
        <c:crossBetween val="midCat"/>
      </c:valAx>
      <c:valAx>
        <c:axId val="-2094245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4035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2-methylbutyric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2-methylbutyric a'!$J$13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2-methylbutyric a'!$J$14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"Calibration curve 2-methylbutyric acid"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2-methylbutyric a'!$E$2:$E$9</c:f>
              <c:numCache>
                <c:formatCode>General</c:formatCode>
                <c:ptCount val="8"/>
                <c:pt idx="0">
                  <c:v>0.397624351316949</c:v>
                </c:pt>
                <c:pt idx="1">
                  <c:v>0.795248702633898</c:v>
                </c:pt>
                <c:pt idx="2">
                  <c:v>1.590497405267796</c:v>
                </c:pt>
                <c:pt idx="3">
                  <c:v>3.180994810535592</c:v>
                </c:pt>
                <c:pt idx="4">
                  <c:v>6.361989621071184</c:v>
                </c:pt>
                <c:pt idx="5">
                  <c:v>12.72397924214237</c:v>
                </c:pt>
                <c:pt idx="6">
                  <c:v>25.44795848428474</c:v>
                </c:pt>
                <c:pt idx="7">
                  <c:v>50.89591696856947</c:v>
                </c:pt>
              </c:numCache>
            </c:numRef>
          </c:xVal>
          <c:yVal>
            <c:numRef>
              <c:f>'Calibration 2-methylbutyric a'!$H$2:$H$9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01672"/>
        <c:axId val="-2089474728"/>
      </c:scatterChart>
      <c:valAx>
        <c:axId val="211910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089474728"/>
        <c:crosses val="autoZero"/>
        <c:crossBetween val="midCat"/>
      </c:valAx>
      <c:valAx>
        <c:axId val="-2089474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10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7767522912095"/>
          <c:y val="0.0449990116298224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0.073915720675837</c:v>
                  </c:pt>
                  <c:pt idx="1">
                    <c:v>0.02793751641234</c:v>
                  </c:pt>
                  <c:pt idx="2">
                    <c:v>0.02793751641234</c:v>
                  </c:pt>
                  <c:pt idx="3">
                    <c:v>0.0128186116605157</c:v>
                  </c:pt>
                  <c:pt idx="4">
                    <c:v>3.77370103105717E-16</c:v>
                  </c:pt>
                  <c:pt idx="5">
                    <c:v>0.0547611330186083</c:v>
                  </c:pt>
                  <c:pt idx="6">
                    <c:v>0.0547611330186085</c:v>
                  </c:pt>
                  <c:pt idx="7">
                    <c:v>0.0333599863184677</c:v>
                  </c:pt>
                  <c:pt idx="8">
                    <c:v>0.0170010789750539</c:v>
                  </c:pt>
                  <c:pt idx="9">
                    <c:v>0.0128633550670146</c:v>
                  </c:pt>
                  <c:pt idx="10">
                    <c:v>0.00643776237507165</c:v>
                  </c:pt>
                  <c:pt idx="11">
                    <c:v>0.0170327182441681</c:v>
                  </c:pt>
                  <c:pt idx="12">
                    <c:v>0.0</c:v>
                  </c:pt>
                  <c:pt idx="13">
                    <c:v>0.0111620387771507</c:v>
                  </c:pt>
                  <c:pt idx="14">
                    <c:v>0.00644440609269298</c:v>
                  </c:pt>
                  <c:pt idx="15">
                    <c:v>0.0425683850332581</c:v>
                  </c:pt>
                  <c:pt idx="16">
                    <c:v>0.0384679512959965</c:v>
                  </c:pt>
                  <c:pt idx="17">
                    <c:v>0.050591628440818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0.073915720675837</c:v>
                  </c:pt>
                  <c:pt idx="1">
                    <c:v>0.02793751641234</c:v>
                  </c:pt>
                  <c:pt idx="2">
                    <c:v>0.02793751641234</c:v>
                  </c:pt>
                  <c:pt idx="3">
                    <c:v>0.0128186116605157</c:v>
                  </c:pt>
                  <c:pt idx="4">
                    <c:v>3.77370103105717E-16</c:v>
                  </c:pt>
                  <c:pt idx="5">
                    <c:v>0.0547611330186083</c:v>
                  </c:pt>
                  <c:pt idx="6">
                    <c:v>0.0547611330186085</c:v>
                  </c:pt>
                  <c:pt idx="7">
                    <c:v>0.0333599863184677</c:v>
                  </c:pt>
                  <c:pt idx="8">
                    <c:v>0.0170010789750539</c:v>
                  </c:pt>
                  <c:pt idx="9">
                    <c:v>0.0128633550670146</c:v>
                  </c:pt>
                  <c:pt idx="10">
                    <c:v>0.00643776237507165</c:v>
                  </c:pt>
                  <c:pt idx="11">
                    <c:v>0.0170327182441681</c:v>
                  </c:pt>
                  <c:pt idx="12">
                    <c:v>0.0</c:v>
                  </c:pt>
                  <c:pt idx="13">
                    <c:v>0.0111620387771507</c:v>
                  </c:pt>
                  <c:pt idx="14">
                    <c:v>0.00644440609269298</c:v>
                  </c:pt>
                  <c:pt idx="15">
                    <c:v>0.0425683850332581</c:v>
                  </c:pt>
                  <c:pt idx="16">
                    <c:v>0.0384679512959965</c:v>
                  </c:pt>
                  <c:pt idx="17">
                    <c:v>0.050591628440818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1.994523386619301</c:v>
                </c:pt>
                <c:pt idx="1">
                  <c:v>1.957519242155121</c:v>
                </c:pt>
                <c:pt idx="2">
                  <c:v>1.968620485494375</c:v>
                </c:pt>
                <c:pt idx="3">
                  <c:v>1.924215512137359</c:v>
                </c:pt>
                <c:pt idx="4">
                  <c:v>1.94271758436945</c:v>
                </c:pt>
                <c:pt idx="5">
                  <c:v>1.879810538780343</c:v>
                </c:pt>
                <c:pt idx="6">
                  <c:v>1.850207223209</c:v>
                </c:pt>
                <c:pt idx="7">
                  <c:v>1.945999201910614</c:v>
                </c:pt>
                <c:pt idx="8">
                  <c:v>1.944008342892001</c:v>
                </c:pt>
                <c:pt idx="9">
                  <c:v>2.00891193862342</c:v>
                </c:pt>
                <c:pt idx="10">
                  <c:v>2.401081120786293</c:v>
                </c:pt>
                <c:pt idx="11">
                  <c:v>3.070113012027056</c:v>
                </c:pt>
                <c:pt idx="12">
                  <c:v>3.817417261785529</c:v>
                </c:pt>
                <c:pt idx="13">
                  <c:v>4.632246092517528</c:v>
                </c:pt>
                <c:pt idx="14">
                  <c:v>5.25359958444558</c:v>
                </c:pt>
                <c:pt idx="15">
                  <c:v>6.326518193349622</c:v>
                </c:pt>
                <c:pt idx="16">
                  <c:v>6.765703906336202</c:v>
                </c:pt>
                <c:pt idx="17">
                  <c:v>8.310265145583237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0.201904340599203</c:v>
                  </c:pt>
                  <c:pt idx="1">
                    <c:v>0.0499583680266444</c:v>
                  </c:pt>
                  <c:pt idx="2">
                    <c:v>0.150183172450387</c:v>
                  </c:pt>
                  <c:pt idx="3">
                    <c:v>0.0508751117952356</c:v>
                  </c:pt>
                  <c:pt idx="4">
                    <c:v>0.0166527893422148</c:v>
                  </c:pt>
                  <c:pt idx="5">
                    <c:v>0.167634403225551</c:v>
                  </c:pt>
                  <c:pt idx="6">
                    <c:v>0.0821462591559742</c:v>
                  </c:pt>
                  <c:pt idx="7">
                    <c:v>0.236100324262783</c:v>
                  </c:pt>
                  <c:pt idx="8">
                    <c:v>0.107338043054482</c:v>
                  </c:pt>
                  <c:pt idx="9">
                    <c:v>0.574768061486031</c:v>
                  </c:pt>
                  <c:pt idx="10">
                    <c:v>0.799798728842328</c:v>
                  </c:pt>
                  <c:pt idx="11">
                    <c:v>0.200952889967814</c:v>
                  </c:pt>
                  <c:pt idx="12">
                    <c:v>0.228562074552325</c:v>
                  </c:pt>
                  <c:pt idx="13">
                    <c:v>0.202549196852948</c:v>
                  </c:pt>
                  <c:pt idx="14">
                    <c:v>0.383652952171338</c:v>
                  </c:pt>
                  <c:pt idx="15">
                    <c:v>0.508336817248903</c:v>
                  </c:pt>
                  <c:pt idx="16">
                    <c:v>0.609144361644974</c:v>
                  </c:pt>
                  <c:pt idx="17">
                    <c:v>0.917828411824246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0.201904340599203</c:v>
                  </c:pt>
                  <c:pt idx="1">
                    <c:v>0.0499583680266444</c:v>
                  </c:pt>
                  <c:pt idx="2">
                    <c:v>0.150183172450387</c:v>
                  </c:pt>
                  <c:pt idx="3">
                    <c:v>0.0508751117952356</c:v>
                  </c:pt>
                  <c:pt idx="4">
                    <c:v>0.0166527893422148</c:v>
                  </c:pt>
                  <c:pt idx="5">
                    <c:v>0.167634403225551</c:v>
                  </c:pt>
                  <c:pt idx="6">
                    <c:v>0.0821462591559742</c:v>
                  </c:pt>
                  <c:pt idx="7">
                    <c:v>0.236100324262783</c:v>
                  </c:pt>
                  <c:pt idx="8">
                    <c:v>0.107338043054482</c:v>
                  </c:pt>
                  <c:pt idx="9">
                    <c:v>0.574768061486031</c:v>
                  </c:pt>
                  <c:pt idx="10">
                    <c:v>0.799798728842328</c:v>
                  </c:pt>
                  <c:pt idx="11">
                    <c:v>0.200952889967814</c:v>
                  </c:pt>
                  <c:pt idx="12">
                    <c:v>0.228562074552325</c:v>
                  </c:pt>
                  <c:pt idx="13">
                    <c:v>0.202549196852948</c:v>
                  </c:pt>
                  <c:pt idx="14">
                    <c:v>0.383652952171338</c:v>
                  </c:pt>
                  <c:pt idx="15">
                    <c:v>0.508336817248903</c:v>
                  </c:pt>
                  <c:pt idx="16">
                    <c:v>0.609144361644974</c:v>
                  </c:pt>
                  <c:pt idx="17">
                    <c:v>0.917828411824246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0.93255620316403</c:v>
                </c:pt>
                <c:pt idx="1">
                  <c:v>1.015820149875104</c:v>
                </c:pt>
                <c:pt idx="2">
                  <c:v>1.071329447682487</c:v>
                </c:pt>
                <c:pt idx="3">
                  <c:v>1.243408270885373</c:v>
                </c:pt>
                <c:pt idx="4">
                  <c:v>1.648626144879268</c:v>
                </c:pt>
                <c:pt idx="5">
                  <c:v>2.459061892867055</c:v>
                </c:pt>
                <c:pt idx="6">
                  <c:v>3.769081321121288</c:v>
                </c:pt>
                <c:pt idx="7">
                  <c:v>6.694608846981869</c:v>
                </c:pt>
                <c:pt idx="8">
                  <c:v>10.55721908231908</c:v>
                </c:pt>
                <c:pt idx="9">
                  <c:v>13.65281833819523</c:v>
                </c:pt>
                <c:pt idx="10">
                  <c:v>16.2528018229301</c:v>
                </c:pt>
                <c:pt idx="11">
                  <c:v>18.00910802334965</c:v>
                </c:pt>
                <c:pt idx="12">
                  <c:v>18.8593113230171</c:v>
                </c:pt>
                <c:pt idx="13">
                  <c:v>19.8025559556273</c:v>
                </c:pt>
                <c:pt idx="14">
                  <c:v>19.82488127237547</c:v>
                </c:pt>
                <c:pt idx="15">
                  <c:v>20.53796252041525</c:v>
                </c:pt>
                <c:pt idx="16">
                  <c:v>20.38587245418934</c:v>
                </c:pt>
                <c:pt idx="17">
                  <c:v>21.5719065551802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0.339586475130521</c:v>
                  </c:pt>
                  <c:pt idx="1">
                    <c:v>1.018064263641973</c:v>
                  </c:pt>
                  <c:pt idx="2">
                    <c:v>0.416190398884811</c:v>
                  </c:pt>
                  <c:pt idx="3">
                    <c:v>0.737689630517041</c:v>
                  </c:pt>
                  <c:pt idx="4">
                    <c:v>0.827356988027351</c:v>
                  </c:pt>
                  <c:pt idx="5">
                    <c:v>0.944723654362761</c:v>
                  </c:pt>
                  <c:pt idx="6">
                    <c:v>0.66287839680175</c:v>
                  </c:pt>
                  <c:pt idx="7">
                    <c:v>1.678095362243401</c:v>
                  </c:pt>
                  <c:pt idx="8">
                    <c:v>0.572275188173923</c:v>
                  </c:pt>
                  <c:pt idx="9">
                    <c:v>0.927067883084414</c:v>
                  </c:pt>
                  <c:pt idx="10">
                    <c:v>1.383610992389831</c:v>
                  </c:pt>
                  <c:pt idx="11">
                    <c:v>0.323909044309131</c:v>
                  </c:pt>
                  <c:pt idx="12">
                    <c:v>0.0577936268496693</c:v>
                  </c:pt>
                  <c:pt idx="13">
                    <c:v>0.208377885001517</c:v>
                  </c:pt>
                  <c:pt idx="14">
                    <c:v>0.264242434738639</c:v>
                  </c:pt>
                  <c:pt idx="15">
                    <c:v>0.158672859414861</c:v>
                  </c:pt>
                  <c:pt idx="16">
                    <c:v>0.130390841307543</c:v>
                  </c:pt>
                  <c:pt idx="17">
                    <c:v>0.154609449414348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0.339586475130521</c:v>
                  </c:pt>
                  <c:pt idx="1">
                    <c:v>1.018064263641973</c:v>
                  </c:pt>
                  <c:pt idx="2">
                    <c:v>0.416190398884811</c:v>
                  </c:pt>
                  <c:pt idx="3">
                    <c:v>0.737689630517041</c:v>
                  </c:pt>
                  <c:pt idx="4">
                    <c:v>0.827356988027351</c:v>
                  </c:pt>
                  <c:pt idx="5">
                    <c:v>0.944723654362761</c:v>
                  </c:pt>
                  <c:pt idx="6">
                    <c:v>0.66287839680175</c:v>
                  </c:pt>
                  <c:pt idx="7">
                    <c:v>1.678095362243401</c:v>
                  </c:pt>
                  <c:pt idx="8">
                    <c:v>0.572275188173923</c:v>
                  </c:pt>
                  <c:pt idx="9">
                    <c:v>0.927067883084414</c:v>
                  </c:pt>
                  <c:pt idx="10">
                    <c:v>1.383610992389831</c:v>
                  </c:pt>
                  <c:pt idx="11">
                    <c:v>0.323909044309131</c:v>
                  </c:pt>
                  <c:pt idx="12">
                    <c:v>0.0577936268496693</c:v>
                  </c:pt>
                  <c:pt idx="13">
                    <c:v>0.208377885001517</c:v>
                  </c:pt>
                  <c:pt idx="14">
                    <c:v>0.264242434738639</c:v>
                  </c:pt>
                  <c:pt idx="15">
                    <c:v>0.158672859414861</c:v>
                  </c:pt>
                  <c:pt idx="16">
                    <c:v>0.130390841307543</c:v>
                  </c:pt>
                  <c:pt idx="17">
                    <c:v>0.154609449414348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50.11224563690346</c:v>
                </c:pt>
                <c:pt idx="1">
                  <c:v>49.46773843145773</c:v>
                </c:pt>
                <c:pt idx="2">
                  <c:v>47.5776667390832</c:v>
                </c:pt>
                <c:pt idx="3">
                  <c:v>49.9239626330654</c:v>
                </c:pt>
                <c:pt idx="4">
                  <c:v>48.56253168223621</c:v>
                </c:pt>
                <c:pt idx="5">
                  <c:v>47.92526613078427</c:v>
                </c:pt>
                <c:pt idx="6">
                  <c:v>46.44796871605474</c:v>
                </c:pt>
                <c:pt idx="7">
                  <c:v>43.32021028197434</c:v>
                </c:pt>
                <c:pt idx="8">
                  <c:v>40.98436270296384</c:v>
                </c:pt>
                <c:pt idx="9">
                  <c:v>37.76624046440556</c:v>
                </c:pt>
                <c:pt idx="10">
                  <c:v>34.33963842831625</c:v>
                </c:pt>
                <c:pt idx="11">
                  <c:v>33.04490094891775</c:v>
                </c:pt>
                <c:pt idx="12">
                  <c:v>31.28051880863542</c:v>
                </c:pt>
                <c:pt idx="13">
                  <c:v>29.57669166682427</c:v>
                </c:pt>
                <c:pt idx="14">
                  <c:v>27.86558321244128</c:v>
                </c:pt>
                <c:pt idx="15">
                  <c:v>22.86212125922748</c:v>
                </c:pt>
                <c:pt idx="16">
                  <c:v>15.90560272052138</c:v>
                </c:pt>
                <c:pt idx="17">
                  <c:v>2.604512515358814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0.0141948654673304</c:v>
                </c:pt>
                <c:pt idx="2">
                  <c:v>0.04599862733786</c:v>
                </c:pt>
                <c:pt idx="3">
                  <c:v>0.0836953899755944</c:v>
                </c:pt>
                <c:pt idx="4">
                  <c:v>0.126109458516576</c:v>
                </c:pt>
                <c:pt idx="5">
                  <c:v>0.173753679713174</c:v>
                </c:pt>
                <c:pt idx="6">
                  <c:v>0.206300185156099</c:v>
                </c:pt>
                <c:pt idx="7">
                  <c:v>0.246229915396047</c:v>
                </c:pt>
                <c:pt idx="8">
                  <c:v>0.317199505847671</c:v>
                </c:pt>
                <c:pt idx="9">
                  <c:v>0.400804263423062</c:v>
                </c:pt>
                <c:pt idx="10">
                  <c:v>0.49870020312802</c:v>
                </c:pt>
                <c:pt idx="11">
                  <c:v>0.609338047766045</c:v>
                </c:pt>
                <c:pt idx="12">
                  <c:v>0.733150432836362</c:v>
                </c:pt>
                <c:pt idx="13">
                  <c:v>0.871318105880292</c:v>
                </c:pt>
                <c:pt idx="14">
                  <c:v>1.027196044667021</c:v>
                </c:pt>
                <c:pt idx="15">
                  <c:v>1.205944927538421</c:v>
                </c:pt>
                <c:pt idx="16">
                  <c:v>1.412009847404794</c:v>
                </c:pt>
                <c:pt idx="17">
                  <c:v>1.637153045410062</c:v>
                </c:pt>
                <c:pt idx="18">
                  <c:v>1.907579285321622</c:v>
                </c:pt>
                <c:pt idx="19">
                  <c:v>2.245486241965494</c:v>
                </c:pt>
                <c:pt idx="20">
                  <c:v>2.640370978065195</c:v>
                </c:pt>
                <c:pt idx="21">
                  <c:v>3.109195963113764</c:v>
                </c:pt>
                <c:pt idx="22">
                  <c:v>3.652414990696888</c:v>
                </c:pt>
                <c:pt idx="23">
                  <c:v>4.257991320166007</c:v>
                </c:pt>
                <c:pt idx="24">
                  <c:v>4.915427066922</c:v>
                </c:pt>
                <c:pt idx="25">
                  <c:v>5.605916797403587</c:v>
                </c:pt>
                <c:pt idx="26">
                  <c:v>6.324716363359029</c:v>
                </c:pt>
                <c:pt idx="27">
                  <c:v>7.060601242025905</c:v>
                </c:pt>
                <c:pt idx="28">
                  <c:v>7.800941950542482</c:v>
                </c:pt>
                <c:pt idx="29">
                  <c:v>8.544819533213321</c:v>
                </c:pt>
                <c:pt idx="30">
                  <c:v>9.275955210951094</c:v>
                </c:pt>
                <c:pt idx="31">
                  <c:v>9.988632510903974</c:v>
                </c:pt>
                <c:pt idx="32">
                  <c:v>10.68330017398028</c:v>
                </c:pt>
                <c:pt idx="33">
                  <c:v>11.34893673188914</c:v>
                </c:pt>
                <c:pt idx="34">
                  <c:v>11.98138035744491</c:v>
                </c:pt>
                <c:pt idx="35">
                  <c:v>12.57445509994805</c:v>
                </c:pt>
                <c:pt idx="36">
                  <c:v>13.11866761021772</c:v>
                </c:pt>
                <c:pt idx="37">
                  <c:v>13.61847877078098</c:v>
                </c:pt>
                <c:pt idx="38">
                  <c:v>14.07919894554659</c:v>
                </c:pt>
                <c:pt idx="39">
                  <c:v>14.50239888558985</c:v>
                </c:pt>
                <c:pt idx="40">
                  <c:v>14.89220283880848</c:v>
                </c:pt>
                <c:pt idx="41">
                  <c:v>15.25632529615915</c:v>
                </c:pt>
                <c:pt idx="42">
                  <c:v>15.60617804525904</c:v>
                </c:pt>
                <c:pt idx="43">
                  <c:v>15.94453374281124</c:v>
                </c:pt>
                <c:pt idx="44">
                  <c:v>16.27369483073169</c:v>
                </c:pt>
                <c:pt idx="45">
                  <c:v>16.5980104010608</c:v>
                </c:pt>
                <c:pt idx="46">
                  <c:v>16.91416273952494</c:v>
                </c:pt>
                <c:pt idx="47">
                  <c:v>17.22585419546202</c:v>
                </c:pt>
                <c:pt idx="48">
                  <c:v>17.53826155262299</c:v>
                </c:pt>
                <c:pt idx="49">
                  <c:v>17.85427494245965</c:v>
                </c:pt>
                <c:pt idx="50">
                  <c:v>18.16900084694568</c:v>
                </c:pt>
                <c:pt idx="51">
                  <c:v>18.47377392440315</c:v>
                </c:pt>
                <c:pt idx="52">
                  <c:v>18.77359979913735</c:v>
                </c:pt>
                <c:pt idx="53">
                  <c:v>19.06821667930239</c:v>
                </c:pt>
                <c:pt idx="54">
                  <c:v>19.35646529123574</c:v>
                </c:pt>
                <c:pt idx="55">
                  <c:v>19.64114513398898</c:v>
                </c:pt>
                <c:pt idx="56">
                  <c:v>19.92167388649599</c:v>
                </c:pt>
                <c:pt idx="57">
                  <c:v>20.19972903764136</c:v>
                </c:pt>
                <c:pt idx="58">
                  <c:v>20.47676386375169</c:v>
                </c:pt>
                <c:pt idx="59">
                  <c:v>20.75359026692079</c:v>
                </c:pt>
                <c:pt idx="60">
                  <c:v>21.03129804649744</c:v>
                </c:pt>
                <c:pt idx="61">
                  <c:v>21.31084373746496</c:v>
                </c:pt>
                <c:pt idx="62">
                  <c:v>21.58979637042697</c:v>
                </c:pt>
                <c:pt idx="63">
                  <c:v>21.86052134988763</c:v>
                </c:pt>
                <c:pt idx="64">
                  <c:v>22.12320594070172</c:v>
                </c:pt>
                <c:pt idx="65">
                  <c:v>22.38103964545476</c:v>
                </c:pt>
                <c:pt idx="66">
                  <c:v>22.63188549741445</c:v>
                </c:pt>
                <c:pt idx="67">
                  <c:v>22.87587707673859</c:v>
                </c:pt>
                <c:pt idx="68">
                  <c:v>23.11491071640005</c:v>
                </c:pt>
                <c:pt idx="69">
                  <c:v>23.35050379856949</c:v>
                </c:pt>
                <c:pt idx="70">
                  <c:v>23.5843338121315</c:v>
                </c:pt>
                <c:pt idx="71">
                  <c:v>23.81335557159771</c:v>
                </c:pt>
                <c:pt idx="72">
                  <c:v>24.03537874133119</c:v>
                </c:pt>
                <c:pt idx="73">
                  <c:v>24.25110848561641</c:v>
                </c:pt>
                <c:pt idx="74">
                  <c:v>24.46426325920041</c:v>
                </c:pt>
                <c:pt idx="75">
                  <c:v>24.67494443142277</c:v>
                </c:pt>
                <c:pt idx="76">
                  <c:v>24.88130335395321</c:v>
                </c:pt>
                <c:pt idx="77">
                  <c:v>25.08291812823192</c:v>
                </c:pt>
                <c:pt idx="78">
                  <c:v>25.27777463074497</c:v>
                </c:pt>
                <c:pt idx="79">
                  <c:v>25.46838372634955</c:v>
                </c:pt>
                <c:pt idx="80">
                  <c:v>25.6561936386949</c:v>
                </c:pt>
                <c:pt idx="81">
                  <c:v>25.84072341605451</c:v>
                </c:pt>
                <c:pt idx="82">
                  <c:v>26.01975556465058</c:v>
                </c:pt>
                <c:pt idx="83">
                  <c:v>26.19434262033636</c:v>
                </c:pt>
                <c:pt idx="84">
                  <c:v>26.36470911146215</c:v>
                </c:pt>
                <c:pt idx="85">
                  <c:v>26.52911344329934</c:v>
                </c:pt>
                <c:pt idx="86">
                  <c:v>26.68782814463319</c:v>
                </c:pt>
                <c:pt idx="87">
                  <c:v>26.8410559541429</c:v>
                </c:pt>
                <c:pt idx="88">
                  <c:v>26.99437976452252</c:v>
                </c:pt>
                <c:pt idx="89">
                  <c:v>27.14588208471269</c:v>
                </c:pt>
                <c:pt idx="90">
                  <c:v>27.29017202375918</c:v>
                </c:pt>
                <c:pt idx="91">
                  <c:v>27.42717473887854</c:v>
                </c:pt>
                <c:pt idx="92">
                  <c:v>27.55626527703943</c:v>
                </c:pt>
                <c:pt idx="93">
                  <c:v>27.679500393721</c:v>
                </c:pt>
                <c:pt idx="94">
                  <c:v>27.79759093746979</c:v>
                </c:pt>
                <c:pt idx="95">
                  <c:v>27.90953237286753</c:v>
                </c:pt>
                <c:pt idx="96">
                  <c:v>28.01582144125748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0.356163689032445</c:v>
                  </c:pt>
                  <c:pt idx="1">
                    <c:v>1.142529552069229</c:v>
                  </c:pt>
                  <c:pt idx="2">
                    <c:v>0.49603845167698</c:v>
                  </c:pt>
                  <c:pt idx="3">
                    <c:v>0.612113873703506</c:v>
                  </c:pt>
                  <c:pt idx="4">
                    <c:v>0.766113149158526</c:v>
                  </c:pt>
                  <c:pt idx="5">
                    <c:v>0.900439039798622</c:v>
                  </c:pt>
                  <c:pt idx="6">
                    <c:v>0.583352468885095</c:v>
                  </c:pt>
                  <c:pt idx="7">
                    <c:v>1.851072909968067</c:v>
                  </c:pt>
                  <c:pt idx="8">
                    <c:v>0.395343632964272</c:v>
                  </c:pt>
                  <c:pt idx="9">
                    <c:v>0.494831802172833</c:v>
                  </c:pt>
                  <c:pt idx="10">
                    <c:v>1.080091733339283</c:v>
                  </c:pt>
                  <c:pt idx="11">
                    <c:v>0.292741273035993</c:v>
                  </c:pt>
                  <c:pt idx="12">
                    <c:v>0.166528989945907</c:v>
                  </c:pt>
                  <c:pt idx="13">
                    <c:v>0.389246929264975</c:v>
                  </c:pt>
                  <c:pt idx="14">
                    <c:v>0.247858426639366</c:v>
                  </c:pt>
                  <c:pt idx="15">
                    <c:v>0.245461282475052</c:v>
                  </c:pt>
                  <c:pt idx="16">
                    <c:v>0.257430173678317</c:v>
                  </c:pt>
                  <c:pt idx="17">
                    <c:v>0.29433064713828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0.356163689032445</c:v>
                  </c:pt>
                  <c:pt idx="1">
                    <c:v>1.142529552069229</c:v>
                  </c:pt>
                  <c:pt idx="2">
                    <c:v>0.49603845167698</c:v>
                  </c:pt>
                  <c:pt idx="3">
                    <c:v>0.612113873703506</c:v>
                  </c:pt>
                  <c:pt idx="4">
                    <c:v>0.766113149158526</c:v>
                  </c:pt>
                  <c:pt idx="5">
                    <c:v>0.900439039798622</c:v>
                  </c:pt>
                  <c:pt idx="6">
                    <c:v>0.583352468885095</c:v>
                  </c:pt>
                  <c:pt idx="7">
                    <c:v>1.851072909968067</c:v>
                  </c:pt>
                  <c:pt idx="8">
                    <c:v>0.395343632964272</c:v>
                  </c:pt>
                  <c:pt idx="9">
                    <c:v>0.494831802172833</c:v>
                  </c:pt>
                  <c:pt idx="10">
                    <c:v>1.080091733339283</c:v>
                  </c:pt>
                  <c:pt idx="11">
                    <c:v>0.292741273035993</c:v>
                  </c:pt>
                  <c:pt idx="12">
                    <c:v>0.166528989945907</c:v>
                  </c:pt>
                  <c:pt idx="13">
                    <c:v>0.389246929264975</c:v>
                  </c:pt>
                  <c:pt idx="14">
                    <c:v>0.247858426639366</c:v>
                  </c:pt>
                  <c:pt idx="15">
                    <c:v>0.245461282475052</c:v>
                  </c:pt>
                  <c:pt idx="16">
                    <c:v>0.257430173678317</c:v>
                  </c:pt>
                  <c:pt idx="17">
                    <c:v>0.29433064713828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49.44123741859087</c:v>
                </c:pt>
                <c:pt idx="1">
                  <c:v>49.34317643576081</c:v>
                </c:pt>
                <c:pt idx="2">
                  <c:v>47.60583185316755</c:v>
                </c:pt>
                <c:pt idx="3">
                  <c:v>50.55136175251629</c:v>
                </c:pt>
                <c:pt idx="4">
                  <c:v>50.09806098283007</c:v>
                </c:pt>
                <c:pt idx="5">
                  <c:v>50.19797217288336</c:v>
                </c:pt>
                <c:pt idx="6">
                  <c:v>49.42088513913558</c:v>
                </c:pt>
                <c:pt idx="7">
                  <c:v>47.2673939481222</c:v>
                </c:pt>
                <c:pt idx="8">
                  <c:v>46.03293037901515</c:v>
                </c:pt>
                <c:pt idx="9">
                  <c:v>43.84515289333831</c:v>
                </c:pt>
                <c:pt idx="10">
                  <c:v>40.5544831407109</c:v>
                </c:pt>
                <c:pt idx="11">
                  <c:v>39.15509143486564</c:v>
                </c:pt>
                <c:pt idx="12">
                  <c:v>38.04394883212185</c:v>
                </c:pt>
                <c:pt idx="13">
                  <c:v>36.65799568395899</c:v>
                </c:pt>
                <c:pt idx="14">
                  <c:v>36.20221243389201</c:v>
                </c:pt>
                <c:pt idx="15">
                  <c:v>35.26996413419231</c:v>
                </c:pt>
                <c:pt idx="16">
                  <c:v>33.4506186389094</c:v>
                </c:pt>
                <c:pt idx="17">
                  <c:v>34.10187715351184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Metabolites!$J$24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Metabolites!$M$27:$M$44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</c:numCache>
              </c:numRef>
            </c:plus>
            <c:minus>
              <c:numRef>
                <c:f>Metabolites!$M$27:$M$44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</c:numCache>
              </c:numRef>
            </c:minus>
          </c:errBars>
          <c:xVal>
            <c:numRef>
              <c:f>Metabolites!$E$27:$E$44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Metabolites!$L$27:$L$44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0.00758438451454668</c:v>
                </c:pt>
                <c:pt idx="1">
                  <c:v>0.0539066989959888</c:v>
                </c:pt>
                <c:pt idx="2">
                  <c:v>0.143914146167601</c:v>
                </c:pt>
                <c:pt idx="3">
                  <c:v>0.274339854321719</c:v>
                </c:pt>
                <c:pt idx="4">
                  <c:v>0.41984085697371</c:v>
                </c:pt>
                <c:pt idx="5">
                  <c:v>0.560254760897932</c:v>
                </c:pt>
                <c:pt idx="6">
                  <c:v>0.634603960920887</c:v>
                </c:pt>
                <c:pt idx="7">
                  <c:v>0.717633976446211</c:v>
                </c:pt>
                <c:pt idx="8">
                  <c:v>0.896505702536004</c:v>
                </c:pt>
                <c:pt idx="9">
                  <c:v>1.093673173358061</c:v>
                </c:pt>
                <c:pt idx="10">
                  <c:v>1.310209451267398</c:v>
                </c:pt>
                <c:pt idx="11">
                  <c:v>1.540957331637831</c:v>
                </c:pt>
                <c:pt idx="12">
                  <c:v>1.788974000066451</c:v>
                </c:pt>
                <c:pt idx="13">
                  <c:v>2.067117888858013</c:v>
                </c:pt>
                <c:pt idx="14">
                  <c:v>2.360920340590566</c:v>
                </c:pt>
                <c:pt idx="15">
                  <c:v>2.674068230777595</c:v>
                </c:pt>
                <c:pt idx="16">
                  <c:v>3.033235274804272</c:v>
                </c:pt>
                <c:pt idx="17">
                  <c:v>3.419238983061086</c:v>
                </c:pt>
                <c:pt idx="18">
                  <c:v>3.822161265676348</c:v>
                </c:pt>
                <c:pt idx="19">
                  <c:v>4.294251859263242</c:v>
                </c:pt>
                <c:pt idx="20">
                  <c:v>4.845802120233665</c:v>
                </c:pt>
                <c:pt idx="21">
                  <c:v>5.458796727449014</c:v>
                </c:pt>
                <c:pt idx="22">
                  <c:v>6.107939135897932</c:v>
                </c:pt>
                <c:pt idx="23">
                  <c:v>6.780394281908467</c:v>
                </c:pt>
                <c:pt idx="24">
                  <c:v>7.441064689553934</c:v>
                </c:pt>
                <c:pt idx="25">
                  <c:v>8.08385967206529</c:v>
                </c:pt>
                <c:pt idx="26">
                  <c:v>8.750177394041177</c:v>
                </c:pt>
                <c:pt idx="27">
                  <c:v>9.414931628165476</c:v>
                </c:pt>
                <c:pt idx="28">
                  <c:v>10.10234522550986</c:v>
                </c:pt>
                <c:pt idx="29">
                  <c:v>10.80679424037672</c:v>
                </c:pt>
                <c:pt idx="30">
                  <c:v>11.49406794171661</c:v>
                </c:pt>
                <c:pt idx="31">
                  <c:v>12.26724189511647</c:v>
                </c:pt>
                <c:pt idx="32">
                  <c:v>13.01248243750604</c:v>
                </c:pt>
                <c:pt idx="33">
                  <c:v>13.6240067156087</c:v>
                </c:pt>
                <c:pt idx="34">
                  <c:v>14.21371163810289</c:v>
                </c:pt>
                <c:pt idx="35">
                  <c:v>14.7771167433368</c:v>
                </c:pt>
                <c:pt idx="36">
                  <c:v>15.3107448419075</c:v>
                </c:pt>
                <c:pt idx="37">
                  <c:v>15.8443495718454</c:v>
                </c:pt>
                <c:pt idx="38">
                  <c:v>16.36168910176639</c:v>
                </c:pt>
                <c:pt idx="39">
                  <c:v>16.83933385094481</c:v>
                </c:pt>
                <c:pt idx="40">
                  <c:v>17.30650061044124</c:v>
                </c:pt>
                <c:pt idx="41">
                  <c:v>17.77250051725909</c:v>
                </c:pt>
                <c:pt idx="42">
                  <c:v>18.22235175143172</c:v>
                </c:pt>
                <c:pt idx="43">
                  <c:v>18.67652018261889</c:v>
                </c:pt>
                <c:pt idx="44">
                  <c:v>19.1257647797156</c:v>
                </c:pt>
                <c:pt idx="45">
                  <c:v>19.56551160653877</c:v>
                </c:pt>
                <c:pt idx="46">
                  <c:v>20.01277271197807</c:v>
                </c:pt>
                <c:pt idx="47">
                  <c:v>20.45891370200441</c:v>
                </c:pt>
                <c:pt idx="48">
                  <c:v>20.90083065375508</c:v>
                </c:pt>
                <c:pt idx="49">
                  <c:v>21.33072949660498</c:v>
                </c:pt>
                <c:pt idx="50">
                  <c:v>21.75596124453292</c:v>
                </c:pt>
                <c:pt idx="51">
                  <c:v>22.19129739981032</c:v>
                </c:pt>
                <c:pt idx="52">
                  <c:v>22.62023939188455</c:v>
                </c:pt>
                <c:pt idx="53">
                  <c:v>23.04859811551567</c:v>
                </c:pt>
                <c:pt idx="54">
                  <c:v>23.46694559053621</c:v>
                </c:pt>
                <c:pt idx="55">
                  <c:v>23.87430159753771</c:v>
                </c:pt>
                <c:pt idx="56">
                  <c:v>24.29633626386406</c:v>
                </c:pt>
                <c:pt idx="57">
                  <c:v>24.72047126501185</c:v>
                </c:pt>
                <c:pt idx="58">
                  <c:v>25.13814199705805</c:v>
                </c:pt>
                <c:pt idx="59">
                  <c:v>25.53541696534289</c:v>
                </c:pt>
                <c:pt idx="60">
                  <c:v>25.91192258753384</c:v>
                </c:pt>
                <c:pt idx="61">
                  <c:v>26.34165816574643</c:v>
                </c:pt>
                <c:pt idx="62">
                  <c:v>26.76490642201697</c:v>
                </c:pt>
                <c:pt idx="63">
                  <c:v>27.11910289468757</c:v>
                </c:pt>
                <c:pt idx="64">
                  <c:v>27.48473420781583</c:v>
                </c:pt>
                <c:pt idx="65">
                  <c:v>27.87115791987846</c:v>
                </c:pt>
                <c:pt idx="66">
                  <c:v>28.24010284198</c:v>
                </c:pt>
                <c:pt idx="67">
                  <c:v>28.5996898898125</c:v>
                </c:pt>
                <c:pt idx="68">
                  <c:v>28.95904356710928</c:v>
                </c:pt>
                <c:pt idx="69">
                  <c:v>29.30712598437803</c:v>
                </c:pt>
                <c:pt idx="70">
                  <c:v>29.63982963071478</c:v>
                </c:pt>
                <c:pt idx="71">
                  <c:v>29.94518313448435</c:v>
                </c:pt>
                <c:pt idx="72">
                  <c:v>30.26274169621715</c:v>
                </c:pt>
                <c:pt idx="73">
                  <c:v>30.59304184709067</c:v>
                </c:pt>
                <c:pt idx="74">
                  <c:v>30.91750773457134</c:v>
                </c:pt>
                <c:pt idx="75">
                  <c:v>31.24020013229752</c:v>
                </c:pt>
                <c:pt idx="76">
                  <c:v>31.59845706281414</c:v>
                </c:pt>
                <c:pt idx="77">
                  <c:v>31.95370354499929</c:v>
                </c:pt>
                <c:pt idx="78">
                  <c:v>32.25674702783686</c:v>
                </c:pt>
                <c:pt idx="79">
                  <c:v>32.55278971039534</c:v>
                </c:pt>
                <c:pt idx="80">
                  <c:v>32.85104925514693</c:v>
                </c:pt>
                <c:pt idx="81">
                  <c:v>33.14051114123213</c:v>
                </c:pt>
                <c:pt idx="82">
                  <c:v>33.4152479465192</c:v>
                </c:pt>
                <c:pt idx="83">
                  <c:v>33.68046361289993</c:v>
                </c:pt>
                <c:pt idx="84">
                  <c:v>33.93333432531293</c:v>
                </c:pt>
                <c:pt idx="85">
                  <c:v>34.18835210981298</c:v>
                </c:pt>
                <c:pt idx="86">
                  <c:v>34.44154966729293</c:v>
                </c:pt>
                <c:pt idx="87">
                  <c:v>34.68067551831627</c:v>
                </c:pt>
                <c:pt idx="88">
                  <c:v>34.89527504183381</c:v>
                </c:pt>
                <c:pt idx="89">
                  <c:v>35.10397051185242</c:v>
                </c:pt>
                <c:pt idx="90">
                  <c:v>35.31665664961097</c:v>
                </c:pt>
                <c:pt idx="91">
                  <c:v>35.51634445906027</c:v>
                </c:pt>
                <c:pt idx="92">
                  <c:v>35.70882115053524</c:v>
                </c:pt>
                <c:pt idx="93">
                  <c:v>35.8836090501462</c:v>
                </c:pt>
                <c:pt idx="94">
                  <c:v>36.05146625537648</c:v>
                </c:pt>
                <c:pt idx="95">
                  <c:v>36.2182033451938</c:v>
                </c:pt>
                <c:pt idx="96">
                  <c:v>36.37709931132805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65432"/>
        <c:axId val="-209028108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12223.0</c:v>
                </c:pt>
                <c:pt idx="1">
                  <c:v>17192.0</c:v>
                </c:pt>
                <c:pt idx="2">
                  <c:v>25926.0</c:v>
                </c:pt>
                <c:pt idx="3">
                  <c:v>5070.0</c:v>
                </c:pt>
                <c:pt idx="4">
                  <c:v>7689.0</c:v>
                </c:pt>
                <c:pt idx="5">
                  <c:v>13934.0</c:v>
                </c:pt>
                <c:pt idx="6">
                  <c:v>27144.0</c:v>
                </c:pt>
                <c:pt idx="7">
                  <c:v>5323.0</c:v>
                </c:pt>
                <c:pt idx="8">
                  <c:v>8305.0</c:v>
                </c:pt>
                <c:pt idx="9">
                  <c:v>11693.0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cytometer'!$X$4:$X$21</c:f>
                <c:numCache>
                  <c:formatCode>General</c:formatCode>
                  <c:ptCount val="18"/>
                  <c:pt idx="0">
                    <c:v>0.0216018612672303</c:v>
                  </c:pt>
                  <c:pt idx="1">
                    <c:v>0.0205831821782229</c:v>
                  </c:pt>
                  <c:pt idx="2">
                    <c:v>0.0117167227793344</c:v>
                  </c:pt>
                  <c:pt idx="3">
                    <c:v>0.0112064952949506</c:v>
                  </c:pt>
                  <c:pt idx="4">
                    <c:v>0.0233780552864033</c:v>
                  </c:pt>
                  <c:pt idx="5">
                    <c:v>0.0145988829222151</c:v>
                  </c:pt>
                  <c:pt idx="6">
                    <c:v>0.00150255862266446</c:v>
                  </c:pt>
                  <c:pt idx="7">
                    <c:v>0.00908944191463163</c:v>
                  </c:pt>
                  <c:pt idx="8">
                    <c:v>0.00750007642642586</c:v>
                  </c:pt>
                  <c:pt idx="9">
                    <c:v>0.0176434561158082</c:v>
                  </c:pt>
                  <c:pt idx="10">
                    <c:v>0.0204437748778077</c:v>
                  </c:pt>
                  <c:pt idx="11">
                    <c:v>0.00754830707247466</c:v>
                  </c:pt>
                  <c:pt idx="12">
                    <c:v>0.00720528091016149</c:v>
                  </c:pt>
                  <c:pt idx="13">
                    <c:v>0.00918614819103051</c:v>
                  </c:pt>
                  <c:pt idx="14">
                    <c:v>0.0202238314307395</c:v>
                  </c:pt>
                  <c:pt idx="15">
                    <c:v>0.00898025482712474</c:v>
                  </c:pt>
                  <c:pt idx="16">
                    <c:v>0.0246019892613652</c:v>
                  </c:pt>
                  <c:pt idx="17">
                    <c:v>0.026287470591226</c:v>
                  </c:pt>
                </c:numCache>
              </c:numRef>
            </c:plus>
            <c:minus>
              <c:numRef>
                <c:f>'Flow cytometer'!$X$4:$X$21</c:f>
                <c:numCache>
                  <c:formatCode>General</c:formatCode>
                  <c:ptCount val="18"/>
                  <c:pt idx="0">
                    <c:v>0.0216018612672303</c:v>
                  </c:pt>
                  <c:pt idx="1">
                    <c:v>0.0205831821782229</c:v>
                  </c:pt>
                  <c:pt idx="2">
                    <c:v>0.0117167227793344</c:v>
                  </c:pt>
                  <c:pt idx="3">
                    <c:v>0.0112064952949506</c:v>
                  </c:pt>
                  <c:pt idx="4">
                    <c:v>0.0233780552864033</c:v>
                  </c:pt>
                  <c:pt idx="5">
                    <c:v>0.0145988829222151</c:v>
                  </c:pt>
                  <c:pt idx="6">
                    <c:v>0.00150255862266446</c:v>
                  </c:pt>
                  <c:pt idx="7">
                    <c:v>0.00908944191463163</c:v>
                  </c:pt>
                  <c:pt idx="8">
                    <c:v>0.00750007642642586</c:v>
                  </c:pt>
                  <c:pt idx="9">
                    <c:v>0.0176434561158082</c:v>
                  </c:pt>
                  <c:pt idx="10">
                    <c:v>0.0204437748778077</c:v>
                  </c:pt>
                  <c:pt idx="11">
                    <c:v>0.00754830707247466</c:v>
                  </c:pt>
                  <c:pt idx="12">
                    <c:v>0.00720528091016149</c:v>
                  </c:pt>
                  <c:pt idx="13">
                    <c:v>0.00918614819103051</c:v>
                  </c:pt>
                  <c:pt idx="14">
                    <c:v>0.0202238314307395</c:v>
                  </c:pt>
                  <c:pt idx="15">
                    <c:v>0.00898025482712474</c:v>
                  </c:pt>
                  <c:pt idx="16">
                    <c:v>0.0246019892613652</c:v>
                  </c:pt>
                  <c:pt idx="17">
                    <c:v>0.026287470591226</c:v>
                  </c:pt>
                </c:numCache>
              </c:numRef>
            </c:minus>
          </c:errBars>
          <c:xVal>
            <c:numRef>
              <c:f>'Flow cytometer'!$D$4:$D$21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'Flow cytometer'!$S$4:$S$21</c:f>
              <c:numCache>
                <c:formatCode>0.00</c:formatCode>
                <c:ptCount val="18"/>
                <c:pt idx="0">
                  <c:v>7.23609511270746</c:v>
                </c:pt>
                <c:pt idx="1">
                  <c:v>7.38850971531488</c:v>
                </c:pt>
                <c:pt idx="2">
                  <c:v>7.567902477613633</c:v>
                </c:pt>
                <c:pt idx="3">
                  <c:v>7.876235990817612</c:v>
                </c:pt>
                <c:pt idx="4">
                  <c:v>8.07652081549562</c:v>
                </c:pt>
                <c:pt idx="5">
                  <c:v>8.323800553393828</c:v>
                </c:pt>
                <c:pt idx="6">
                  <c:v>8.59856040570277</c:v>
                </c:pt>
                <c:pt idx="7">
                  <c:v>8.890065108709583</c:v>
                </c:pt>
                <c:pt idx="8">
                  <c:v>9.085732575236828</c:v>
                </c:pt>
                <c:pt idx="9">
                  <c:v>9.22888644421583</c:v>
                </c:pt>
                <c:pt idx="10">
                  <c:v>9.269787982526805</c:v>
                </c:pt>
                <c:pt idx="11">
                  <c:v>9.28699686518409</c:v>
                </c:pt>
                <c:pt idx="12">
                  <c:v>9.30338638930822</c:v>
                </c:pt>
                <c:pt idx="13">
                  <c:v>9.319455182142638</c:v>
                </c:pt>
                <c:pt idx="14">
                  <c:v>9.280329331410719</c:v>
                </c:pt>
                <c:pt idx="15">
                  <c:v>9.31280809758785</c:v>
                </c:pt>
                <c:pt idx="16">
                  <c:v>9.34938248532395</c:v>
                </c:pt>
                <c:pt idx="17">
                  <c:v>9.373649456926925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 w="19050"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count'!$S$4:$S$21</c:f>
                <c:numCache>
                  <c:formatCode>General</c:formatCode>
                  <c:ptCount val="18"/>
                  <c:pt idx="0">
                    <c:v>0.0698226669437811</c:v>
                  </c:pt>
                  <c:pt idx="1">
                    <c:v>0.0768211638717836</c:v>
                  </c:pt>
                  <c:pt idx="2">
                    <c:v>0.102236305312429</c:v>
                  </c:pt>
                  <c:pt idx="3">
                    <c:v>0.0945106934840012</c:v>
                  </c:pt>
                  <c:pt idx="4">
                    <c:v>0.0470982079523915</c:v>
                  </c:pt>
                  <c:pt idx="5">
                    <c:v>0.0400703989913775</c:v>
                  </c:pt>
                  <c:pt idx="6">
                    <c:v>0.127676264218072</c:v>
                  </c:pt>
                  <c:pt idx="7">
                    <c:v>0.0407133188001465</c:v>
                  </c:pt>
                  <c:pt idx="8">
                    <c:v>0.0123077306112728</c:v>
                  </c:pt>
                  <c:pt idx="9">
                    <c:v>0.0569257463261937</c:v>
                  </c:pt>
                  <c:pt idx="10">
                    <c:v>0.0654154937876938</c:v>
                  </c:pt>
                  <c:pt idx="11">
                    <c:v>0.0134155311877734</c:v>
                  </c:pt>
                  <c:pt idx="12">
                    <c:v>0.025622184804424</c:v>
                  </c:pt>
                  <c:pt idx="13">
                    <c:v>0.0817213516267936</c:v>
                  </c:pt>
                  <c:pt idx="14">
                    <c:v>0.0361535959069284</c:v>
                  </c:pt>
                  <c:pt idx="15">
                    <c:v>0.0368436193952581</c:v>
                  </c:pt>
                  <c:pt idx="16">
                    <c:v>0.0534831595440474</c:v>
                  </c:pt>
                  <c:pt idx="17">
                    <c:v>0.040449407653622</c:v>
                  </c:pt>
                </c:numCache>
              </c:numRef>
            </c:plus>
            <c:minus>
              <c:numRef>
                <c:f>'Determination cell count'!$S$4:$S$21</c:f>
                <c:numCache>
                  <c:formatCode>General</c:formatCode>
                  <c:ptCount val="18"/>
                  <c:pt idx="0">
                    <c:v>0.0698226669437811</c:v>
                  </c:pt>
                  <c:pt idx="1">
                    <c:v>0.0768211638717836</c:v>
                  </c:pt>
                  <c:pt idx="2">
                    <c:v>0.102236305312429</c:v>
                  </c:pt>
                  <c:pt idx="3">
                    <c:v>0.0945106934840012</c:v>
                  </c:pt>
                  <c:pt idx="4">
                    <c:v>0.0470982079523915</c:v>
                  </c:pt>
                  <c:pt idx="5">
                    <c:v>0.0400703989913775</c:v>
                  </c:pt>
                  <c:pt idx="6">
                    <c:v>0.127676264218072</c:v>
                  </c:pt>
                  <c:pt idx="7">
                    <c:v>0.0407133188001465</c:v>
                  </c:pt>
                  <c:pt idx="8">
                    <c:v>0.0123077306112728</c:v>
                  </c:pt>
                  <c:pt idx="9">
                    <c:v>0.0569257463261937</c:v>
                  </c:pt>
                  <c:pt idx="10">
                    <c:v>0.0654154937876938</c:v>
                  </c:pt>
                  <c:pt idx="11">
                    <c:v>0.0134155311877734</c:v>
                  </c:pt>
                  <c:pt idx="12">
                    <c:v>0.025622184804424</c:v>
                  </c:pt>
                  <c:pt idx="13">
                    <c:v>0.0817213516267936</c:v>
                  </c:pt>
                  <c:pt idx="14">
                    <c:v>0.0361535959069284</c:v>
                  </c:pt>
                  <c:pt idx="15">
                    <c:v>0.0368436193952581</c:v>
                  </c:pt>
                  <c:pt idx="16">
                    <c:v>0.0534831595440474</c:v>
                  </c:pt>
                  <c:pt idx="17">
                    <c:v>0.040449407653622</c:v>
                  </c:pt>
                </c:numCache>
              </c:numRef>
            </c:minus>
          </c:errBars>
          <c:xVal>
            <c:numRef>
              <c:f>'Determination cell count'!$D$4:$D$21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'Determination cell count'!$R$4:$R$21</c:f>
              <c:numCache>
                <c:formatCode>0.00</c:formatCode>
                <c:ptCount val="18"/>
                <c:pt idx="0">
                  <c:v>7.38362619243249</c:v>
                </c:pt>
                <c:pt idx="1">
                  <c:v>7.753789514635492</c:v>
                </c:pt>
                <c:pt idx="2">
                  <c:v>7.985378302803818</c:v>
                </c:pt>
                <c:pt idx="3">
                  <c:v>8.146066338590975</c:v>
                </c:pt>
                <c:pt idx="4">
                  <c:v>8.28719672526944</c:v>
                </c:pt>
                <c:pt idx="5">
                  <c:v>8.4978464505281</c:v>
                </c:pt>
                <c:pt idx="6">
                  <c:v>8.59415626566183</c:v>
                </c:pt>
                <c:pt idx="7">
                  <c:v>8.876312106885705</c:v>
                </c:pt>
                <c:pt idx="8">
                  <c:v>8.9288352368008</c:v>
                </c:pt>
                <c:pt idx="9">
                  <c:v>9.00254400190058</c:v>
                </c:pt>
                <c:pt idx="10">
                  <c:v>9.109571675895228</c:v>
                </c:pt>
                <c:pt idx="11">
                  <c:v>9.064326271265004</c:v>
                </c:pt>
                <c:pt idx="12">
                  <c:v>9.09854308698874</c:v>
                </c:pt>
                <c:pt idx="13">
                  <c:v>9.08481454576649</c:v>
                </c:pt>
                <c:pt idx="14">
                  <c:v>9.08833540693935</c:v>
                </c:pt>
                <c:pt idx="15">
                  <c:v>9.159046520820465</c:v>
                </c:pt>
                <c:pt idx="16">
                  <c:v>9.385757972690178</c:v>
                </c:pt>
                <c:pt idx="17">
                  <c:v>9.624306440806334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58472"/>
        <c:axId val="-2108477672"/>
      </c:scatterChart>
      <c:valAx>
        <c:axId val="-208926543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0281080"/>
        <c:crosses val="autoZero"/>
        <c:crossBetween val="midCat"/>
        <c:majorUnit val="6.0"/>
      </c:valAx>
      <c:valAx>
        <c:axId val="-20902810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89265432"/>
        <c:crosses val="autoZero"/>
        <c:crossBetween val="midCat"/>
      </c:valAx>
      <c:valAx>
        <c:axId val="-2108477672"/>
        <c:scaling>
          <c:orientation val="minMax"/>
          <c:max val="11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89258472"/>
        <c:crosses val="max"/>
        <c:crossBetween val="midCat"/>
        <c:majorUnit val="1.0"/>
        <c:minorUnit val="0.2"/>
      </c:valAx>
      <c:valAx>
        <c:axId val="-208925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084776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8</xdr:row>
      <xdr:rowOff>152400</xdr:rowOff>
    </xdr:from>
    <xdr:to>
      <xdr:col>17</xdr:col>
      <xdr:colOff>403860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0</xdr:rowOff>
    </xdr:from>
    <xdr:to>
      <xdr:col>18</xdr:col>
      <xdr:colOff>381000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9" workbookViewId="0">
      <selection activeCell="C6" sqref="C6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35" t="s">
        <v>0</v>
      </c>
      <c r="B1" s="136"/>
      <c r="C1" s="34">
        <v>42333</v>
      </c>
    </row>
    <row r="2" spans="1:3" ht="16">
      <c r="A2" s="135" t="s">
        <v>1</v>
      </c>
      <c r="B2" s="137"/>
      <c r="C2" s="32" t="s">
        <v>181</v>
      </c>
    </row>
    <row r="3" spans="1:3">
      <c r="A3" s="11"/>
      <c r="B3" s="11"/>
      <c r="C3" s="10"/>
    </row>
    <row r="4" spans="1:3">
      <c r="A4" s="138" t="s">
        <v>49</v>
      </c>
      <c r="B4" s="138"/>
      <c r="C4" s="7" t="s">
        <v>106</v>
      </c>
    </row>
    <row r="6" spans="1:3">
      <c r="A6" s="41" t="s">
        <v>82</v>
      </c>
      <c r="B6" s="41" t="s">
        <v>83</v>
      </c>
      <c r="C6" s="41" t="s">
        <v>69</v>
      </c>
    </row>
    <row r="7" spans="1:3">
      <c r="A7" s="32" t="s">
        <v>84</v>
      </c>
      <c r="B7" s="37" t="s">
        <v>85</v>
      </c>
      <c r="C7" s="37" t="s">
        <v>100</v>
      </c>
    </row>
    <row r="8" spans="1:3">
      <c r="A8" s="32" t="s">
        <v>86</v>
      </c>
      <c r="B8" s="37" t="s">
        <v>87</v>
      </c>
      <c r="C8" s="37" t="s">
        <v>100</v>
      </c>
    </row>
    <row r="9" spans="1:3">
      <c r="A9" s="32" t="s">
        <v>88</v>
      </c>
      <c r="B9" s="37" t="s">
        <v>89</v>
      </c>
      <c r="C9" s="37" t="s">
        <v>100</v>
      </c>
    </row>
    <row r="10" spans="1:3">
      <c r="A10" s="32" t="s">
        <v>90</v>
      </c>
      <c r="B10" s="37" t="s">
        <v>91</v>
      </c>
      <c r="C10" s="37" t="s">
        <v>100</v>
      </c>
    </row>
    <row r="11" spans="1:3">
      <c r="A11" s="32" t="s">
        <v>174</v>
      </c>
      <c r="B11" s="37" t="s">
        <v>175</v>
      </c>
      <c r="C11" s="37" t="s">
        <v>100</v>
      </c>
    </row>
    <row r="12" spans="1:3">
      <c r="A12" s="32" t="s">
        <v>73</v>
      </c>
      <c r="B12" s="37" t="s">
        <v>92</v>
      </c>
      <c r="C12" s="37" t="s">
        <v>100</v>
      </c>
    </row>
    <row r="13" spans="1:3" ht="16">
      <c r="A13" s="69" t="s">
        <v>77</v>
      </c>
      <c r="B13" s="37" t="s">
        <v>93</v>
      </c>
      <c r="C13" s="37" t="s">
        <v>100</v>
      </c>
    </row>
    <row r="14" spans="1:3" ht="16">
      <c r="A14" s="69" t="s">
        <v>76</v>
      </c>
      <c r="B14" s="37" t="s">
        <v>93</v>
      </c>
      <c r="C14" s="37" t="s">
        <v>100</v>
      </c>
    </row>
    <row r="15" spans="1:3" ht="16">
      <c r="A15" s="32" t="s">
        <v>108</v>
      </c>
      <c r="B15" s="37" t="s">
        <v>94</v>
      </c>
      <c r="C15" s="37" t="s">
        <v>100</v>
      </c>
    </row>
    <row r="16" spans="1:3" ht="16">
      <c r="A16" s="32" t="s">
        <v>107</v>
      </c>
      <c r="B16" s="37" t="s">
        <v>93</v>
      </c>
      <c r="C16" s="37" t="s">
        <v>100</v>
      </c>
    </row>
    <row r="17" spans="1:3" ht="16">
      <c r="A17" s="32" t="s">
        <v>109</v>
      </c>
      <c r="B17" s="37" t="s">
        <v>93</v>
      </c>
      <c r="C17" s="37" t="s">
        <v>100</v>
      </c>
    </row>
    <row r="18" spans="1:3" ht="16">
      <c r="A18" s="32" t="s">
        <v>110</v>
      </c>
      <c r="B18" s="37" t="s">
        <v>179</v>
      </c>
      <c r="C18" s="37" t="s">
        <v>100</v>
      </c>
    </row>
    <row r="19" spans="1:3" ht="16">
      <c r="A19" s="32" t="s">
        <v>75</v>
      </c>
      <c r="B19" s="37" t="s">
        <v>180</v>
      </c>
      <c r="C19" s="37" t="s">
        <v>100</v>
      </c>
    </row>
    <row r="20" spans="1:3" ht="16">
      <c r="A20" s="32" t="s">
        <v>111</v>
      </c>
      <c r="B20" s="37" t="s">
        <v>95</v>
      </c>
      <c r="C20" s="37" t="s">
        <v>100</v>
      </c>
    </row>
    <row r="21" spans="1:3" ht="16">
      <c r="A21" s="32" t="s">
        <v>112</v>
      </c>
      <c r="B21" s="37" t="s">
        <v>96</v>
      </c>
      <c r="C21" s="37" t="s">
        <v>100</v>
      </c>
    </row>
    <row r="22" spans="1:3" ht="16">
      <c r="A22" s="32" t="s">
        <v>113</v>
      </c>
      <c r="B22" s="37" t="s">
        <v>97</v>
      </c>
      <c r="C22" s="37" t="s">
        <v>100</v>
      </c>
    </row>
    <row r="23" spans="1:3" ht="16">
      <c r="A23" s="32" t="s">
        <v>114</v>
      </c>
      <c r="B23" s="37" t="s">
        <v>97</v>
      </c>
      <c r="C23" s="37" t="s">
        <v>100</v>
      </c>
    </row>
    <row r="24" spans="1:3">
      <c r="A24" s="32" t="s">
        <v>98</v>
      </c>
      <c r="B24" s="37" t="s">
        <v>97</v>
      </c>
      <c r="C24" s="37" t="s">
        <v>100</v>
      </c>
    </row>
    <row r="25" spans="1:3">
      <c r="A25" s="32" t="s">
        <v>99</v>
      </c>
      <c r="B25" s="37" t="s">
        <v>97</v>
      </c>
      <c r="C25" s="37" t="s">
        <v>100</v>
      </c>
    </row>
    <row r="26" spans="1:3">
      <c r="A26" s="32" t="s">
        <v>74</v>
      </c>
      <c r="B26" s="37" t="s">
        <v>101</v>
      </c>
      <c r="C26" s="37" t="s">
        <v>102</v>
      </c>
    </row>
    <row r="27" spans="1:3">
      <c r="A27" s="32" t="s">
        <v>103</v>
      </c>
      <c r="B27" s="37" t="s">
        <v>100</v>
      </c>
      <c r="C27" s="37" t="s">
        <v>105</v>
      </c>
    </row>
    <row r="28" spans="1:3">
      <c r="A28" s="32" t="s">
        <v>104</v>
      </c>
      <c r="B28" s="37" t="s">
        <v>100</v>
      </c>
      <c r="C28" s="37" t="s">
        <v>105</v>
      </c>
    </row>
    <row r="29" spans="1:3" ht="16">
      <c r="A29" s="29" t="s">
        <v>148</v>
      </c>
      <c r="B29" s="29" t="s">
        <v>149</v>
      </c>
      <c r="C29" s="29" t="s">
        <v>150</v>
      </c>
    </row>
    <row r="30" spans="1:3" ht="16">
      <c r="A30" s="29" t="s">
        <v>176</v>
      </c>
      <c r="B30" s="29" t="s">
        <v>177</v>
      </c>
      <c r="C30" s="29" t="s">
        <v>178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38" zoomScale="98" zoomScaleNormal="98" zoomScalePageLayoutView="98" workbookViewId="0">
      <selection activeCell="B102" sqref="B102:B107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69.7</v>
      </c>
      <c r="C1" s="9" t="s">
        <v>51</v>
      </c>
    </row>
    <row r="3" spans="1:12">
      <c r="A3" s="138" t="s">
        <v>5</v>
      </c>
      <c r="B3" s="138" t="s">
        <v>36</v>
      </c>
      <c r="C3" s="138"/>
      <c r="D3" s="138" t="s">
        <v>52</v>
      </c>
      <c r="E3" s="138"/>
      <c r="F3" s="138"/>
      <c r="G3" s="8" t="s">
        <v>53</v>
      </c>
    </row>
    <row r="4" spans="1:12">
      <c r="A4" s="138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32">
        <v>0</v>
      </c>
      <c r="C5" s="36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5">
        <v>0.5</v>
      </c>
      <c r="B6" s="32">
        <v>449.5</v>
      </c>
      <c r="C6" s="36">
        <f t="shared" ref="C6:C69" si="0">B6/1000</f>
        <v>0.44950000000000001</v>
      </c>
      <c r="D6" s="12">
        <f>C6/1000*$B$1</f>
        <v>3.1330150000000001E-2</v>
      </c>
      <c r="E6" s="12">
        <f t="shared" ref="E6:E69" si="1">D6/22.4</f>
        <v>1.3986674107142859E-3</v>
      </c>
      <c r="F6" s="12">
        <f>E6/Calculation!K$4*1000</f>
        <v>9.4632436448869131E-4</v>
      </c>
      <c r="G6" s="12">
        <f>G5+(F6+F5)/2*30</f>
        <v>1.419486546733037E-2</v>
      </c>
    </row>
    <row r="7" spans="1:12">
      <c r="A7" s="35">
        <v>1</v>
      </c>
      <c r="B7" s="32">
        <v>557.61</v>
      </c>
      <c r="C7" s="36">
        <f t="shared" si="0"/>
        <v>0.55761000000000005</v>
      </c>
      <c r="D7" s="12">
        <f t="shared" ref="D7:D69" si="2">C7/1000*$B$1</f>
        <v>3.8865417000000006E-2</v>
      </c>
      <c r="E7" s="12">
        <f t="shared" si="1"/>
        <v>1.7350632589285717E-3</v>
      </c>
      <c r="F7" s="12">
        <f>E7/Calculation!K$4*1000</f>
        <v>1.1739264268799537E-3</v>
      </c>
      <c r="G7" s="12">
        <f>G6+(F7+F6)/2*30</f>
        <v>4.5998627337860046E-2</v>
      </c>
    </row>
    <row r="8" spans="1:12">
      <c r="A8" s="35">
        <v>1.5</v>
      </c>
      <c r="B8" s="32">
        <v>636.11</v>
      </c>
      <c r="C8" s="36">
        <f t="shared" si="0"/>
        <v>0.63611000000000006</v>
      </c>
      <c r="D8" s="12">
        <f t="shared" si="2"/>
        <v>4.4336867000000009E-2</v>
      </c>
      <c r="E8" s="12">
        <f t="shared" si="1"/>
        <v>1.9793244196428575E-3</v>
      </c>
      <c r="F8" s="12">
        <f>E8/Calculation!K$4*1000</f>
        <v>1.3391910823023394E-3</v>
      </c>
      <c r="G8" s="12">
        <f t="shared" ref="G8:G70" si="3">G7+(F8+F7)/2*30</f>
        <v>8.3695389975594447E-2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32">
        <v>706.99</v>
      </c>
      <c r="C9" s="36">
        <f t="shared" si="0"/>
        <v>0.70699000000000001</v>
      </c>
      <c r="D9" s="12">
        <f t="shared" si="2"/>
        <v>4.9277203000000006E-2</v>
      </c>
      <c r="E9" s="12">
        <f t="shared" si="1"/>
        <v>2.1998751339285718E-3</v>
      </c>
      <c r="F9" s="12">
        <f>E9/Calculation!K$4*1000</f>
        <v>1.4884134870964626E-3</v>
      </c>
      <c r="G9" s="12">
        <f t="shared" si="3"/>
        <v>0.12610945851657648</v>
      </c>
    </row>
    <row r="10" spans="1:12">
      <c r="A10" s="35">
        <v>2.5</v>
      </c>
      <c r="B10" s="32">
        <v>801.73</v>
      </c>
      <c r="C10" s="36">
        <f t="shared" si="0"/>
        <v>0.80173000000000005</v>
      </c>
      <c r="D10" s="12">
        <f t="shared" si="2"/>
        <v>5.5880581000000006E-2</v>
      </c>
      <c r="E10" s="12">
        <f t="shared" si="1"/>
        <v>2.4946687946428574E-3</v>
      </c>
      <c r="F10" s="12">
        <f>E10/Calculation!K$4*1000</f>
        <v>1.6878679260100525E-3</v>
      </c>
      <c r="G10" s="12">
        <f t="shared" si="3"/>
        <v>0.17375367971317421</v>
      </c>
    </row>
    <row r="11" spans="1:12">
      <c r="A11" s="35">
        <v>3</v>
      </c>
      <c r="B11" s="32">
        <v>228.9</v>
      </c>
      <c r="C11" s="36">
        <f t="shared" si="0"/>
        <v>0.22889999999999999</v>
      </c>
      <c r="D11" s="12">
        <f t="shared" si="2"/>
        <v>1.5954329999999999E-2</v>
      </c>
      <c r="E11" s="12">
        <f t="shared" si="1"/>
        <v>7.1224687500000001E-4</v>
      </c>
      <c r="F11" s="12">
        <f>E11/Calculation!K$4*1000</f>
        <v>4.8189910351826795E-4</v>
      </c>
      <c r="G11" s="12">
        <f t="shared" si="3"/>
        <v>0.20630018515609902</v>
      </c>
    </row>
    <row r="12" spans="1:12">
      <c r="A12" s="35">
        <v>3.5</v>
      </c>
      <c r="B12" s="32">
        <v>1035.53</v>
      </c>
      <c r="C12" s="36">
        <f t="shared" si="0"/>
        <v>1.0355300000000001</v>
      </c>
      <c r="D12" s="12">
        <f t="shared" si="2"/>
        <v>7.2176441000000008E-2</v>
      </c>
      <c r="E12" s="12">
        <f t="shared" si="1"/>
        <v>3.2221625446428575E-3</v>
      </c>
      <c r="F12" s="12">
        <f>E12/Calculation!K$4*1000</f>
        <v>2.1800829124782525E-3</v>
      </c>
      <c r="G12" s="12">
        <f t="shared" si="3"/>
        <v>0.24622991539604683</v>
      </c>
    </row>
    <row r="13" spans="1:12">
      <c r="A13" s="35">
        <v>4</v>
      </c>
      <c r="B13" s="32">
        <v>1211.82</v>
      </c>
      <c r="C13" s="36">
        <f t="shared" si="0"/>
        <v>1.2118199999999999</v>
      </c>
      <c r="D13" s="12">
        <f t="shared" si="2"/>
        <v>8.4463854000000005E-2</v>
      </c>
      <c r="E13" s="12">
        <f t="shared" si="1"/>
        <v>3.7707077678571432E-3</v>
      </c>
      <c r="F13" s="12">
        <f>E13/Calculation!K$4*1000</f>
        <v>2.5512231176300021E-3</v>
      </c>
      <c r="G13" s="12">
        <f t="shared" si="3"/>
        <v>0.31719950584767065</v>
      </c>
    </row>
    <row r="14" spans="1:12">
      <c r="A14" s="35">
        <v>4.5</v>
      </c>
      <c r="B14" s="32">
        <v>1435.64</v>
      </c>
      <c r="C14" s="36">
        <f t="shared" si="0"/>
        <v>1.43564</v>
      </c>
      <c r="D14" s="12">
        <f t="shared" si="2"/>
        <v>0.100064108</v>
      </c>
      <c r="E14" s="12">
        <f t="shared" si="1"/>
        <v>4.4671476785714285E-3</v>
      </c>
      <c r="F14" s="12">
        <f>E14/Calculation!K$4*1000</f>
        <v>3.0224273873960951E-3</v>
      </c>
      <c r="G14" s="12">
        <f t="shared" si="3"/>
        <v>0.40080426342306208</v>
      </c>
    </row>
    <row r="15" spans="1:12">
      <c r="A15" s="35">
        <v>5</v>
      </c>
      <c r="B15" s="32">
        <v>1664.37</v>
      </c>
      <c r="C15" s="36">
        <f t="shared" si="0"/>
        <v>1.6643699999999999</v>
      </c>
      <c r="D15" s="12">
        <f t="shared" si="2"/>
        <v>0.11600658899999999</v>
      </c>
      <c r="E15" s="12">
        <f t="shared" si="1"/>
        <v>5.1788655803571429E-3</v>
      </c>
      <c r="F15" s="12">
        <f>E15/Calculation!K$4*1000</f>
        <v>3.5039685929344673E-3</v>
      </c>
      <c r="G15" s="12">
        <f t="shared" si="3"/>
        <v>0.49870020312802055</v>
      </c>
    </row>
    <row r="16" spans="1:12">
      <c r="A16" s="35">
        <v>5.5</v>
      </c>
      <c r="B16" s="32">
        <v>1839.13</v>
      </c>
      <c r="C16" s="36">
        <f t="shared" si="0"/>
        <v>1.8391300000000002</v>
      </c>
      <c r="D16" s="12">
        <f t="shared" si="2"/>
        <v>0.12818736100000003</v>
      </c>
      <c r="E16" s="12">
        <f t="shared" si="1"/>
        <v>5.722650044642859E-3</v>
      </c>
      <c r="F16" s="12">
        <f>E16/Calculation!K$4*1000</f>
        <v>3.8718877162671576E-3</v>
      </c>
      <c r="G16" s="12">
        <f t="shared" si="3"/>
        <v>0.60933804776604494</v>
      </c>
    </row>
    <row r="17" spans="1:7">
      <c r="A17" s="35">
        <v>6</v>
      </c>
      <c r="B17" s="32">
        <v>2081.56</v>
      </c>
      <c r="C17" s="36">
        <f t="shared" si="0"/>
        <v>2.0815600000000001</v>
      </c>
      <c r="D17" s="12">
        <f t="shared" si="2"/>
        <v>0.14508473200000002</v>
      </c>
      <c r="E17" s="12">
        <f t="shared" si="1"/>
        <v>6.476996964285716E-3</v>
      </c>
      <c r="F17" s="12">
        <f>E17/Calculation!K$4*1000</f>
        <v>4.3822712884206468E-3</v>
      </c>
      <c r="G17" s="12">
        <f t="shared" si="3"/>
        <v>0.73315043283636205</v>
      </c>
    </row>
    <row r="18" spans="1:7">
      <c r="A18" s="35">
        <v>6.5</v>
      </c>
      <c r="B18" s="32">
        <v>2293.71</v>
      </c>
      <c r="C18" s="36">
        <f t="shared" si="0"/>
        <v>2.2937099999999999</v>
      </c>
      <c r="D18" s="12">
        <f t="shared" si="2"/>
        <v>0.15987158700000001</v>
      </c>
      <c r="E18" s="12">
        <f t="shared" si="1"/>
        <v>7.1371244196428577E-3</v>
      </c>
      <c r="F18" s="12">
        <f>E18/Calculation!K$4*1000</f>
        <v>4.8289069145080231E-3</v>
      </c>
      <c r="G18" s="12">
        <f t="shared" si="3"/>
        <v>0.87131810588029213</v>
      </c>
    </row>
    <row r="19" spans="1:7">
      <c r="A19" s="35">
        <v>7</v>
      </c>
      <c r="B19" s="32">
        <v>2642.38</v>
      </c>
      <c r="C19" s="36">
        <f t="shared" si="0"/>
        <v>2.6423800000000002</v>
      </c>
      <c r="D19" s="12">
        <f t="shared" si="2"/>
        <v>0.18417388600000001</v>
      </c>
      <c r="E19" s="12">
        <f t="shared" si="1"/>
        <v>8.2220484821428578E-3</v>
      </c>
      <c r="F19" s="12">
        <f>E19/Calculation!K$4*1000</f>
        <v>5.5629556712739224E-3</v>
      </c>
      <c r="G19" s="12">
        <f t="shared" si="3"/>
        <v>1.0271960446670212</v>
      </c>
    </row>
    <row r="20" spans="1:7">
      <c r="A20" s="35">
        <v>7.5</v>
      </c>
      <c r="B20" s="32">
        <v>3017.95</v>
      </c>
      <c r="C20" s="36">
        <f t="shared" si="0"/>
        <v>3.0179499999999999</v>
      </c>
      <c r="D20" s="12">
        <f t="shared" si="2"/>
        <v>0.21035111499999998</v>
      </c>
      <c r="E20" s="12">
        <f t="shared" si="1"/>
        <v>9.3906747767857138E-3</v>
      </c>
      <c r="F20" s="12">
        <f>E20/Calculation!K$4*1000</f>
        <v>6.3536365201527154E-3</v>
      </c>
      <c r="G20" s="12">
        <f t="shared" si="3"/>
        <v>1.2059449275384209</v>
      </c>
    </row>
    <row r="21" spans="1:7">
      <c r="A21" s="35">
        <v>8</v>
      </c>
      <c r="B21" s="32">
        <v>3507.38</v>
      </c>
      <c r="C21" s="36">
        <f t="shared" si="0"/>
        <v>3.5073799999999999</v>
      </c>
      <c r="D21" s="12">
        <f t="shared" si="2"/>
        <v>0.24446438600000001</v>
      </c>
      <c r="E21" s="12">
        <f t="shared" si="1"/>
        <v>1.0913588660714287E-2</v>
      </c>
      <c r="F21" s="12">
        <f>E21/Calculation!K$4*1000</f>
        <v>7.3840248042721839E-3</v>
      </c>
      <c r="G21" s="12">
        <f t="shared" si="3"/>
        <v>1.4120098474047944</v>
      </c>
    </row>
    <row r="22" spans="1:7">
      <c r="A22" s="35">
        <v>8.5</v>
      </c>
      <c r="B22" s="32">
        <v>3622.09</v>
      </c>
      <c r="C22" s="36">
        <f t="shared" si="0"/>
        <v>3.62209</v>
      </c>
      <c r="D22" s="12">
        <f t="shared" si="2"/>
        <v>0.252459673</v>
      </c>
      <c r="E22" s="12">
        <f t="shared" si="1"/>
        <v>1.1270521116071429E-2</v>
      </c>
      <c r="F22" s="12">
        <f>E22/Calculation!K$4*1000</f>
        <v>7.6255217294123332E-3</v>
      </c>
      <c r="G22" s="12">
        <f t="shared" si="3"/>
        <v>1.6371530454100622</v>
      </c>
    </row>
    <row r="23" spans="1:7">
      <c r="A23" s="35">
        <v>9</v>
      </c>
      <c r="B23" s="32">
        <v>4941.33</v>
      </c>
      <c r="C23" s="36">
        <f t="shared" si="0"/>
        <v>4.9413299999999998</v>
      </c>
      <c r="D23" s="12">
        <f t="shared" si="2"/>
        <v>0.34441070099999999</v>
      </c>
      <c r="E23" s="12">
        <f t="shared" si="1"/>
        <v>1.5375477723214286E-2</v>
      </c>
      <c r="F23" s="12">
        <f>E23/Calculation!K$4*1000</f>
        <v>1.0402894264691669E-2</v>
      </c>
      <c r="G23" s="12">
        <f t="shared" si="3"/>
        <v>1.9075792853216222</v>
      </c>
    </row>
    <row r="24" spans="1:7">
      <c r="A24" s="35">
        <v>9.5</v>
      </c>
      <c r="B24" s="32">
        <v>5758.96</v>
      </c>
      <c r="C24" s="36">
        <f t="shared" si="0"/>
        <v>5.7589600000000001</v>
      </c>
      <c r="D24" s="12">
        <f t="shared" si="2"/>
        <v>0.40139951200000007</v>
      </c>
      <c r="E24" s="12">
        <f t="shared" si="1"/>
        <v>1.7919621071428575E-2</v>
      </c>
      <c r="F24" s="12">
        <f>E24/Calculation!K$4*1000</f>
        <v>1.2124236178233135E-2</v>
      </c>
      <c r="G24" s="12">
        <f t="shared" si="3"/>
        <v>2.2454862419654944</v>
      </c>
    </row>
    <row r="25" spans="1:7">
      <c r="A25" s="35">
        <v>10</v>
      </c>
      <c r="B25" s="32">
        <v>6745.61</v>
      </c>
      <c r="C25" s="36">
        <f t="shared" si="0"/>
        <v>6.7456100000000001</v>
      </c>
      <c r="D25" s="12">
        <f t="shared" si="2"/>
        <v>0.47016901700000002</v>
      </c>
      <c r="E25" s="12">
        <f t="shared" si="1"/>
        <v>2.0989688258928572E-2</v>
      </c>
      <c r="F25" s="12">
        <f>E25/Calculation!K$4*1000</f>
        <v>1.4201412895080224E-2</v>
      </c>
      <c r="G25" s="12">
        <f t="shared" si="3"/>
        <v>2.6403709780651949</v>
      </c>
    </row>
    <row r="26" spans="1:7">
      <c r="A26" s="35">
        <v>10.5</v>
      </c>
      <c r="B26" s="32">
        <v>8100.38</v>
      </c>
      <c r="C26" s="36">
        <f t="shared" si="0"/>
        <v>8.1003799999999995</v>
      </c>
      <c r="D26" s="12">
        <f t="shared" si="2"/>
        <v>0.56459648600000001</v>
      </c>
      <c r="E26" s="12">
        <f t="shared" si="1"/>
        <v>2.5205200267857143E-2</v>
      </c>
      <c r="F26" s="12">
        <f>E26/Calculation!K$4*1000</f>
        <v>1.7053586108157742E-2</v>
      </c>
      <c r="G26" s="12">
        <f t="shared" si="3"/>
        <v>3.1091959631137644</v>
      </c>
    </row>
    <row r="27" spans="1:7">
      <c r="A27" s="35">
        <v>11</v>
      </c>
      <c r="B27" s="32">
        <v>9101.4</v>
      </c>
      <c r="C27" s="36">
        <f t="shared" si="0"/>
        <v>9.1013999999999999</v>
      </c>
      <c r="D27" s="12">
        <f t="shared" si="2"/>
        <v>0.63436757999999993</v>
      </c>
      <c r="E27" s="12">
        <f t="shared" si="1"/>
        <v>2.8319981249999997E-2</v>
      </c>
      <c r="F27" s="12">
        <f>E27/Calculation!K$4*1000</f>
        <v>1.9161015730717181E-2</v>
      </c>
      <c r="G27" s="12">
        <f t="shared" si="3"/>
        <v>3.6524149906968884</v>
      </c>
    </row>
    <row r="28" spans="1:7">
      <c r="A28" s="35">
        <v>11.5</v>
      </c>
      <c r="B28" s="32">
        <v>10075.01</v>
      </c>
      <c r="C28" s="36">
        <f t="shared" si="0"/>
        <v>10.075010000000001</v>
      </c>
      <c r="D28" s="12">
        <f t="shared" si="2"/>
        <v>0.70222819700000005</v>
      </c>
      <c r="E28" s="12">
        <f t="shared" si="1"/>
        <v>3.1349473080357147E-2</v>
      </c>
      <c r="F28" s="12">
        <f>E28/Calculation!K$4*1000</f>
        <v>2.1210739567224048E-2</v>
      </c>
      <c r="G28" s="12">
        <f t="shared" si="3"/>
        <v>4.2579913201660071</v>
      </c>
    </row>
    <row r="29" spans="1:7">
      <c r="A29" s="35">
        <v>12</v>
      </c>
      <c r="B29" s="32">
        <v>10743.6</v>
      </c>
      <c r="C29" s="36">
        <f t="shared" si="0"/>
        <v>10.743600000000001</v>
      </c>
      <c r="D29" s="12">
        <f t="shared" si="2"/>
        <v>0.74882892000000012</v>
      </c>
      <c r="E29" s="12">
        <f t="shared" si="1"/>
        <v>3.3429862500000004E-2</v>
      </c>
      <c r="F29" s="12">
        <f>E29/Calculation!K$4*1000</f>
        <v>2.26183102165088E-2</v>
      </c>
      <c r="G29" s="12">
        <f t="shared" si="3"/>
        <v>4.9154270669219997</v>
      </c>
    </row>
    <row r="30" spans="1:7">
      <c r="A30" s="35">
        <v>12.5</v>
      </c>
      <c r="B30" s="32">
        <v>11121.71</v>
      </c>
      <c r="C30" s="36">
        <f t="shared" si="0"/>
        <v>11.121709999999998</v>
      </c>
      <c r="D30" s="12">
        <f t="shared" si="2"/>
        <v>0.77518318699999988</v>
      </c>
      <c r="E30" s="12">
        <f t="shared" si="1"/>
        <v>3.4606392276785712E-2</v>
      </c>
      <c r="F30" s="12">
        <f>E30/Calculation!K$4*1000</f>
        <v>2.3414338482263673E-2</v>
      </c>
      <c r="G30" s="12">
        <f t="shared" si="3"/>
        <v>5.6059167974035873</v>
      </c>
    </row>
    <row r="31" spans="1:7">
      <c r="A31" s="35">
        <v>13</v>
      </c>
      <c r="B31" s="32">
        <v>11640.07</v>
      </c>
      <c r="C31" s="36">
        <f t="shared" si="0"/>
        <v>11.64007</v>
      </c>
      <c r="D31" s="12">
        <f t="shared" si="2"/>
        <v>0.81131287899999993</v>
      </c>
      <c r="E31" s="12">
        <f t="shared" si="1"/>
        <v>3.6219324955357145E-2</v>
      </c>
      <c r="F31" s="12">
        <f>E31/Calculation!K$4*1000</f>
        <v>2.450563258143244E-2</v>
      </c>
      <c r="G31" s="12">
        <f t="shared" si="3"/>
        <v>6.3247163633590286</v>
      </c>
    </row>
    <row r="32" spans="1:7">
      <c r="A32" s="35">
        <v>13.5</v>
      </c>
      <c r="B32" s="32">
        <v>11662.74</v>
      </c>
      <c r="C32" s="36">
        <f t="shared" si="0"/>
        <v>11.662739999999999</v>
      </c>
      <c r="D32" s="12">
        <f t="shared" si="2"/>
        <v>0.81289297800000004</v>
      </c>
      <c r="E32" s="12">
        <f t="shared" si="1"/>
        <v>3.6289865089285715E-2</v>
      </c>
      <c r="F32" s="12">
        <f>E32/Calculation!K$4*1000</f>
        <v>2.4553359329692635E-2</v>
      </c>
      <c r="G32" s="12">
        <f t="shared" si="3"/>
        <v>7.0606012420259052</v>
      </c>
    </row>
    <row r="33" spans="1:7">
      <c r="A33" s="35">
        <v>14</v>
      </c>
      <c r="B33" s="32">
        <v>11781.17</v>
      </c>
      <c r="C33" s="36">
        <f t="shared" si="0"/>
        <v>11.781169999999999</v>
      </c>
      <c r="D33" s="12">
        <f t="shared" si="2"/>
        <v>0.82114754899999998</v>
      </c>
      <c r="E33" s="12">
        <f t="shared" si="1"/>
        <v>3.6658372723214289E-2</v>
      </c>
      <c r="F33" s="12">
        <f>E33/Calculation!K$4*1000</f>
        <v>2.4802687904745799E-2</v>
      </c>
      <c r="G33" s="12">
        <f t="shared" si="3"/>
        <v>7.800941950542482</v>
      </c>
    </row>
    <row r="34" spans="1:7">
      <c r="A34" s="35">
        <v>14.5</v>
      </c>
      <c r="B34" s="32">
        <v>11774.74</v>
      </c>
      <c r="C34" s="36">
        <f t="shared" si="0"/>
        <v>11.77474</v>
      </c>
      <c r="D34" s="12">
        <f t="shared" si="2"/>
        <v>0.82069937799999992</v>
      </c>
      <c r="E34" s="12">
        <f t="shared" si="1"/>
        <v>3.663836508928571E-2</v>
      </c>
      <c r="F34" s="12">
        <f>E34/Calculation!K$4*1000</f>
        <v>2.4789150939976797E-2</v>
      </c>
      <c r="G34" s="12">
        <f t="shared" si="3"/>
        <v>8.544819533213321</v>
      </c>
    </row>
    <row r="35" spans="1:7">
      <c r="A35" s="35">
        <v>15</v>
      </c>
      <c r="B35" s="32">
        <v>11377.68</v>
      </c>
      <c r="C35" s="36">
        <f t="shared" si="0"/>
        <v>11.37768</v>
      </c>
      <c r="D35" s="12">
        <f t="shared" si="2"/>
        <v>0.79302429600000002</v>
      </c>
      <c r="E35" s="12">
        <f t="shared" si="1"/>
        <v>3.540287035714286E-2</v>
      </c>
      <c r="F35" s="12">
        <f>E35/Calculation!K$4*1000</f>
        <v>2.3953227575874737E-2</v>
      </c>
      <c r="G35" s="12">
        <f t="shared" si="3"/>
        <v>9.2759552109510945</v>
      </c>
    </row>
    <row r="36" spans="1:7">
      <c r="A36" s="35">
        <v>15.5</v>
      </c>
      <c r="B36" s="32">
        <v>11190.23</v>
      </c>
      <c r="C36" s="36">
        <f t="shared" si="0"/>
        <v>11.19023</v>
      </c>
      <c r="D36" s="12">
        <f t="shared" si="2"/>
        <v>0.77995903099999997</v>
      </c>
      <c r="E36" s="12">
        <f t="shared" si="1"/>
        <v>3.4819599598214283E-2</v>
      </c>
      <c r="F36" s="12">
        <f>E36/Calculation!K$4*1000</f>
        <v>2.3558592420983952E-2</v>
      </c>
      <c r="G36" s="12">
        <f t="shared" si="3"/>
        <v>9.9886325109039742</v>
      </c>
    </row>
    <row r="37" spans="1:7">
      <c r="A37" s="35">
        <v>16</v>
      </c>
      <c r="B37" s="32">
        <v>10807.38</v>
      </c>
      <c r="C37" s="36">
        <f t="shared" si="0"/>
        <v>10.807379999999998</v>
      </c>
      <c r="D37" s="12">
        <f t="shared" si="2"/>
        <v>0.75327438599999996</v>
      </c>
      <c r="E37" s="12">
        <f t="shared" si="1"/>
        <v>3.3628320803571428E-2</v>
      </c>
      <c r="F37" s="12">
        <f>E37/Calculation!K$4*1000</f>
        <v>2.2752585117436688E-2</v>
      </c>
      <c r="G37" s="12">
        <f t="shared" si="3"/>
        <v>10.683300173980284</v>
      </c>
    </row>
    <row r="38" spans="1:7">
      <c r="A38" s="35">
        <v>16.5</v>
      </c>
      <c r="B38" s="32">
        <v>10270.92</v>
      </c>
      <c r="C38" s="36">
        <f t="shared" si="0"/>
        <v>10.27092</v>
      </c>
      <c r="D38" s="12">
        <f t="shared" si="2"/>
        <v>0.71588312400000009</v>
      </c>
      <c r="E38" s="12">
        <f t="shared" si="1"/>
        <v>3.1959068035714293E-2</v>
      </c>
      <c r="F38" s="12">
        <f>E38/Calculation!K$4*1000</f>
        <v>2.1623185409820223E-2</v>
      </c>
      <c r="G38" s="12">
        <f t="shared" si="3"/>
        <v>11.348936731889138</v>
      </c>
    </row>
    <row r="39" spans="1:7">
      <c r="A39" s="35">
        <v>17</v>
      </c>
      <c r="B39" s="32">
        <v>9756.2800000000007</v>
      </c>
      <c r="C39" s="36">
        <f t="shared" si="0"/>
        <v>9.7562800000000003</v>
      </c>
      <c r="D39" s="12">
        <f t="shared" si="2"/>
        <v>0.68001271600000013</v>
      </c>
      <c r="E39" s="12">
        <f t="shared" si="1"/>
        <v>3.0357710535714292E-2</v>
      </c>
      <c r="F39" s="12">
        <f>E39/Calculation!K$4*1000</f>
        <v>2.0539722960564472E-2</v>
      </c>
      <c r="G39" s="12">
        <f>G38+(F39+F38)/2*30</f>
        <v>11.981380357444909</v>
      </c>
    </row>
    <row r="40" spans="1:7">
      <c r="A40" s="35">
        <v>17.5</v>
      </c>
      <c r="B40" s="32">
        <v>9024.25</v>
      </c>
      <c r="C40" s="36">
        <f t="shared" si="0"/>
        <v>9.0242500000000003</v>
      </c>
      <c r="D40" s="12">
        <f t="shared" si="2"/>
        <v>0.62899022500000012</v>
      </c>
      <c r="E40" s="12">
        <f t="shared" si="1"/>
        <v>2.8079920758928578E-2</v>
      </c>
      <c r="F40" s="12">
        <f>E40/Calculation!K$4*1000</f>
        <v>1.8998593206311622E-2</v>
      </c>
      <c r="G40" s="12">
        <f t="shared" si="3"/>
        <v>12.57445509994805</v>
      </c>
    </row>
    <row r="41" spans="1:7">
      <c r="A41" s="35">
        <v>18</v>
      </c>
      <c r="B41" s="32">
        <v>8208.99</v>
      </c>
      <c r="C41" s="36">
        <f t="shared" si="0"/>
        <v>8.20899</v>
      </c>
      <c r="D41" s="12">
        <f t="shared" si="2"/>
        <v>0.572166603</v>
      </c>
      <c r="E41" s="12">
        <f t="shared" si="1"/>
        <v>2.5543151919642858E-2</v>
      </c>
      <c r="F41" s="12">
        <f>E41/Calculation!K$4*1000</f>
        <v>1.7282240811666346E-2</v>
      </c>
      <c r="G41" s="12">
        <f t="shared" si="3"/>
        <v>13.11866761021772</v>
      </c>
    </row>
    <row r="42" spans="1:7">
      <c r="A42" s="35">
        <v>18.5</v>
      </c>
      <c r="B42" s="32">
        <v>7618.22</v>
      </c>
      <c r="C42" s="36">
        <f t="shared" si="0"/>
        <v>7.61822</v>
      </c>
      <c r="D42" s="12">
        <f t="shared" si="2"/>
        <v>0.53098993400000005</v>
      </c>
      <c r="E42" s="12">
        <f t="shared" si="1"/>
        <v>2.3704907767857147E-2</v>
      </c>
      <c r="F42" s="12">
        <f>E42/Calculation!K$4*1000</f>
        <v>1.6038503225884404E-2</v>
      </c>
      <c r="G42" s="12">
        <f t="shared" si="3"/>
        <v>13.618478770780982</v>
      </c>
    </row>
    <row r="43" spans="1:7">
      <c r="A43" s="35">
        <v>19</v>
      </c>
      <c r="B43" s="32">
        <v>6971.12</v>
      </c>
      <c r="C43" s="36">
        <f t="shared" si="0"/>
        <v>6.97112</v>
      </c>
      <c r="D43" s="12">
        <f t="shared" si="2"/>
        <v>0.48588706400000004</v>
      </c>
      <c r="E43" s="12">
        <f t="shared" si="1"/>
        <v>2.1691386785714289E-2</v>
      </c>
      <c r="F43" s="12">
        <f>E43/Calculation!K$4*1000</f>
        <v>1.4676175091822929E-2</v>
      </c>
      <c r="G43" s="12">
        <f t="shared" si="3"/>
        <v>14.079198945546592</v>
      </c>
    </row>
    <row r="44" spans="1:7">
      <c r="A44" s="35">
        <v>19.5</v>
      </c>
      <c r="B44" s="32">
        <v>6430.09</v>
      </c>
      <c r="C44" s="36">
        <f t="shared" si="0"/>
        <v>6.4300899999999999</v>
      </c>
      <c r="D44" s="12">
        <f t="shared" si="2"/>
        <v>0.44817727300000004</v>
      </c>
      <c r="E44" s="12">
        <f t="shared" si="1"/>
        <v>2.0007913973214289E-2</v>
      </c>
      <c r="F44" s="12">
        <f>E44/Calculation!K$4*1000</f>
        <v>1.3537154244393971E-2</v>
      </c>
      <c r="G44" s="12">
        <f t="shared" si="3"/>
        <v>14.502398885589846</v>
      </c>
    </row>
    <row r="45" spans="1:7">
      <c r="A45" s="35">
        <v>20</v>
      </c>
      <c r="B45" s="32">
        <v>5913.59</v>
      </c>
      <c r="C45" s="36">
        <f t="shared" si="0"/>
        <v>5.9135900000000001</v>
      </c>
      <c r="D45" s="12">
        <f t="shared" si="2"/>
        <v>0.41217722299999998</v>
      </c>
      <c r="E45" s="12">
        <f t="shared" si="1"/>
        <v>1.8400768883928571E-2</v>
      </c>
      <c r="F45" s="12">
        <f>E45/Calculation!K$4*1000</f>
        <v>1.2449775970181712E-2</v>
      </c>
      <c r="G45" s="12">
        <f t="shared" si="3"/>
        <v>14.892202838808482</v>
      </c>
    </row>
    <row r="46" spans="1:7">
      <c r="A46" s="35">
        <v>20.5</v>
      </c>
      <c r="B46" s="32">
        <v>5616.85</v>
      </c>
      <c r="C46" s="36">
        <f t="shared" si="0"/>
        <v>5.6168500000000003</v>
      </c>
      <c r="D46" s="12">
        <f t="shared" si="2"/>
        <v>0.39149444500000002</v>
      </c>
      <c r="E46" s="12">
        <f t="shared" si="1"/>
        <v>1.7477430580357146E-2</v>
      </c>
      <c r="F46" s="12">
        <f>E46/Calculation!K$4*1000</f>
        <v>1.1825054519862752E-2</v>
      </c>
      <c r="G46" s="12">
        <f t="shared" si="3"/>
        <v>15.256325296159149</v>
      </c>
    </row>
    <row r="47" spans="1:7">
      <c r="A47" s="35">
        <v>21</v>
      </c>
      <c r="B47" s="32">
        <v>5461.72</v>
      </c>
      <c r="C47" s="36">
        <f t="shared" si="0"/>
        <v>5.4617200000000006</v>
      </c>
      <c r="D47" s="12">
        <f t="shared" si="2"/>
        <v>0.38068188400000008</v>
      </c>
      <c r="E47" s="12">
        <f t="shared" si="1"/>
        <v>1.6994726964285719E-2</v>
      </c>
      <c r="F47" s="12">
        <f>E47/Calculation!K$4*1000</f>
        <v>1.1498462086796833E-2</v>
      </c>
      <c r="G47" s="12">
        <f t="shared" si="3"/>
        <v>15.606178045259043</v>
      </c>
    </row>
    <row r="48" spans="1:7">
      <c r="A48" s="35">
        <v>21.5</v>
      </c>
      <c r="B48" s="32">
        <v>5252.78</v>
      </c>
      <c r="C48" s="36">
        <f t="shared" si="0"/>
        <v>5.2527799999999996</v>
      </c>
      <c r="D48" s="12">
        <f t="shared" si="2"/>
        <v>0.36611876599999998</v>
      </c>
      <c r="E48" s="12">
        <f t="shared" si="1"/>
        <v>1.6344587767857143E-2</v>
      </c>
      <c r="F48" s="12">
        <f>E48/Calculation!K$4*1000</f>
        <v>1.1058584416682777E-2</v>
      </c>
      <c r="G48" s="12">
        <f t="shared" si="3"/>
        <v>15.944533742811236</v>
      </c>
    </row>
    <row r="49" spans="1:7">
      <c r="A49" s="35">
        <v>22</v>
      </c>
      <c r="B49" s="32">
        <v>5170.5600000000004</v>
      </c>
      <c r="C49" s="36">
        <f t="shared" si="0"/>
        <v>5.17056</v>
      </c>
      <c r="D49" s="12">
        <f t="shared" si="2"/>
        <v>0.36038803200000002</v>
      </c>
      <c r="E49" s="12">
        <f t="shared" si="1"/>
        <v>1.608875142857143E-2</v>
      </c>
      <c r="F49" s="12">
        <f>E49/Calculation!K$4*1000</f>
        <v>1.0885488111347381E-2</v>
      </c>
      <c r="G49" s="12">
        <f t="shared" si="3"/>
        <v>16.273694830731689</v>
      </c>
    </row>
    <row r="50" spans="1:7">
      <c r="A50" s="35">
        <v>22.5</v>
      </c>
      <c r="B50" s="32">
        <v>5099.34</v>
      </c>
      <c r="C50" s="36">
        <f t="shared" si="0"/>
        <v>5.0993399999999998</v>
      </c>
      <c r="D50" s="12">
        <f t="shared" si="2"/>
        <v>0.35542399800000002</v>
      </c>
      <c r="E50" s="12">
        <f t="shared" si="1"/>
        <v>1.5867142767857143E-2</v>
      </c>
      <c r="F50" s="12">
        <f>E50/Calculation!K$4*1000</f>
        <v>1.0735549910593466E-2</v>
      </c>
      <c r="G50" s="12">
        <f t="shared" si="3"/>
        <v>16.598010401060801</v>
      </c>
    </row>
    <row r="51" spans="1:7">
      <c r="A51" s="35">
        <v>23</v>
      </c>
      <c r="B51" s="32">
        <v>4912.0600000000004</v>
      </c>
      <c r="C51" s="36">
        <f t="shared" si="0"/>
        <v>4.9120600000000003</v>
      </c>
      <c r="D51" s="12">
        <f t="shared" si="2"/>
        <v>0.34237058200000003</v>
      </c>
      <c r="E51" s="12">
        <f t="shared" si="1"/>
        <v>1.528440098214286E-2</v>
      </c>
      <c r="F51" s="12">
        <f>E51/Calculation!K$4*1000</f>
        <v>1.0341272653682586E-2</v>
      </c>
      <c r="G51" s="12">
        <f t="shared" si="3"/>
        <v>16.91416273952494</v>
      </c>
    </row>
    <row r="52" spans="1:7">
      <c r="A52" s="35">
        <v>23.5</v>
      </c>
      <c r="B52" s="32">
        <v>4958.08</v>
      </c>
      <c r="C52" s="36">
        <f t="shared" si="0"/>
        <v>4.9580799999999998</v>
      </c>
      <c r="D52" s="12">
        <f t="shared" si="2"/>
        <v>0.34557817600000001</v>
      </c>
      <c r="E52" s="12">
        <f t="shared" si="1"/>
        <v>1.5427597142857144E-2</v>
      </c>
      <c r="F52" s="12">
        <f>E52/Calculation!K$4*1000</f>
        <v>1.043815774212256E-2</v>
      </c>
      <c r="G52" s="12">
        <f t="shared" si="3"/>
        <v>17.225854195462016</v>
      </c>
    </row>
    <row r="53" spans="1:7">
      <c r="A53" s="35">
        <v>24</v>
      </c>
      <c r="B53" s="32">
        <v>4934.7299999999996</v>
      </c>
      <c r="C53" s="36">
        <f t="shared" si="0"/>
        <v>4.9347299999999992</v>
      </c>
      <c r="D53" s="12">
        <f t="shared" si="2"/>
        <v>0.34395068099999998</v>
      </c>
      <c r="E53" s="12">
        <f t="shared" si="1"/>
        <v>1.5354941116071429E-2</v>
      </c>
      <c r="F53" s="12">
        <f>E53/Calculation!K$4*1000</f>
        <v>1.0388999401942781E-2</v>
      </c>
      <c r="G53" s="12">
        <f t="shared" si="3"/>
        <v>17.538261552622995</v>
      </c>
    </row>
    <row r="54" spans="1:7">
      <c r="A54" s="35">
        <v>24.5</v>
      </c>
      <c r="B54" s="32">
        <v>5072.2700000000004</v>
      </c>
      <c r="C54" s="36">
        <f t="shared" si="0"/>
        <v>5.0722700000000005</v>
      </c>
      <c r="D54" s="12">
        <f t="shared" si="2"/>
        <v>0.35353721900000001</v>
      </c>
      <c r="E54" s="12">
        <f t="shared" si="1"/>
        <v>1.5782911562500002E-2</v>
      </c>
      <c r="F54" s="12">
        <f>E54/Calculation!K$4*1000</f>
        <v>1.0678559920500678E-2</v>
      </c>
      <c r="G54" s="12">
        <f t="shared" si="3"/>
        <v>17.854274942459647</v>
      </c>
    </row>
    <row r="55" spans="1:7">
      <c r="A55" s="35">
        <v>25</v>
      </c>
      <c r="B55" s="32">
        <v>4893.96</v>
      </c>
      <c r="C55" s="36">
        <f t="shared" si="0"/>
        <v>4.8939599999999999</v>
      </c>
      <c r="D55" s="12">
        <f t="shared" si="2"/>
        <v>0.34110901200000004</v>
      </c>
      <c r="E55" s="12">
        <f t="shared" si="1"/>
        <v>1.5228080892857146E-2</v>
      </c>
      <c r="F55" s="12">
        <f>E55/Calculation!K$4*1000</f>
        <v>1.0303167045234877E-2</v>
      </c>
      <c r="G55" s="12">
        <f t="shared" si="3"/>
        <v>18.169000846945679</v>
      </c>
    </row>
    <row r="56" spans="1:7">
      <c r="A56" s="35">
        <v>25.5</v>
      </c>
      <c r="B56" s="32">
        <v>4757.1000000000004</v>
      </c>
      <c r="C56" s="36">
        <f t="shared" si="0"/>
        <v>4.7571000000000003</v>
      </c>
      <c r="D56" s="12">
        <f t="shared" si="2"/>
        <v>0.33156987000000004</v>
      </c>
      <c r="E56" s="12">
        <f t="shared" si="1"/>
        <v>1.4802226339285718E-2</v>
      </c>
      <c r="F56" s="12">
        <f>E56/Calculation!K$4*1000</f>
        <v>1.0015038118596562E-2</v>
      </c>
      <c r="G56" s="12">
        <f t="shared" si="3"/>
        <v>18.473773924403151</v>
      </c>
    </row>
    <row r="57" spans="1:7">
      <c r="A57" s="35">
        <v>26</v>
      </c>
      <c r="B57" s="32">
        <v>4737.3</v>
      </c>
      <c r="C57" s="36">
        <f t="shared" si="0"/>
        <v>4.7373000000000003</v>
      </c>
      <c r="D57" s="12">
        <f t="shared" si="2"/>
        <v>0.33018981000000008</v>
      </c>
      <c r="E57" s="12">
        <f t="shared" si="1"/>
        <v>1.4740616517857148E-2</v>
      </c>
      <c r="F57" s="12">
        <f>E57/Calculation!K$4*1000</f>
        <v>9.9733535303498967E-3</v>
      </c>
      <c r="G57" s="12">
        <f t="shared" si="3"/>
        <v>18.773599799137347</v>
      </c>
    </row>
    <row r="58" spans="1:7">
      <c r="A58" s="35">
        <v>26.5</v>
      </c>
      <c r="B58" s="32">
        <v>4592.1499999999996</v>
      </c>
      <c r="C58" s="36">
        <f t="shared" si="0"/>
        <v>4.5921499999999993</v>
      </c>
      <c r="D58" s="12">
        <f t="shared" si="2"/>
        <v>0.32007285499999999</v>
      </c>
      <c r="E58" s="12">
        <f t="shared" si="1"/>
        <v>1.4288966741071428E-2</v>
      </c>
      <c r="F58" s="12">
        <f>E58/Calculation!K$4*1000</f>
        <v>9.667771813986082E-3</v>
      </c>
      <c r="G58" s="12">
        <f t="shared" si="3"/>
        <v>19.068216679302388</v>
      </c>
    </row>
    <row r="59" spans="1:7">
      <c r="A59" s="35">
        <v>27</v>
      </c>
      <c r="B59" s="32">
        <v>4535.6400000000003</v>
      </c>
      <c r="C59" s="36">
        <f t="shared" si="0"/>
        <v>4.5356399999999999</v>
      </c>
      <c r="D59" s="12">
        <f t="shared" si="2"/>
        <v>0.31613410799999997</v>
      </c>
      <c r="E59" s="12">
        <f t="shared" si="1"/>
        <v>1.4113129821428571E-2</v>
      </c>
      <c r="F59" s="12">
        <f>E59/Calculation!K$4*1000</f>
        <v>9.5488023149043113E-3</v>
      </c>
      <c r="G59" s="12">
        <f t="shared" si="3"/>
        <v>19.356465291235743</v>
      </c>
    </row>
    <row r="60" spans="1:7">
      <c r="A60" s="35">
        <v>27.5</v>
      </c>
      <c r="B60" s="32">
        <v>4479.1400000000003</v>
      </c>
      <c r="C60" s="36">
        <f t="shared" si="0"/>
        <v>4.4791400000000001</v>
      </c>
      <c r="D60" s="12">
        <f t="shared" si="2"/>
        <v>0.31219605800000005</v>
      </c>
      <c r="E60" s="12">
        <f t="shared" si="1"/>
        <v>1.3937324017857146E-2</v>
      </c>
      <c r="F60" s="12">
        <f>E60/Calculation!K$4*1000</f>
        <v>9.4298538686448889E-3</v>
      </c>
      <c r="G60" s="12">
        <f t="shared" si="3"/>
        <v>19.641145133988982</v>
      </c>
    </row>
    <row r="61" spans="1:7">
      <c r="A61" s="35">
        <v>28</v>
      </c>
      <c r="B61" s="32">
        <v>4404.1899999999996</v>
      </c>
      <c r="C61" s="36">
        <f t="shared" si="0"/>
        <v>4.4041899999999998</v>
      </c>
      <c r="D61" s="12">
        <f t="shared" si="2"/>
        <v>0.30697204299999997</v>
      </c>
      <c r="E61" s="12">
        <f t="shared" si="1"/>
        <v>1.3704109062499999E-2</v>
      </c>
      <c r="F61" s="12">
        <f>E61/Calculation!K$4*1000</f>
        <v>9.2720629651556145E-3</v>
      </c>
      <c r="G61" s="12">
        <f t="shared" si="3"/>
        <v>19.921673886495988</v>
      </c>
    </row>
    <row r="62" spans="1:7">
      <c r="A62" s="35">
        <v>28.5</v>
      </c>
      <c r="B62" s="32">
        <v>4400.8100000000004</v>
      </c>
      <c r="C62" s="36">
        <f t="shared" si="0"/>
        <v>4.4008100000000008</v>
      </c>
      <c r="D62" s="12">
        <f t="shared" si="2"/>
        <v>0.30673645700000007</v>
      </c>
      <c r="E62" s="12">
        <f t="shared" si="1"/>
        <v>1.3693591830357147E-2</v>
      </c>
      <c r="F62" s="12">
        <f>E62/Calculation!K$4*1000</f>
        <v>9.2649471112024005E-3</v>
      </c>
      <c r="G62" s="12">
        <f t="shared" si="3"/>
        <v>20.199729037641358</v>
      </c>
    </row>
    <row r="63" spans="1:7">
      <c r="A63" s="35">
        <v>29</v>
      </c>
      <c r="B63" s="32">
        <v>4371.88</v>
      </c>
      <c r="C63" s="36">
        <f t="shared" si="0"/>
        <v>4.37188</v>
      </c>
      <c r="D63" s="12">
        <f t="shared" si="2"/>
        <v>0.30472003600000003</v>
      </c>
      <c r="E63" s="12">
        <f t="shared" si="1"/>
        <v>1.3603573035714288E-2</v>
      </c>
      <c r="F63" s="12">
        <f>E63/Calculation!K$4*1000</f>
        <v>9.2040412961531034E-3</v>
      </c>
      <c r="G63" s="12">
        <f t="shared" si="3"/>
        <v>20.476763863751689</v>
      </c>
    </row>
    <row r="64" spans="1:7">
      <c r="A64" s="35">
        <v>29.5</v>
      </c>
      <c r="B64" s="32">
        <v>4394.21</v>
      </c>
      <c r="C64" s="36">
        <f t="shared" si="0"/>
        <v>4.3942100000000002</v>
      </c>
      <c r="D64" s="12">
        <f t="shared" si="2"/>
        <v>0.30627643700000001</v>
      </c>
      <c r="E64" s="12">
        <f t="shared" si="1"/>
        <v>1.3673055223214287E-2</v>
      </c>
      <c r="F64" s="12">
        <f>E64/Calculation!K$4*1000</f>
        <v>9.2510522484535087E-3</v>
      </c>
      <c r="G64" s="12">
        <f t="shared" si="3"/>
        <v>20.753590266920789</v>
      </c>
    </row>
    <row r="65" spans="1:7">
      <c r="A65" s="35">
        <v>30</v>
      </c>
      <c r="B65" s="32">
        <v>4399.79</v>
      </c>
      <c r="C65" s="36">
        <f t="shared" si="0"/>
        <v>4.3997900000000003</v>
      </c>
      <c r="D65" s="12">
        <f t="shared" si="2"/>
        <v>0.30666536300000008</v>
      </c>
      <c r="E65" s="12">
        <f t="shared" si="1"/>
        <v>1.3690417991071433E-2</v>
      </c>
      <c r="F65" s="12">
        <f>E65/Calculation!K$4*1000</f>
        <v>9.2627997233230251E-3</v>
      </c>
      <c r="G65" s="12">
        <f t="shared" si="3"/>
        <v>21.031298046497437</v>
      </c>
    </row>
    <row r="66" spans="1:7">
      <c r="A66" s="35">
        <v>30.5</v>
      </c>
      <c r="B66" s="32">
        <v>4452.41</v>
      </c>
      <c r="C66" s="36">
        <f t="shared" si="0"/>
        <v>4.4524099999999995</v>
      </c>
      <c r="D66" s="12">
        <f t="shared" si="2"/>
        <v>0.31033297699999995</v>
      </c>
      <c r="E66" s="12">
        <f t="shared" si="1"/>
        <v>1.385415075892857E-2</v>
      </c>
      <c r="F66" s="12">
        <f>E66/Calculation!K$4*1000</f>
        <v>9.3735796745118873E-3</v>
      </c>
      <c r="G66" s="12">
        <f t="shared" si="3"/>
        <v>21.31084373746496</v>
      </c>
    </row>
    <row r="67" spans="1:7">
      <c r="A67" s="35">
        <v>31</v>
      </c>
      <c r="B67" s="32">
        <v>4381.01</v>
      </c>
      <c r="C67" s="36">
        <f t="shared" si="0"/>
        <v>4.3810099999999998</v>
      </c>
      <c r="D67" s="12">
        <f t="shared" si="2"/>
        <v>0.30535639699999995</v>
      </c>
      <c r="E67" s="12">
        <f t="shared" si="1"/>
        <v>1.3631982008928571E-2</v>
      </c>
      <c r="F67" s="12">
        <f>E67/Calculation!K$4*1000</f>
        <v>9.2232625229557302E-3</v>
      </c>
      <c r="G67" s="12">
        <f t="shared" si="3"/>
        <v>21.589796370426974</v>
      </c>
    </row>
    <row r="68" spans="1:7">
      <c r="A68" s="35">
        <v>31.5</v>
      </c>
      <c r="B68" s="32">
        <v>4191.87</v>
      </c>
      <c r="C68" s="36">
        <f t="shared" si="0"/>
        <v>4.1918699999999998</v>
      </c>
      <c r="D68" s="12">
        <f t="shared" si="2"/>
        <v>0.29217333899999998</v>
      </c>
      <c r="E68" s="12">
        <f t="shared" si="1"/>
        <v>1.3043452633928572E-2</v>
      </c>
      <c r="F68" s="12">
        <f>E68/Calculation!K$4*1000</f>
        <v>8.8250694410883426E-3</v>
      </c>
      <c r="G68" s="12">
        <f t="shared" si="3"/>
        <v>21.860521349887634</v>
      </c>
    </row>
    <row r="69" spans="1:7">
      <c r="A69" s="35">
        <v>32</v>
      </c>
      <c r="B69" s="32">
        <v>4126.3999999999996</v>
      </c>
      <c r="C69" s="36">
        <f t="shared" si="0"/>
        <v>4.1263999999999994</v>
      </c>
      <c r="D69" s="12">
        <f t="shared" si="2"/>
        <v>0.28761007999999999</v>
      </c>
      <c r="E69" s="12">
        <f t="shared" si="1"/>
        <v>1.2839735714285715E-2</v>
      </c>
      <c r="F69" s="12">
        <f>E69/Calculation!K$4*1000</f>
        <v>8.6872366131838397E-3</v>
      </c>
      <c r="G69" s="12">
        <f t="shared" si="3"/>
        <v>22.123205940701716</v>
      </c>
    </row>
    <row r="70" spans="1:7">
      <c r="A70" s="35">
        <v>32.5</v>
      </c>
      <c r="B70" s="32">
        <v>4038.26</v>
      </c>
      <c r="C70" s="36">
        <f t="shared" ref="C70:C101" si="4">B70/1000</f>
        <v>4.0382600000000002</v>
      </c>
      <c r="D70" s="12">
        <f t="shared" ref="D70:D101" si="5">C70/1000*$B$1</f>
        <v>0.281466722</v>
      </c>
      <c r="E70" s="12">
        <f t="shared" ref="E70:E101" si="6">D70/22.4</f>
        <v>1.2565478660714287E-2</v>
      </c>
      <c r="F70" s="12">
        <f>E70/Calculation!K$4*1000</f>
        <v>8.5016770370191386E-3</v>
      </c>
      <c r="G70" s="12">
        <f t="shared" si="3"/>
        <v>22.381039645454759</v>
      </c>
    </row>
    <row r="71" spans="1:7">
      <c r="A71" s="35">
        <v>33</v>
      </c>
      <c r="B71" s="32">
        <v>3905.12</v>
      </c>
      <c r="C71" s="36">
        <f t="shared" si="4"/>
        <v>3.9051199999999997</v>
      </c>
      <c r="D71" s="12">
        <f t="shared" si="5"/>
        <v>0.27218686399999997</v>
      </c>
      <c r="E71" s="12">
        <f t="shared" si="6"/>
        <v>1.2151199285714285E-2</v>
      </c>
      <c r="F71" s="12">
        <f>E71/Calculation!K$4*1000</f>
        <v>8.2213797602938322E-3</v>
      </c>
      <c r="G71" s="12">
        <f t="shared" ref="G71:G101" si="7">G70+(F71+F70)/2*30</f>
        <v>22.631885497414455</v>
      </c>
    </row>
    <row r="72" spans="1:7">
      <c r="A72" s="35">
        <v>33.5</v>
      </c>
      <c r="B72" s="32">
        <v>3821.21</v>
      </c>
      <c r="C72" s="36">
        <f t="shared" si="4"/>
        <v>3.8212100000000002</v>
      </c>
      <c r="D72" s="12">
        <f t="shared" si="5"/>
        <v>0.26633833700000004</v>
      </c>
      <c r="E72" s="12">
        <f t="shared" si="6"/>
        <v>1.1890104330357145E-2</v>
      </c>
      <c r="F72" s="12">
        <f>E72/Calculation!K$4*1000</f>
        <v>8.044725527981831E-3</v>
      </c>
      <c r="G72" s="12">
        <f t="shared" si="7"/>
        <v>22.87587707673859</v>
      </c>
    </row>
    <row r="73" spans="1:7">
      <c r="A73" s="35">
        <v>34</v>
      </c>
      <c r="B73" s="32">
        <v>3748.12</v>
      </c>
      <c r="C73" s="36">
        <f t="shared" si="4"/>
        <v>3.7481199999999997</v>
      </c>
      <c r="D73" s="12">
        <f t="shared" si="5"/>
        <v>0.261243964</v>
      </c>
      <c r="E73" s="12">
        <f t="shared" si="6"/>
        <v>1.1662676964285714E-2</v>
      </c>
      <c r="F73" s="12">
        <f>E73/Calculation!K$4*1000</f>
        <v>7.8908504494490626E-3</v>
      </c>
      <c r="G73" s="12">
        <f t="shared" si="7"/>
        <v>23.114910716400054</v>
      </c>
    </row>
    <row r="74" spans="1:7">
      <c r="A74" s="35">
        <v>34.5</v>
      </c>
      <c r="B74" s="32">
        <v>3712.26</v>
      </c>
      <c r="C74" s="36">
        <f t="shared" si="4"/>
        <v>3.7122600000000001</v>
      </c>
      <c r="D74" s="12">
        <f t="shared" si="5"/>
        <v>0.25874452200000003</v>
      </c>
      <c r="E74" s="12">
        <f t="shared" si="6"/>
        <v>1.155109473214286E-2</v>
      </c>
      <c r="F74" s="12">
        <f>E74/Calculation!K$4*1000</f>
        <v>7.8153550285134359E-3</v>
      </c>
      <c r="G74" s="12">
        <f t="shared" si="7"/>
        <v>23.350503798569491</v>
      </c>
    </row>
    <row r="75" spans="1:7">
      <c r="A75" s="35">
        <v>35</v>
      </c>
      <c r="B75" s="32">
        <v>3692.29</v>
      </c>
      <c r="C75" s="36">
        <f t="shared" si="4"/>
        <v>3.6922899999999998</v>
      </c>
      <c r="D75" s="12">
        <f t="shared" si="5"/>
        <v>0.25735261300000001</v>
      </c>
      <c r="E75" s="12">
        <f t="shared" si="6"/>
        <v>1.1488955937500002E-2</v>
      </c>
      <c r="F75" s="12">
        <f>E75/Calculation!K$4*1000</f>
        <v>7.7733125422868744E-3</v>
      </c>
      <c r="G75" s="12">
        <f t="shared" si="7"/>
        <v>23.584333812131497</v>
      </c>
    </row>
    <row r="76" spans="1:7">
      <c r="A76" s="35">
        <v>35.5</v>
      </c>
      <c r="B76" s="32">
        <v>3560</v>
      </c>
      <c r="C76" s="36">
        <f t="shared" si="4"/>
        <v>3.56</v>
      </c>
      <c r="D76" s="12">
        <f t="shared" si="5"/>
        <v>0.24813200000000002</v>
      </c>
      <c r="E76" s="12">
        <f t="shared" si="6"/>
        <v>1.1077321428571429E-2</v>
      </c>
      <c r="F76" s="12">
        <f>E76/Calculation!K$4*1000</f>
        <v>7.4948047554610486E-3</v>
      </c>
      <c r="G76" s="12">
        <f t="shared" si="7"/>
        <v>23.813355571597715</v>
      </c>
    </row>
    <row r="77" spans="1:7">
      <c r="A77" s="35">
        <v>36</v>
      </c>
      <c r="B77" s="32">
        <v>3470.67</v>
      </c>
      <c r="C77" s="36">
        <f t="shared" si="4"/>
        <v>3.4706700000000001</v>
      </c>
      <c r="D77" s="12">
        <f t="shared" si="5"/>
        <v>0.24190569900000003</v>
      </c>
      <c r="E77" s="12">
        <f t="shared" si="6"/>
        <v>1.0799361562500002E-2</v>
      </c>
      <c r="F77" s="12">
        <f>E77/Calculation!K$4*1000</f>
        <v>7.3067398934370783E-3</v>
      </c>
      <c r="G77" s="12">
        <f t="shared" si="7"/>
        <v>24.035378741331186</v>
      </c>
    </row>
    <row r="78" spans="1:7">
      <c r="A78" s="35">
        <v>36.5</v>
      </c>
      <c r="B78" s="32">
        <v>3360.71</v>
      </c>
      <c r="C78" s="36">
        <f t="shared" si="4"/>
        <v>3.3607100000000001</v>
      </c>
      <c r="D78" s="12">
        <f t="shared" si="5"/>
        <v>0.23424148700000003</v>
      </c>
      <c r="E78" s="12">
        <f t="shared" si="6"/>
        <v>1.045720924107143E-2</v>
      </c>
      <c r="F78" s="12">
        <f>E78/Calculation!K$4*1000</f>
        <v>7.0752430589116578E-3</v>
      </c>
      <c r="G78" s="12">
        <f t="shared" si="7"/>
        <v>24.251108485616417</v>
      </c>
    </row>
    <row r="79" spans="1:7">
      <c r="A79" s="35">
        <v>37</v>
      </c>
      <c r="B79" s="32">
        <v>3389.13</v>
      </c>
      <c r="C79" s="36">
        <f t="shared" si="4"/>
        <v>3.3891300000000002</v>
      </c>
      <c r="D79" s="12">
        <f t="shared" si="5"/>
        <v>0.23622236100000002</v>
      </c>
      <c r="E79" s="12">
        <f t="shared" si="6"/>
        <v>1.054564111607143E-2</v>
      </c>
      <c r="F79" s="12">
        <f>E79/Calculation!K$4*1000</f>
        <v>7.1350751800212655E-3</v>
      </c>
      <c r="G79" s="12">
        <f t="shared" si="7"/>
        <v>24.464263259200411</v>
      </c>
    </row>
    <row r="80" spans="1:7">
      <c r="A80" s="35">
        <v>37.5</v>
      </c>
      <c r="B80" s="32">
        <v>3282.38</v>
      </c>
      <c r="C80" s="36">
        <f t="shared" si="4"/>
        <v>3.2823800000000003</v>
      </c>
      <c r="D80" s="12">
        <f t="shared" si="5"/>
        <v>0.22878188600000002</v>
      </c>
      <c r="E80" s="12">
        <f t="shared" si="6"/>
        <v>1.0213477053571431E-2</v>
      </c>
      <c r="F80" s="12">
        <f>E80/Calculation!K$4*1000</f>
        <v>6.9103363014691678E-3</v>
      </c>
      <c r="G80" s="12">
        <f t="shared" si="7"/>
        <v>24.674944431422766</v>
      </c>
    </row>
    <row r="81" spans="1:7">
      <c r="A81" s="35">
        <v>38</v>
      </c>
      <c r="B81" s="32">
        <v>3252.26</v>
      </c>
      <c r="C81" s="36">
        <f t="shared" si="4"/>
        <v>3.2522600000000002</v>
      </c>
      <c r="D81" s="12">
        <f t="shared" si="5"/>
        <v>0.22668252200000003</v>
      </c>
      <c r="E81" s="12">
        <f t="shared" si="6"/>
        <v>1.0119755446428574E-2</v>
      </c>
      <c r="F81" s="12">
        <f>E81/Calculation!K$4*1000</f>
        <v>6.8469252005606048E-3</v>
      </c>
      <c r="G81" s="12">
        <f t="shared" si="7"/>
        <v>24.881303353953214</v>
      </c>
    </row>
    <row r="82" spans="1:7">
      <c r="A82" s="35">
        <v>38.5</v>
      </c>
      <c r="B82" s="32">
        <v>3132.15</v>
      </c>
      <c r="C82" s="36">
        <f t="shared" si="4"/>
        <v>3.1321500000000002</v>
      </c>
      <c r="D82" s="12">
        <f t="shared" si="5"/>
        <v>0.21831085500000003</v>
      </c>
      <c r="E82" s="12">
        <f t="shared" si="6"/>
        <v>9.7460203125000009E-3</v>
      </c>
      <c r="F82" s="12">
        <f>E82/Calculation!K$4*1000</f>
        <v>6.5940597513531813E-3</v>
      </c>
      <c r="G82" s="12">
        <f t="shared" si="7"/>
        <v>25.08291812823192</v>
      </c>
    </row>
    <row r="83" spans="1:7">
      <c r="A83" s="35">
        <v>39</v>
      </c>
      <c r="B83" s="32">
        <v>3038.25</v>
      </c>
      <c r="C83" s="36">
        <f t="shared" si="4"/>
        <v>3.0382500000000001</v>
      </c>
      <c r="D83" s="12">
        <f t="shared" si="5"/>
        <v>0.21176602500000002</v>
      </c>
      <c r="E83" s="12">
        <f t="shared" si="6"/>
        <v>9.4538404017857156E-3</v>
      </c>
      <c r="F83" s="12">
        <f>E83/Calculation!K$4*1000</f>
        <v>6.3963737495167225E-3</v>
      </c>
      <c r="G83" s="12">
        <f t="shared" si="7"/>
        <v>25.277774630744968</v>
      </c>
    </row>
    <row r="84" spans="1:7">
      <c r="A84" s="35">
        <v>39.5</v>
      </c>
      <c r="B84" s="32">
        <v>2997.65</v>
      </c>
      <c r="C84" s="36">
        <f t="shared" si="4"/>
        <v>2.9976500000000001</v>
      </c>
      <c r="D84" s="12">
        <f t="shared" si="5"/>
        <v>0.20893620500000001</v>
      </c>
      <c r="E84" s="12">
        <f t="shared" si="6"/>
        <v>9.3275091517857154E-3</v>
      </c>
      <c r="F84" s="12">
        <f>E84/Calculation!K$4*1000</f>
        <v>6.3108992907887108E-3</v>
      </c>
      <c r="G84" s="12">
        <f t="shared" si="7"/>
        <v>25.46838372634955</v>
      </c>
    </row>
    <row r="85" spans="1:7">
      <c r="A85" s="35">
        <v>40</v>
      </c>
      <c r="B85" s="32">
        <v>2949.61</v>
      </c>
      <c r="C85" s="36">
        <f t="shared" si="4"/>
        <v>2.9496100000000003</v>
      </c>
      <c r="D85" s="12">
        <f t="shared" si="5"/>
        <v>0.20558781700000001</v>
      </c>
      <c r="E85" s="12">
        <f t="shared" si="6"/>
        <v>9.1780275446428587E-3</v>
      </c>
      <c r="F85" s="12">
        <f>E85/Calculation!K$4*1000</f>
        <v>6.2097615322346811E-3</v>
      </c>
      <c r="G85" s="12">
        <f t="shared" si="7"/>
        <v>25.656193638694901</v>
      </c>
    </row>
    <row r="86" spans="1:7">
      <c r="A86" s="35">
        <v>40.5</v>
      </c>
      <c r="B86" s="32">
        <v>2893.78</v>
      </c>
      <c r="C86" s="36">
        <f t="shared" si="4"/>
        <v>2.89378</v>
      </c>
      <c r="D86" s="12">
        <f t="shared" si="5"/>
        <v>0.20169646599999999</v>
      </c>
      <c r="E86" s="12">
        <f t="shared" si="6"/>
        <v>9.0043065178571427E-3</v>
      </c>
      <c r="F86" s="12">
        <f>E86/Calculation!K$4*1000</f>
        <v>6.0922236250724919E-3</v>
      </c>
      <c r="G86" s="12">
        <f t="shared" si="7"/>
        <v>25.840723416054509</v>
      </c>
    </row>
    <row r="87" spans="1:7">
      <c r="A87" s="35">
        <v>41</v>
      </c>
      <c r="B87" s="32">
        <v>2775.52</v>
      </c>
      <c r="C87" s="36">
        <f t="shared" si="4"/>
        <v>2.7755199999999998</v>
      </c>
      <c r="D87" s="12">
        <f t="shared" si="5"/>
        <v>0.19345374399999998</v>
      </c>
      <c r="E87" s="12">
        <f t="shared" si="6"/>
        <v>8.6363278571428576E-3</v>
      </c>
      <c r="F87" s="12">
        <f>E87/Calculation!K$4*1000</f>
        <v>5.843252947999227E-3</v>
      </c>
      <c r="G87" s="12">
        <f t="shared" si="7"/>
        <v>26.019755564650584</v>
      </c>
    </row>
    <row r="88" spans="1:7">
      <c r="A88" s="35">
        <v>41.5</v>
      </c>
      <c r="B88" s="32">
        <v>2753.02</v>
      </c>
      <c r="C88" s="36">
        <f t="shared" si="4"/>
        <v>2.7530199999999998</v>
      </c>
      <c r="D88" s="12">
        <f t="shared" si="5"/>
        <v>0.19188549399999999</v>
      </c>
      <c r="E88" s="12">
        <f t="shared" si="6"/>
        <v>8.566316696428572E-3</v>
      </c>
      <c r="F88" s="12">
        <f>E88/Calculation!K$4*1000</f>
        <v>5.7958840977189252E-3</v>
      </c>
      <c r="G88" s="12">
        <f t="shared" si="7"/>
        <v>26.194342620336357</v>
      </c>
    </row>
    <row r="89" spans="1:7">
      <c r="A89" s="35">
        <v>42</v>
      </c>
      <c r="B89" s="32">
        <v>2641.87</v>
      </c>
      <c r="C89" s="36">
        <f t="shared" si="4"/>
        <v>2.6418699999999999</v>
      </c>
      <c r="D89" s="12">
        <f t="shared" si="5"/>
        <v>0.18413833900000001</v>
      </c>
      <c r="E89" s="12">
        <f t="shared" si="6"/>
        <v>8.2204615625000015E-3</v>
      </c>
      <c r="F89" s="12">
        <f>E89/Calculation!K$4*1000</f>
        <v>5.5618819773342373E-3</v>
      </c>
      <c r="G89" s="12">
        <f t="shared" si="7"/>
        <v>26.364709111462155</v>
      </c>
    </row>
    <row r="90" spans="1:7">
      <c r="A90" s="35">
        <v>42.5</v>
      </c>
      <c r="B90" s="32">
        <v>2564.2199999999998</v>
      </c>
      <c r="C90" s="36">
        <f t="shared" si="4"/>
        <v>2.5642199999999997</v>
      </c>
      <c r="D90" s="12">
        <f t="shared" si="5"/>
        <v>0.17872613400000001</v>
      </c>
      <c r="E90" s="12">
        <f t="shared" si="6"/>
        <v>7.9788452678571445E-3</v>
      </c>
      <c r="F90" s="12">
        <f>E90/Calculation!K$4*1000</f>
        <v>5.3984068118113288E-3</v>
      </c>
      <c r="G90" s="12">
        <f t="shared" si="7"/>
        <v>26.529113443299337</v>
      </c>
    </row>
    <row r="91" spans="1:7">
      <c r="A91" s="35">
        <v>43</v>
      </c>
      <c r="B91" s="32">
        <v>2461.6999999999998</v>
      </c>
      <c r="C91" s="36">
        <f t="shared" si="4"/>
        <v>2.4617</v>
      </c>
      <c r="D91" s="12">
        <f t="shared" si="5"/>
        <v>0.17158049</v>
      </c>
      <c r="E91" s="12">
        <f t="shared" si="6"/>
        <v>7.6598433035714288E-3</v>
      </c>
      <c r="F91" s="12">
        <f>E91/Calculation!K$4*1000</f>
        <v>5.1825732771119274E-3</v>
      </c>
      <c r="G91" s="12">
        <f t="shared" si="7"/>
        <v>26.687828144633187</v>
      </c>
    </row>
    <row r="92" spans="1:7">
      <c r="A92" s="35">
        <v>43.5</v>
      </c>
      <c r="B92" s="32">
        <v>2390.4699999999998</v>
      </c>
      <c r="C92" s="36">
        <f t="shared" si="4"/>
        <v>2.3904699999999997</v>
      </c>
      <c r="D92" s="12">
        <f t="shared" si="5"/>
        <v>0.16661575899999997</v>
      </c>
      <c r="E92" s="12">
        <f t="shared" si="6"/>
        <v>7.438203526785714E-3</v>
      </c>
      <c r="F92" s="12">
        <f>E92/Calculation!K$4*1000</f>
        <v>5.032614023535666E-3</v>
      </c>
      <c r="G92" s="12">
        <f t="shared" si="7"/>
        <v>26.841055954142902</v>
      </c>
    </row>
    <row r="93" spans="1:7">
      <c r="A93" s="35">
        <v>44</v>
      </c>
      <c r="B93" s="32">
        <v>2464.7399999999998</v>
      </c>
      <c r="C93" s="36">
        <f t="shared" si="4"/>
        <v>2.4647399999999999</v>
      </c>
      <c r="D93" s="12">
        <f t="shared" si="5"/>
        <v>0.171792378</v>
      </c>
      <c r="E93" s="12">
        <f t="shared" si="6"/>
        <v>7.6693025892857142E-3</v>
      </c>
      <c r="F93" s="12">
        <f>E93/Calculation!K$4*1000</f>
        <v>5.1889733351053553E-3</v>
      </c>
      <c r="G93" s="12">
        <f t="shared" si="7"/>
        <v>26.994379764522517</v>
      </c>
    </row>
    <row r="94" spans="1:7">
      <c r="A94" s="35">
        <v>44.5</v>
      </c>
      <c r="B94" s="32">
        <v>2332.79</v>
      </c>
      <c r="C94" s="36">
        <f t="shared" si="4"/>
        <v>2.3327900000000001</v>
      </c>
      <c r="D94" s="12">
        <f t="shared" si="5"/>
        <v>0.162595463</v>
      </c>
      <c r="E94" s="12">
        <f t="shared" si="6"/>
        <v>7.2587260267857143E-3</v>
      </c>
      <c r="F94" s="12">
        <f>E94/Calculation!K$4*1000</f>
        <v>4.9111813442393199E-3</v>
      </c>
      <c r="G94" s="12">
        <f t="shared" si="7"/>
        <v>27.145882084712685</v>
      </c>
    </row>
    <row r="95" spans="1:7">
      <c r="A95" s="35">
        <v>45</v>
      </c>
      <c r="B95" s="32">
        <v>2236.35</v>
      </c>
      <c r="C95" s="36">
        <f t="shared" si="4"/>
        <v>2.2363499999999998</v>
      </c>
      <c r="D95" s="12">
        <f t="shared" si="5"/>
        <v>0.155873595</v>
      </c>
      <c r="E95" s="12">
        <f t="shared" si="6"/>
        <v>6.9586426339285721E-3</v>
      </c>
      <c r="F95" s="12">
        <f>E95/Calculation!K$4*1000</f>
        <v>4.7081479255267743E-3</v>
      </c>
      <c r="G95" s="12">
        <f t="shared" si="7"/>
        <v>27.290172023759176</v>
      </c>
    </row>
    <row r="96" spans="1:7">
      <c r="A96" s="35">
        <v>45.5</v>
      </c>
      <c r="B96" s="32">
        <v>2102.0300000000002</v>
      </c>
      <c r="C96" s="36">
        <f t="shared" si="4"/>
        <v>2.1020300000000001</v>
      </c>
      <c r="D96" s="12">
        <f t="shared" si="5"/>
        <v>0.14651149099999999</v>
      </c>
      <c r="E96" s="12">
        <f t="shared" si="6"/>
        <v>6.5406915625000001E-3</v>
      </c>
      <c r="F96" s="12">
        <f>E96/Calculation!K$4*1000</f>
        <v>4.4253664157645469E-3</v>
      </c>
      <c r="G96" s="12">
        <f t="shared" si="7"/>
        <v>27.427174738878545</v>
      </c>
    </row>
    <row r="97" spans="1:7">
      <c r="A97" s="35">
        <v>46</v>
      </c>
      <c r="B97" s="32">
        <v>1985.8</v>
      </c>
      <c r="C97" s="36">
        <f t="shared" si="4"/>
        <v>1.9858</v>
      </c>
      <c r="D97" s="12">
        <f t="shared" si="5"/>
        <v>0.13841025999999998</v>
      </c>
      <c r="E97" s="12">
        <f t="shared" si="6"/>
        <v>6.179029464285714E-3</v>
      </c>
      <c r="F97" s="12">
        <f>E97/Calculation!K$4*1000</f>
        <v>4.180669461627682E-3</v>
      </c>
      <c r="G97" s="12">
        <f t="shared" si="7"/>
        <v>27.556265277039429</v>
      </c>
    </row>
    <row r="98" spans="1:7">
      <c r="A98" s="35">
        <v>46.5</v>
      </c>
      <c r="B98" s="32">
        <v>1916.61</v>
      </c>
      <c r="C98" s="36">
        <f t="shared" si="4"/>
        <v>1.9166099999999999</v>
      </c>
      <c r="D98" s="12">
        <f t="shared" si="5"/>
        <v>0.13358771699999999</v>
      </c>
      <c r="E98" s="12">
        <f t="shared" si="6"/>
        <v>5.9637373660714286E-3</v>
      </c>
      <c r="F98" s="12">
        <f>E98/Calculation!K$4*1000</f>
        <v>4.0350049838101679E-3</v>
      </c>
      <c r="G98" s="12">
        <f t="shared" si="7"/>
        <v>27.679500393720996</v>
      </c>
    </row>
    <row r="99" spans="1:7">
      <c r="A99" s="35">
        <v>47</v>
      </c>
      <c r="B99" s="32">
        <v>1822.89</v>
      </c>
      <c r="C99" s="36">
        <f t="shared" si="4"/>
        <v>1.8228900000000001</v>
      </c>
      <c r="D99" s="12">
        <f t="shared" si="5"/>
        <v>0.12705543300000002</v>
      </c>
      <c r="E99" s="12">
        <f t="shared" si="6"/>
        <v>5.6721175446428585E-3</v>
      </c>
      <c r="F99" s="12">
        <f>E99/Calculation!K$4*1000</f>
        <v>3.8376979327759526E-3</v>
      </c>
      <c r="G99" s="12">
        <f t="shared" si="7"/>
        <v>27.797590937469788</v>
      </c>
    </row>
    <row r="100" spans="1:7">
      <c r="A100" s="35">
        <v>47.5</v>
      </c>
      <c r="B100" s="32">
        <v>1721.89</v>
      </c>
      <c r="C100" s="36">
        <f t="shared" si="4"/>
        <v>1.7218900000000001</v>
      </c>
      <c r="D100" s="12">
        <f t="shared" si="5"/>
        <v>0.12001573300000003</v>
      </c>
      <c r="E100" s="12">
        <f t="shared" si="6"/>
        <v>5.3578452232142873E-3</v>
      </c>
      <c r="F100" s="12">
        <f>E100/Calculation!K$4*1000</f>
        <v>3.6250644270732664E-3</v>
      </c>
      <c r="G100" s="12">
        <f t="shared" si="7"/>
        <v>27.909532372867528</v>
      </c>
    </row>
    <row r="101" spans="1:7">
      <c r="A101" s="35">
        <v>48</v>
      </c>
      <c r="B101" s="32">
        <v>1643.9</v>
      </c>
      <c r="C101" s="36">
        <f t="shared" si="4"/>
        <v>1.6439000000000001</v>
      </c>
      <c r="D101" s="12">
        <f t="shared" si="5"/>
        <v>0.11457983000000002</v>
      </c>
      <c r="E101" s="12">
        <f t="shared" si="6"/>
        <v>5.1151709821428588E-3</v>
      </c>
      <c r="F101" s="12">
        <f>E101/Calculation!K$4*1000</f>
        <v>3.4608734655905676E-3</v>
      </c>
      <c r="G101" s="12">
        <f t="shared" si="7"/>
        <v>28.015821441257486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E19" sqref="E1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8" t="s">
        <v>41</v>
      </c>
      <c r="B1" s="138"/>
      <c r="D1" s="159" t="s">
        <v>4</v>
      </c>
      <c r="E1" s="159" t="s">
        <v>5</v>
      </c>
      <c r="F1" s="138" t="s">
        <v>145</v>
      </c>
      <c r="G1" s="138"/>
      <c r="H1" s="138"/>
      <c r="I1" s="138"/>
      <c r="J1" s="138" t="s">
        <v>42</v>
      </c>
      <c r="K1" s="138"/>
      <c r="L1" s="138"/>
      <c r="M1" s="138"/>
      <c r="N1" s="160" t="s">
        <v>43</v>
      </c>
      <c r="O1" s="136"/>
      <c r="P1" s="136"/>
      <c r="Q1" s="161"/>
      <c r="R1" s="138" t="s">
        <v>65</v>
      </c>
      <c r="S1" s="138"/>
      <c r="T1" s="138"/>
      <c r="U1" s="138"/>
    </row>
    <row r="2" spans="1:21">
      <c r="A2" s="138" t="s">
        <v>34</v>
      </c>
      <c r="B2" s="138"/>
      <c r="D2" s="159"/>
      <c r="E2" s="159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8" t="s">
        <v>35</v>
      </c>
      <c r="B3" s="14" t="s">
        <v>38</v>
      </c>
      <c r="D3" s="16">
        <v>0</v>
      </c>
      <c r="E3" s="127">
        <v>-0.16666666666666666</v>
      </c>
      <c r="F3" s="52">
        <v>48.284857904085257</v>
      </c>
      <c r="G3" s="52">
        <v>0.95145815841410086</v>
      </c>
      <c r="H3" s="13">
        <f>F3*Calculation!I3/Calculation!F23</f>
        <v>48.284857904085257</v>
      </c>
      <c r="I3" s="13">
        <f>G3*Calculation!I3/Calculation!F23</f>
        <v>0.95145815841410086</v>
      </c>
      <c r="J3" s="13">
        <v>2.2424511545293071</v>
      </c>
      <c r="K3" s="13">
        <v>0.48185023122137494</v>
      </c>
      <c r="L3" s="13">
        <f>J3*Calculation!I3/Calculation!F23</f>
        <v>2.2424511545293071</v>
      </c>
      <c r="M3" s="13">
        <f>K3*Calculation!I3/Calculation!F23</f>
        <v>0.48185023122137494</v>
      </c>
      <c r="N3" s="13">
        <v>1.0102692200943657</v>
      </c>
      <c r="O3" s="13">
        <v>8.5455477759315321E-2</v>
      </c>
      <c r="P3" s="13">
        <f>N3*Calculation!I3/Calculation!F23</f>
        <v>1.0102692200943657</v>
      </c>
      <c r="Q3" s="13">
        <f>O3*Calculation!I3/Calculation!F23</f>
        <v>8.5455477759315335E-2</v>
      </c>
      <c r="R3" s="13">
        <v>48.38149033239192</v>
      </c>
      <c r="S3" s="13">
        <v>1.5193500921056569</v>
      </c>
      <c r="T3" s="13">
        <f>R3*Calculation!I3/Calculation!F23</f>
        <v>48.38149033239192</v>
      </c>
      <c r="U3" s="13">
        <f>S3*Calculation!I3/Calculation!F23</f>
        <v>1.5193500921056569</v>
      </c>
    </row>
    <row r="4" spans="1:21">
      <c r="A4" s="138"/>
      <c r="B4" s="14" t="s">
        <v>39</v>
      </c>
      <c r="D4" s="16">
        <v>0</v>
      </c>
      <c r="E4" s="128">
        <v>0.16666666666666666</v>
      </c>
      <c r="F4" s="52">
        <v>49.441237418590873</v>
      </c>
      <c r="G4" s="52">
        <v>0.35616368903244472</v>
      </c>
      <c r="H4" s="13">
        <f>F4*Calculation!I4/Calculation!K3</f>
        <v>49.441237418590873</v>
      </c>
      <c r="I4" s="13">
        <f>G4*Calculation!I4/Calculation!K3</f>
        <v>0.35616368903244472</v>
      </c>
      <c r="J4" s="13">
        <v>1.9945233866193011</v>
      </c>
      <c r="K4" s="13">
        <v>7.3915720675837016E-2</v>
      </c>
      <c r="L4" s="13">
        <f>J4*Calculation!I4/Calculation!K3</f>
        <v>1.9945233866193011</v>
      </c>
      <c r="M4" s="13">
        <f>K4*Calculation!I4/Calculation!K3</f>
        <v>7.3915720675837016E-2</v>
      </c>
      <c r="N4" s="13">
        <v>0.93255620316402998</v>
      </c>
      <c r="O4" s="13">
        <v>0.20190434059920273</v>
      </c>
      <c r="P4" s="13">
        <f>N4*Calculation!I4/Calculation!K3</f>
        <v>0.93255620316402987</v>
      </c>
      <c r="Q4" s="13">
        <f>O4*Calculation!I4/Calculation!K3</f>
        <v>0.20190434059920273</v>
      </c>
      <c r="R4" s="13">
        <v>50.112245636903467</v>
      </c>
      <c r="S4" s="13">
        <v>0.33958647513052098</v>
      </c>
      <c r="T4" s="13">
        <f>R4*Calculation!I4/Calculation!K3</f>
        <v>50.112245636903459</v>
      </c>
      <c r="U4" s="13">
        <f>S4*Calculation!I4/Calculation!K3</f>
        <v>0.33958647513052098</v>
      </c>
    </row>
    <row r="5" spans="1:21">
      <c r="A5" s="15" t="s">
        <v>37</v>
      </c>
      <c r="B5" s="15">
        <v>180.16</v>
      </c>
      <c r="D5" s="16">
        <v>1</v>
      </c>
      <c r="E5" s="128">
        <v>2</v>
      </c>
      <c r="F5" s="52">
        <v>49.34317643576081</v>
      </c>
      <c r="G5" s="52">
        <v>1.1425295520692293</v>
      </c>
      <c r="H5" s="13">
        <f>F5*Calculation!I5/Calculation!K4</f>
        <v>49.34317643576081</v>
      </c>
      <c r="I5" s="13">
        <f>G5*Calculation!I5/Calculation!K4</f>
        <v>1.1425295520692293</v>
      </c>
      <c r="J5" s="13">
        <v>1.9575192421551213</v>
      </c>
      <c r="K5" s="13">
        <v>2.7937516412339981E-2</v>
      </c>
      <c r="L5" s="13">
        <f>J5*Calculation!I5/Calculation!K4</f>
        <v>1.9575192421551213</v>
      </c>
      <c r="M5" s="13">
        <f>K5*Calculation!I5/Calculation!K4</f>
        <v>2.7937516412339981E-2</v>
      </c>
      <c r="N5" s="13">
        <v>1.0158201498751041</v>
      </c>
      <c r="O5" s="13">
        <v>4.9958368026644454E-2</v>
      </c>
      <c r="P5" s="13">
        <f>N5*Calculation!I5/Calculation!K4</f>
        <v>1.0158201498751041</v>
      </c>
      <c r="Q5" s="13">
        <f>O5*Calculation!I5/Calculation!K4</f>
        <v>4.995836802664446E-2</v>
      </c>
      <c r="R5" s="13">
        <v>49.467738431457732</v>
      </c>
      <c r="S5" s="13">
        <v>1.018064263641973</v>
      </c>
      <c r="T5" s="13">
        <f>R5*Calculation!I5/Calculation!K4</f>
        <v>49.467738431457732</v>
      </c>
      <c r="U5" s="13">
        <f>S5*Calculation!I5/Calculation!K4</f>
        <v>1.018064263641973</v>
      </c>
    </row>
    <row r="6" spans="1:21">
      <c r="A6" s="15" t="s">
        <v>40</v>
      </c>
      <c r="B6" s="15">
        <v>180.16</v>
      </c>
      <c r="D6" s="16">
        <v>2</v>
      </c>
      <c r="E6" s="128">
        <v>3.3333333333333335</v>
      </c>
      <c r="F6" s="52">
        <v>47.605831853167551</v>
      </c>
      <c r="G6" s="52">
        <v>0.49603845167698007</v>
      </c>
      <c r="H6" s="13">
        <f>F6*Calculation!I6/Calculation!K5</f>
        <v>47.605831853167551</v>
      </c>
      <c r="I6" s="13">
        <f>G6*Calculation!I6/Calculation!K5</f>
        <v>0.49603845167698013</v>
      </c>
      <c r="J6" s="13">
        <v>1.9686204854943754</v>
      </c>
      <c r="K6" s="13">
        <v>2.7937516412339981E-2</v>
      </c>
      <c r="L6" s="13">
        <f>J6*Calculation!I6/Calculation!K5</f>
        <v>1.9686204854943752</v>
      </c>
      <c r="M6" s="13">
        <f>K6*Calculation!I6/Calculation!K5</f>
        <v>2.7937516412339981E-2</v>
      </c>
      <c r="N6" s="13">
        <v>1.0713294476824871</v>
      </c>
      <c r="O6" s="13">
        <v>0.15018317245038712</v>
      </c>
      <c r="P6" s="13">
        <f>N6*Calculation!I6/Calculation!K5</f>
        <v>1.0713294476824871</v>
      </c>
      <c r="Q6" s="13">
        <f>O6*Calculation!I6/Calculation!K5</f>
        <v>0.15018317245038712</v>
      </c>
      <c r="R6" s="13">
        <v>47.577666739083206</v>
      </c>
      <c r="S6" s="13">
        <v>0.4161903988848108</v>
      </c>
      <c r="T6" s="13">
        <f>R6*Calculation!I6/Calculation!K5</f>
        <v>47.577666739083199</v>
      </c>
      <c r="U6" s="13">
        <f>S6*Calculation!I6/Calculation!K5</f>
        <v>0.4161903988848108</v>
      </c>
    </row>
    <row r="7" spans="1:21">
      <c r="A7" s="32" t="s">
        <v>115</v>
      </c>
      <c r="B7" s="32">
        <v>46.03</v>
      </c>
      <c r="D7" s="16">
        <v>3</v>
      </c>
      <c r="E7" s="128">
        <v>4.666666666666667</v>
      </c>
      <c r="F7" s="52">
        <v>50.551361752516286</v>
      </c>
      <c r="G7" s="52">
        <v>0.61211387370350623</v>
      </c>
      <c r="H7" s="13">
        <f>F7*Calculation!I7/Calculation!K6</f>
        <v>50.551361752516286</v>
      </c>
      <c r="I7" s="13">
        <f>G7*Calculation!I7/Calculation!K6</f>
        <v>0.61211387370350623</v>
      </c>
      <c r="J7" s="13">
        <v>1.9242155121373594</v>
      </c>
      <c r="K7" s="13">
        <v>1.2818611660515681E-2</v>
      </c>
      <c r="L7" s="13">
        <f>J7*Calculation!I7/Calculation!K6</f>
        <v>1.9242155121373594</v>
      </c>
      <c r="M7" s="13">
        <f>K7*Calculation!I7/Calculation!K6</f>
        <v>1.2818611660515683E-2</v>
      </c>
      <c r="N7" s="13">
        <v>1.2434082708853731</v>
      </c>
      <c r="O7" s="13">
        <v>5.0875111795235572E-2</v>
      </c>
      <c r="P7" s="13">
        <f>N7*Calculation!I7/Calculation!K6</f>
        <v>1.2434082708853731</v>
      </c>
      <c r="Q7" s="13">
        <f>O7*Calculation!I7/Calculation!K6</f>
        <v>5.0875111795235572E-2</v>
      </c>
      <c r="R7" s="13">
        <v>49.923962633065393</v>
      </c>
      <c r="S7" s="13">
        <v>0.73768963051704151</v>
      </c>
      <c r="T7" s="13">
        <f>R7*Calculation!I7/Calculation!K6</f>
        <v>49.923962633065393</v>
      </c>
      <c r="U7" s="13">
        <f>S7*Calculation!I7/Calculation!K6</f>
        <v>0.73768963051704151</v>
      </c>
    </row>
    <row r="8" spans="1:21">
      <c r="A8" s="15" t="s">
        <v>43</v>
      </c>
      <c r="B8" s="15">
        <v>60.05</v>
      </c>
      <c r="D8" s="16">
        <v>4</v>
      </c>
      <c r="E8" s="128">
        <v>6</v>
      </c>
      <c r="F8" s="52">
        <v>50.098060982830084</v>
      </c>
      <c r="G8" s="52">
        <v>0.76611314915852602</v>
      </c>
      <c r="H8" s="13">
        <f>F8*Calculation!I8/Calculation!K7</f>
        <v>50.098060982830077</v>
      </c>
      <c r="I8" s="13">
        <f>G8*Calculation!I8/Calculation!K7</f>
        <v>0.76611314915852602</v>
      </c>
      <c r="J8" s="13">
        <v>1.9427175843694491</v>
      </c>
      <c r="K8" s="13">
        <v>3.7737010310571668E-16</v>
      </c>
      <c r="L8" s="13">
        <f>J8*Calculation!I8/Calculation!K7</f>
        <v>1.9427175843694491</v>
      </c>
      <c r="M8" s="13">
        <f>K8*Calculation!I8/Calculation!K7</f>
        <v>3.7737010310571663E-16</v>
      </c>
      <c r="N8" s="13">
        <v>1.6486261448792676</v>
      </c>
      <c r="O8" s="13">
        <v>1.6652789342214838E-2</v>
      </c>
      <c r="P8" s="13">
        <f>N8*Calculation!I8/Calculation!K7</f>
        <v>1.6486261448792676</v>
      </c>
      <c r="Q8" s="13">
        <f>O8*Calculation!I8/Calculation!K7</f>
        <v>1.6652789342214838E-2</v>
      </c>
      <c r="R8" s="13">
        <v>48.562531682236212</v>
      </c>
      <c r="S8" s="13">
        <v>0.82735698802735069</v>
      </c>
      <c r="T8" s="13">
        <f>R8*Calculation!I8/Calculation!K7</f>
        <v>48.562531682236212</v>
      </c>
      <c r="U8" s="13">
        <f>S8*Calculation!I8/Calculation!K7</f>
        <v>0.82735698802735069</v>
      </c>
    </row>
    <row r="9" spans="1:21">
      <c r="A9" s="32" t="s">
        <v>67</v>
      </c>
      <c r="B9" s="32">
        <v>74.08</v>
      </c>
      <c r="D9" s="16">
        <v>5</v>
      </c>
      <c r="E9" s="128">
        <v>7.333333333333333</v>
      </c>
      <c r="F9" s="52">
        <v>50.197972172883361</v>
      </c>
      <c r="G9" s="52">
        <v>0.90043903979862172</v>
      </c>
      <c r="H9" s="13">
        <f>F9*Calculation!I9/Calculation!K8</f>
        <v>50.197972172883361</v>
      </c>
      <c r="I9" s="13">
        <f>G9*Calculation!I9/Calculation!K8</f>
        <v>0.90043903979862172</v>
      </c>
      <c r="J9" s="13">
        <v>1.8798105387803434</v>
      </c>
      <c r="K9" s="13">
        <v>5.4761133018608306E-2</v>
      </c>
      <c r="L9" s="13">
        <f>J9*Calculation!I9/Calculation!K8</f>
        <v>1.8798105387803432</v>
      </c>
      <c r="M9" s="13">
        <f>K9*Calculation!I9/Calculation!K8</f>
        <v>5.4761133018608299E-2</v>
      </c>
      <c r="N9" s="13">
        <v>2.4590618928670551</v>
      </c>
      <c r="O9" s="13">
        <v>0.16763440322555084</v>
      </c>
      <c r="P9" s="13">
        <f>N9*Calculation!I9/Calculation!K8</f>
        <v>2.4590618928670551</v>
      </c>
      <c r="Q9" s="13">
        <f>O9*Calculation!I9/Calculation!K8</f>
        <v>0.16763440322555084</v>
      </c>
      <c r="R9" s="13">
        <v>47.925266130784273</v>
      </c>
      <c r="S9" s="13">
        <v>0.94472365436276085</v>
      </c>
      <c r="T9" s="13">
        <f>R9*Calculation!I9/Calculation!K8</f>
        <v>47.925266130784273</v>
      </c>
      <c r="U9" s="13">
        <f>S9*Calculation!I9/Calculation!K8</f>
        <v>0.94472365436276085</v>
      </c>
    </row>
    <row r="10" spans="1:21">
      <c r="A10" s="32" t="s">
        <v>66</v>
      </c>
      <c r="B10" s="32">
        <v>88.11</v>
      </c>
      <c r="D10" s="16">
        <v>6</v>
      </c>
      <c r="E10" s="128">
        <v>8.6666666666666661</v>
      </c>
      <c r="F10" s="52">
        <v>49.420885139135578</v>
      </c>
      <c r="G10" s="52">
        <v>0.5833524688850954</v>
      </c>
      <c r="H10" s="13">
        <f>F10*Calculation!I10/Calculation!K9</f>
        <v>49.420885139135578</v>
      </c>
      <c r="I10" s="13">
        <f>G10*Calculation!I10/Calculation!K9</f>
        <v>0.5833524688850954</v>
      </c>
      <c r="J10" s="13">
        <v>1.8502072232089994</v>
      </c>
      <c r="K10" s="13">
        <v>5.4761133018608479E-2</v>
      </c>
      <c r="L10" s="13">
        <f>J10*Calculation!I10/Calculation!K9</f>
        <v>1.8502072232089997</v>
      </c>
      <c r="M10" s="13">
        <f>K10*Calculation!I10/Calculation!K9</f>
        <v>5.4761133018608479E-2</v>
      </c>
      <c r="N10" s="13">
        <v>3.7690813211212886</v>
      </c>
      <c r="O10" s="13">
        <v>8.2146259155974219E-2</v>
      </c>
      <c r="P10" s="13">
        <f>N10*Calculation!I10/Calculation!K9</f>
        <v>3.7690813211212886</v>
      </c>
      <c r="Q10" s="13">
        <f>O10*Calculation!I10/Calculation!K9</f>
        <v>8.2146259155974219E-2</v>
      </c>
      <c r="R10" s="13">
        <v>46.447968716054746</v>
      </c>
      <c r="S10" s="13">
        <v>0.66287839680175009</v>
      </c>
      <c r="T10" s="13">
        <f>R10*Calculation!I10/Calculation!K9</f>
        <v>46.447968716054746</v>
      </c>
      <c r="U10" s="13">
        <f>S10*Calculation!I10/Calculation!K9</f>
        <v>0.66287839680175009</v>
      </c>
    </row>
    <row r="11" spans="1:21">
      <c r="A11" s="15" t="s">
        <v>42</v>
      </c>
      <c r="B11" s="15">
        <v>90.08</v>
      </c>
      <c r="D11" s="16">
        <v>7</v>
      </c>
      <c r="E11" s="128">
        <v>10</v>
      </c>
      <c r="F11" s="52">
        <v>47.187685020722327</v>
      </c>
      <c r="G11" s="52">
        <v>1.847951370490887</v>
      </c>
      <c r="H11" s="13">
        <f>F11*Calculation!I11/Calculation!K10</f>
        <v>47.267393948122191</v>
      </c>
      <c r="I11" s="13">
        <f>G11*Calculation!I11/Calculation!K10</f>
        <v>1.8510729099680674</v>
      </c>
      <c r="J11" s="13">
        <v>1.9427175843694491</v>
      </c>
      <c r="K11" s="13">
        <v>3.3303730017762018E-2</v>
      </c>
      <c r="L11" s="13">
        <f>J11*Calculation!I11/Calculation!K10</f>
        <v>1.9459992019106138</v>
      </c>
      <c r="M11" s="13">
        <f>K11*Calculation!I11/Calculation!K10</f>
        <v>3.3359986318467698E-2</v>
      </c>
      <c r="N11" s="13">
        <v>6.6833194560088813</v>
      </c>
      <c r="O11" s="13">
        <v>0.2357021786906702</v>
      </c>
      <c r="P11" s="13">
        <f>N11*Calculation!I11/Calculation!K10</f>
        <v>6.6946088469818692</v>
      </c>
      <c r="Q11" s="13">
        <f>O11*Calculation!I11/Calculation!K10</f>
        <v>0.23610032426278282</v>
      </c>
      <c r="R11" s="13">
        <v>43.247157650807438</v>
      </c>
      <c r="S11" s="13">
        <v>1.6752655218348962</v>
      </c>
      <c r="T11" s="13">
        <f>R11*Calculation!I11/Calculation!K10</f>
        <v>43.320210281974347</v>
      </c>
      <c r="U11" s="13">
        <f>S11*Calculation!I11/Calculation!K10</f>
        <v>1.6780953622434012</v>
      </c>
    </row>
    <row r="12" spans="1:21">
      <c r="A12" s="15" t="s">
        <v>44</v>
      </c>
      <c r="B12" s="15">
        <v>46.07</v>
      </c>
      <c r="D12" s="16">
        <v>8</v>
      </c>
      <c r="E12" s="128">
        <v>11.333333333333334</v>
      </c>
      <c r="F12" s="52">
        <v>45.914742451154517</v>
      </c>
      <c r="G12" s="52">
        <v>0.39432860210726939</v>
      </c>
      <c r="H12" s="13">
        <f>F12*Calculation!I12/Calculation!K11</f>
        <v>46.032930379015156</v>
      </c>
      <c r="I12" s="13">
        <f>G12*Calculation!I12/Calculation!K11</f>
        <v>0.39534363296427183</v>
      </c>
      <c r="J12" s="13">
        <v>1.9390171699230314</v>
      </c>
      <c r="K12" s="13">
        <v>1.6957429303418606E-2</v>
      </c>
      <c r="L12" s="13">
        <f>J12*Calculation!I12/Calculation!K11</f>
        <v>1.9440083428920008</v>
      </c>
      <c r="M12" s="13">
        <f>K12*Calculation!I12/Calculation!K11</f>
        <v>1.700107897505395E-2</v>
      </c>
      <c r="N12" s="13">
        <v>10.530113794060505</v>
      </c>
      <c r="O12" s="13">
        <v>0.10706245640847033</v>
      </c>
      <c r="P12" s="13">
        <f>N12*Calculation!I12/Calculation!K11</f>
        <v>10.557219082319079</v>
      </c>
      <c r="Q12" s="13">
        <f>O12*Calculation!I12/Calculation!K11</f>
        <v>0.10733804305448165</v>
      </c>
      <c r="R12" s="13">
        <v>40.879136794843937</v>
      </c>
      <c r="S12" s="13">
        <v>0.57080589177894103</v>
      </c>
      <c r="T12" s="13">
        <f>R12*Calculation!I12/Calculation!K11</f>
        <v>40.984362702963843</v>
      </c>
      <c r="U12" s="13">
        <f>S12*Calculation!I12/Calculation!K11</f>
        <v>0.57227518817392276</v>
      </c>
    </row>
    <row r="13" spans="1:21">
      <c r="D13" s="16">
        <v>9</v>
      </c>
      <c r="E13" s="128">
        <v>12.666666666666666</v>
      </c>
      <c r="F13" s="52">
        <v>43.692643576080521</v>
      </c>
      <c r="G13" s="52">
        <v>0.49311059799570572</v>
      </c>
      <c r="H13" s="13">
        <f>F13*Calculation!I13/Calculation!K12</f>
        <v>43.845152893338309</v>
      </c>
      <c r="I13" s="13">
        <f>G13*Calculation!I13/Calculation!K12</f>
        <v>0.49483180217283346</v>
      </c>
      <c r="J13" s="13">
        <v>2.0019242155121373</v>
      </c>
      <c r="K13" s="13">
        <v>1.2818611660515681E-2</v>
      </c>
      <c r="L13" s="13">
        <f>J13*Calculation!I13/Calculation!K12</f>
        <v>2.0089119386234193</v>
      </c>
      <c r="M13" s="13">
        <f>K13*Calculation!I13/Calculation!K12</f>
        <v>1.2863355067014623E-2</v>
      </c>
      <c r="N13" s="13">
        <v>13.605328892589512</v>
      </c>
      <c r="O13" s="13">
        <v>0.57276881005561453</v>
      </c>
      <c r="P13" s="13">
        <f>N13*Calculation!I13/Calculation!K12</f>
        <v>13.652818338195233</v>
      </c>
      <c r="Q13" s="13">
        <f>O13*Calculation!I13/Calculation!K12</f>
        <v>0.57476806148603055</v>
      </c>
      <c r="R13" s="13">
        <v>37.634875805634003</v>
      </c>
      <c r="S13" s="13">
        <v>0.92384320531342379</v>
      </c>
      <c r="T13" s="13">
        <f>R13*Calculation!I13/Calculation!K12</f>
        <v>37.766240464405556</v>
      </c>
      <c r="U13" s="13">
        <f>S13*Calculation!I13/Calculation!K12</f>
        <v>0.92706788308441423</v>
      </c>
    </row>
    <row r="14" spans="1:21">
      <c r="D14" s="16">
        <v>10</v>
      </c>
      <c r="E14" s="128">
        <v>14</v>
      </c>
      <c r="F14" s="52">
        <v>40.375222024866794</v>
      </c>
      <c r="G14" s="52">
        <v>1.0753174535473151</v>
      </c>
      <c r="H14" s="13">
        <f>F14*Calculation!I14/Calculation!K13</f>
        <v>40.5544831407109</v>
      </c>
      <c r="I14" s="13">
        <f>G14*Calculation!I14/Calculation!K13</f>
        <v>1.080091733339283</v>
      </c>
      <c r="J14" s="13">
        <v>2.3904677323860275</v>
      </c>
      <c r="K14" s="13">
        <v>6.4093058302578405E-3</v>
      </c>
      <c r="L14" s="13">
        <f>J14*Calculation!I14/Calculation!K13</f>
        <v>2.401081120786293</v>
      </c>
      <c r="M14" s="13">
        <f>K14*Calculation!I14/Calculation!K13</f>
        <v>6.4377623750716505E-3</v>
      </c>
      <c r="N14" s="13">
        <v>16.180960310852068</v>
      </c>
      <c r="O14" s="13">
        <v>0.79626341532136657</v>
      </c>
      <c r="P14" s="13">
        <f>N14*Calculation!I14/Calculation!K13</f>
        <v>16.252801822930095</v>
      </c>
      <c r="Q14" s="13">
        <f>O14*Calculation!I14/Calculation!K13</f>
        <v>0.7997987288423285</v>
      </c>
      <c r="R14" s="13">
        <v>34.187848504598449</v>
      </c>
      <c r="S14" s="13">
        <v>1.3774950803825348</v>
      </c>
      <c r="T14" s="13">
        <f>R14*Calculation!I14/Calculation!K13</f>
        <v>34.339638428316249</v>
      </c>
      <c r="U14" s="13">
        <f>S14*Calculation!I14/Calculation!K13</f>
        <v>1.3836109923898312</v>
      </c>
    </row>
    <row r="15" spans="1:21">
      <c r="D15" s="16">
        <v>11</v>
      </c>
      <c r="E15" s="128">
        <v>15.333333333333334</v>
      </c>
      <c r="F15" s="52">
        <v>38.982015985790412</v>
      </c>
      <c r="G15" s="52">
        <v>0.2914472822563306</v>
      </c>
      <c r="H15" s="13">
        <f>F15*Calculation!I15/Calculation!K14</f>
        <v>39.155091434865639</v>
      </c>
      <c r="I15" s="13">
        <f>G15*Calculation!I15/Calculation!K14</f>
        <v>0.29274127303599307</v>
      </c>
      <c r="J15" s="13">
        <v>3.0565423327412673</v>
      </c>
      <c r="K15" s="13">
        <v>1.6957429303418606E-2</v>
      </c>
      <c r="L15" s="13">
        <f>J15*Calculation!I15/Calculation!K14</f>
        <v>3.0701130120270559</v>
      </c>
      <c r="M15" s="13">
        <f>K15*Calculation!I15/Calculation!K14</f>
        <v>1.7032718244168115E-2</v>
      </c>
      <c r="N15" s="13">
        <v>17.929503191784626</v>
      </c>
      <c r="O15" s="13">
        <v>0.20006462715448362</v>
      </c>
      <c r="P15" s="13">
        <f>N15*Calculation!I15/Calculation!K14</f>
        <v>18.009108023349647</v>
      </c>
      <c r="Q15" s="13">
        <f>O15*Calculation!I15/Calculation!K14</f>
        <v>0.20095288996781405</v>
      </c>
      <c r="R15" s="13">
        <v>32.898834093707002</v>
      </c>
      <c r="S15" s="13">
        <v>0.3224772840641939</v>
      </c>
      <c r="T15" s="13">
        <f>R15*Calculation!I15/Calculation!K14</f>
        <v>33.044900948917757</v>
      </c>
      <c r="U15" s="13">
        <f>S15*Calculation!I15/Calculation!K14</f>
        <v>0.32390904430913131</v>
      </c>
    </row>
    <row r="16" spans="1:21">
      <c r="D16" s="16">
        <v>12</v>
      </c>
      <c r="E16" s="128">
        <v>16.666666666666668</v>
      </c>
      <c r="F16" s="52">
        <v>37.836737714624036</v>
      </c>
      <c r="G16" s="52">
        <v>0.16562196900928625</v>
      </c>
      <c r="H16" s="13">
        <f>F16*Calculation!I16/Calculation!K15</f>
        <v>38.043948832121856</v>
      </c>
      <c r="I16" s="13">
        <f>G16*Calculation!I16/Calculation!K15</f>
        <v>0.16652898994590731</v>
      </c>
      <c r="J16" s="13">
        <v>3.7966252220248671</v>
      </c>
      <c r="K16" s="13">
        <v>0</v>
      </c>
      <c r="L16" s="13">
        <f>J16*Calculation!I16/Calculation!K15</f>
        <v>3.8174172617855286</v>
      </c>
      <c r="M16" s="13">
        <f>K16*Calculation!I16/Calculation!K15</f>
        <v>0</v>
      </c>
      <c r="N16" s="13">
        <v>18.756591729114628</v>
      </c>
      <c r="O16" s="13">
        <v>0.22731718267491757</v>
      </c>
      <c r="P16" s="13">
        <f>N16*Calculation!I16/Calculation!K15</f>
        <v>18.859311323017092</v>
      </c>
      <c r="Q16" s="13">
        <f>O16*Calculation!I16/Calculation!K15</f>
        <v>0.22856207455232488</v>
      </c>
      <c r="R16" s="13">
        <v>31.110145557245279</v>
      </c>
      <c r="S16" s="13">
        <v>5.7478846644895734E-2</v>
      </c>
      <c r="T16" s="13">
        <f>R16*Calculation!I16/Calculation!K15</f>
        <v>31.280518808635424</v>
      </c>
      <c r="U16" s="13">
        <f>S16*Calculation!I16/Calculation!K15</f>
        <v>5.7793626849669343E-2</v>
      </c>
    </row>
    <row r="17" spans="4:21">
      <c r="D17" s="16">
        <v>13</v>
      </c>
      <c r="E17" s="128">
        <v>18</v>
      </c>
      <c r="F17" s="52">
        <v>36.458333333333336</v>
      </c>
      <c r="G17" s="52">
        <v>0.38712684726319574</v>
      </c>
      <c r="H17" s="13">
        <f>F17*Calculation!I17/Calculation!K16</f>
        <v>36.657995683958987</v>
      </c>
      <c r="I17" s="13">
        <f>G17*Calculation!I17/Calculation!K16</f>
        <v>0.38924692926497495</v>
      </c>
      <c r="J17" s="13">
        <v>4.6070159857904089</v>
      </c>
      <c r="K17" s="13">
        <v>1.1101243339254007E-2</v>
      </c>
      <c r="L17" s="13">
        <f>J17*Calculation!I17/Calculation!K16</f>
        <v>4.6322460925175282</v>
      </c>
      <c r="M17" s="13">
        <f>K17*Calculation!I17/Calculation!K16</f>
        <v>1.116203877715068E-2</v>
      </c>
      <c r="N17" s="13">
        <v>19.694698862059397</v>
      </c>
      <c r="O17" s="13">
        <v>0.20144598736190961</v>
      </c>
      <c r="P17" s="13">
        <f>N17*Calculation!I17/Calculation!K16</f>
        <v>19.802555955627298</v>
      </c>
      <c r="Q17" s="13">
        <f>O17*Calculation!I17/Calculation!K16</f>
        <v>0.20254919685294825</v>
      </c>
      <c r="R17" s="13">
        <v>29.415598522702581</v>
      </c>
      <c r="S17" s="13">
        <v>0.20724292883270493</v>
      </c>
      <c r="T17" s="13">
        <f>R17*Calculation!I17/Calculation!K16</f>
        <v>29.576691666824271</v>
      </c>
      <c r="U17" s="13">
        <f>S17*Calculation!I17/Calculation!K16</f>
        <v>0.20837788500151724</v>
      </c>
    </row>
    <row r="18" spans="4:21">
      <c r="D18" s="16">
        <v>14</v>
      </c>
      <c r="E18" s="128">
        <v>19.333333333333332</v>
      </c>
      <c r="F18" s="52">
        <v>36.005032563647134</v>
      </c>
      <c r="G18" s="52">
        <v>0.2465084347709659</v>
      </c>
      <c r="H18" s="13">
        <f>F18*Calculation!I18/Calculation!K17</f>
        <v>36.202212433892008</v>
      </c>
      <c r="I18" s="13">
        <f>G18*Calculation!I18/Calculation!K17</f>
        <v>0.247858426639366</v>
      </c>
      <c r="J18" s="13">
        <v>5.224985198342214</v>
      </c>
      <c r="K18" s="13">
        <v>6.4093058302578405E-3</v>
      </c>
      <c r="L18" s="13">
        <f>J18*Calculation!I18/Calculation!K17</f>
        <v>5.2535995844455803</v>
      </c>
      <c r="M18" s="13">
        <f>K18*Calculation!I18/Calculation!K17</f>
        <v>6.4444060926929841E-3</v>
      </c>
      <c r="N18" s="13">
        <v>19.71690258118235</v>
      </c>
      <c r="O18" s="13">
        <v>0.38156333846426604</v>
      </c>
      <c r="P18" s="13">
        <f>N18*Calculation!I18/Calculation!K17</f>
        <v>19.824881272375471</v>
      </c>
      <c r="Q18" s="13">
        <f>O18*Calculation!I18/Calculation!K17</f>
        <v>0.38365295217133838</v>
      </c>
      <c r="R18" s="13">
        <v>27.713809834166124</v>
      </c>
      <c r="S18" s="13">
        <v>0.2628032053244117</v>
      </c>
      <c r="T18" s="13">
        <f>R18*Calculation!I18/Calculation!K17</f>
        <v>27.865583212441283</v>
      </c>
      <c r="U18" s="13">
        <f>S18*Calculation!I18/Calculation!K17</f>
        <v>0.26424243473863873</v>
      </c>
    </row>
    <row r="19" spans="4:21">
      <c r="D19" s="16">
        <v>15</v>
      </c>
      <c r="E19" s="128">
        <v>24.166666666666668</v>
      </c>
      <c r="F19" s="52">
        <v>34.822750148016581</v>
      </c>
      <c r="G19" s="52">
        <v>0.24234889715563948</v>
      </c>
      <c r="H19" s="13">
        <f>F19*Calculation!I19/Calculation!K18</f>
        <v>35.269964134192307</v>
      </c>
      <c r="I19" s="13">
        <f>G19*Calculation!I19/Calculation!K18</f>
        <v>0.24546128247505219</v>
      </c>
      <c r="J19" s="13">
        <v>6.246299585553583</v>
      </c>
      <c r="K19" s="13">
        <v>4.202862896536548E-2</v>
      </c>
      <c r="L19" s="13">
        <f>J19*Calculation!I19/Calculation!K18</f>
        <v>6.3265181933496226</v>
      </c>
      <c r="M19" s="13">
        <f>K19*Calculation!I19/Calculation!K18</f>
        <v>4.2568385033258126E-2</v>
      </c>
      <c r="N19" s="13">
        <v>20.277546489036915</v>
      </c>
      <c r="O19" s="13">
        <v>0.50189123841313199</v>
      </c>
      <c r="P19" s="13">
        <f>N19*Calculation!I19/Calculation!K18</f>
        <v>20.537962520415252</v>
      </c>
      <c r="Q19" s="13">
        <f>O19*Calculation!I19/Calculation!K18</f>
        <v>0.50833681724890323</v>
      </c>
      <c r="R19" s="13">
        <v>22.572235498587876</v>
      </c>
      <c r="S19" s="13">
        <v>0.15666092876228516</v>
      </c>
      <c r="T19" s="13">
        <f>R19*Calculation!I19/Calculation!K18</f>
        <v>22.862121259227482</v>
      </c>
      <c r="U19" s="13">
        <f>S19*Calculation!I19/Calculation!K18</f>
        <v>0.15867285941486065</v>
      </c>
    </row>
    <row r="20" spans="4:21">
      <c r="D20" s="16">
        <v>16</v>
      </c>
      <c r="E20" s="128">
        <v>30.166666666666668</v>
      </c>
      <c r="F20" s="52">
        <v>33.901346950858496</v>
      </c>
      <c r="G20" s="52">
        <v>0.26089890078555922</v>
      </c>
      <c r="H20" s="13">
        <f>F20*Calculation!I21/Calculation!K19</f>
        <v>33.450618638909404</v>
      </c>
      <c r="I20" s="13">
        <f>G20*Calculation!I21/Calculation!K19</f>
        <v>0.2574301736783175</v>
      </c>
      <c r="J20" s="13">
        <v>6.8568679692125514</v>
      </c>
      <c r="K20" s="13">
        <v>3.8986285349514316E-2</v>
      </c>
      <c r="L20" s="13">
        <f>J20*Calculation!I21/Calculation!K19</f>
        <v>6.7657039063362019</v>
      </c>
      <c r="M20" s="13">
        <f>K20*Calculation!I21/Calculation!K19</f>
        <v>3.8467951295996498E-2</v>
      </c>
      <c r="N20" s="13">
        <v>20.660560643907854</v>
      </c>
      <c r="O20" s="13">
        <v>0.6173522400349476</v>
      </c>
      <c r="P20" s="13">
        <f>N20*Calculation!I21/Calculation!K19</f>
        <v>20.385872454189339</v>
      </c>
      <c r="Q20" s="13">
        <f>O20*Calculation!I21/Calculation!K19</f>
        <v>0.6091443616449741</v>
      </c>
      <c r="R20" s="13">
        <v>16.119921790136868</v>
      </c>
      <c r="S20" s="13">
        <v>0.13214778471210567</v>
      </c>
      <c r="T20" s="13">
        <f>R20*Calculation!I21/Calculation!K19</f>
        <v>15.905602720521381</v>
      </c>
      <c r="U20" s="13">
        <f>S20*Calculation!I21/Calculation!K19</f>
        <v>0.13039084130754305</v>
      </c>
    </row>
    <row r="21" spans="4:21">
      <c r="D21" s="16">
        <v>17</v>
      </c>
      <c r="E21" s="128">
        <v>48.166666666666664</v>
      </c>
      <c r="F21" s="52">
        <v>32.617303137951446</v>
      </c>
      <c r="G21" s="52">
        <v>0.28151740437285777</v>
      </c>
      <c r="H21" s="13">
        <f>F21*Calculation!I21/Calculation!K20</f>
        <v>34.101877153511836</v>
      </c>
      <c r="I21" s="13">
        <f>G21*Calculation!I21/Calculation!K20</f>
        <v>0.29433064713828033</v>
      </c>
      <c r="J21" s="13">
        <v>7.9484902309058629</v>
      </c>
      <c r="K21" s="13">
        <v>4.8389197863462227E-2</v>
      </c>
      <c r="L21" s="13">
        <f>J21*Calculation!I21/Calculation!K20</f>
        <v>8.3102651455832373</v>
      </c>
      <c r="M21" s="13">
        <f>K21*Calculation!I21/Calculation!K20</f>
        <v>5.0591628440817993E-2</v>
      </c>
      <c r="N21" s="13">
        <v>20.632805995004162</v>
      </c>
      <c r="O21" s="13">
        <v>0.87787213009806486</v>
      </c>
      <c r="P21" s="13">
        <f>N21*Calculation!I21/Calculation!K20</f>
        <v>21.571906555180199</v>
      </c>
      <c r="Q21" s="13">
        <f>O21*Calculation!I21/Calculation!K20</f>
        <v>0.9178284118242459</v>
      </c>
      <c r="R21" s="13">
        <v>2.491128973857629</v>
      </c>
      <c r="S21" s="13">
        <v>0.14787875919083307</v>
      </c>
      <c r="T21" s="13">
        <f>R21*Calculation!I21/Calculation!K20</f>
        <v>2.604512515358814</v>
      </c>
      <c r="U21" s="13">
        <f>S21*Calculation!I21/Calculation!K20</f>
        <v>0.1546094494143477</v>
      </c>
    </row>
    <row r="24" spans="4:21">
      <c r="D24" s="159" t="s">
        <v>4</v>
      </c>
      <c r="E24" s="159" t="s">
        <v>60</v>
      </c>
      <c r="F24" s="138" t="s">
        <v>44</v>
      </c>
      <c r="G24" s="138"/>
      <c r="H24" s="138"/>
      <c r="I24" s="138"/>
      <c r="J24" s="138" t="s">
        <v>66</v>
      </c>
      <c r="K24" s="138"/>
      <c r="L24" s="138"/>
      <c r="M24" s="138"/>
      <c r="N24" s="160" t="s">
        <v>67</v>
      </c>
      <c r="O24" s="136"/>
      <c r="P24" s="136"/>
      <c r="Q24" s="161"/>
    </row>
    <row r="25" spans="4:21">
      <c r="D25" s="159"/>
      <c r="E25" s="159"/>
      <c r="F25" s="20" t="s">
        <v>48</v>
      </c>
      <c r="G25" s="20" t="s">
        <v>23</v>
      </c>
      <c r="H25" s="20" t="s">
        <v>48</v>
      </c>
      <c r="I25" s="20" t="s">
        <v>23</v>
      </c>
      <c r="J25" s="20" t="s">
        <v>48</v>
      </c>
      <c r="K25" s="20" t="s">
        <v>23</v>
      </c>
      <c r="L25" s="20" t="s">
        <v>48</v>
      </c>
      <c r="M25" s="20" t="s">
        <v>23</v>
      </c>
      <c r="N25" s="20" t="s">
        <v>48</v>
      </c>
      <c r="O25" s="20" t="s">
        <v>23</v>
      </c>
      <c r="P25" s="20" t="s">
        <v>48</v>
      </c>
      <c r="Q25" s="20" t="s">
        <v>23</v>
      </c>
    </row>
    <row r="26" spans="4:21">
      <c r="D26" s="16">
        <v>0</v>
      </c>
      <c r="E26" s="127">
        <v>-0.16666666666666666</v>
      </c>
      <c r="F26" s="13">
        <v>0</v>
      </c>
      <c r="G26" s="13">
        <v>0</v>
      </c>
      <c r="H26" s="13">
        <f>F26*Calculation!I3/Calculation!F23</f>
        <v>0</v>
      </c>
      <c r="I26" s="13">
        <f>G26*Calculation!I3/Calculation!F23</f>
        <v>0</v>
      </c>
      <c r="J26" s="13">
        <v>0</v>
      </c>
      <c r="K26" s="13">
        <v>0</v>
      </c>
      <c r="L26" s="13">
        <f>J26*Calculation!I3/Calculation!F23</f>
        <v>0</v>
      </c>
      <c r="M26" s="13">
        <f>K26*Calculation!I3/Calculation!F23</f>
        <v>0</v>
      </c>
      <c r="N26" s="13">
        <v>0</v>
      </c>
      <c r="O26" s="13">
        <v>0</v>
      </c>
      <c r="P26" s="13">
        <f>N26*Calculation!I3/Calculation!F23</f>
        <v>0</v>
      </c>
      <c r="Q26" s="13">
        <f>O26*Calculation!I3/Calculation!F23</f>
        <v>0</v>
      </c>
    </row>
    <row r="27" spans="4:21">
      <c r="D27" s="16">
        <v>0</v>
      </c>
      <c r="E27" s="128">
        <v>0.16666666666666666</v>
      </c>
      <c r="F27" s="13">
        <v>0</v>
      </c>
      <c r="G27" s="13">
        <v>0</v>
      </c>
      <c r="H27" s="13">
        <f>F27*Calculation!I4/Calculation!K3</f>
        <v>0</v>
      </c>
      <c r="I27" s="13">
        <f>G27*Calculation!I4/Calculation!K3</f>
        <v>0</v>
      </c>
      <c r="J27" s="13">
        <v>0</v>
      </c>
      <c r="K27" s="13">
        <v>0</v>
      </c>
      <c r="L27" s="13">
        <f>J27*Calculation!I4/Calculation!K3</f>
        <v>0</v>
      </c>
      <c r="M27" s="13">
        <f>K27*Calculation!I4/Calculation!K3</f>
        <v>0</v>
      </c>
      <c r="N27" s="13">
        <v>0</v>
      </c>
      <c r="O27" s="13">
        <v>0</v>
      </c>
      <c r="P27" s="13">
        <f>N27*Calculation!I4/Calculation!K3</f>
        <v>0</v>
      </c>
      <c r="Q27" s="13">
        <f>O27*Calculation!I4/Calculation!K3</f>
        <v>0</v>
      </c>
    </row>
    <row r="28" spans="4:21">
      <c r="D28" s="16">
        <v>1</v>
      </c>
      <c r="E28" s="128">
        <v>2</v>
      </c>
      <c r="F28" s="13">
        <v>0</v>
      </c>
      <c r="G28" s="13">
        <v>0</v>
      </c>
      <c r="H28" s="13">
        <f>F28*Calculation!I5/Calculation!K4</f>
        <v>0</v>
      </c>
      <c r="I28" s="13">
        <f>G28*Calculation!I5/Calculation!K4</f>
        <v>0</v>
      </c>
      <c r="J28" s="13">
        <v>0</v>
      </c>
      <c r="K28" s="13">
        <v>0</v>
      </c>
      <c r="L28" s="13">
        <f>J28*Calculation!I5/Calculation!K4</f>
        <v>0</v>
      </c>
      <c r="M28" s="13">
        <f>K28*Calculation!I5/Calculation!K4</f>
        <v>0</v>
      </c>
      <c r="N28" s="13">
        <v>0</v>
      </c>
      <c r="O28" s="13">
        <v>0</v>
      </c>
      <c r="P28" s="13">
        <f>N28*Calculation!I5/Calculation!K4</f>
        <v>0</v>
      </c>
      <c r="Q28" s="13">
        <f>O28*Calculation!I5/Calculation!K4</f>
        <v>0</v>
      </c>
    </row>
    <row r="29" spans="4:21">
      <c r="D29" s="16">
        <v>2</v>
      </c>
      <c r="E29" s="128">
        <v>3.3333333333333335</v>
      </c>
      <c r="F29" s="13">
        <v>0</v>
      </c>
      <c r="G29" s="13">
        <v>0</v>
      </c>
      <c r="H29" s="13">
        <f>F29*Calculation!I6/Calculation!K5</f>
        <v>0</v>
      </c>
      <c r="I29" s="13">
        <f>G29*Calculation!I6/Calculation!K5</f>
        <v>0</v>
      </c>
      <c r="J29" s="13">
        <v>0</v>
      </c>
      <c r="K29" s="13">
        <v>0</v>
      </c>
      <c r="L29" s="13">
        <f>J29*Calculation!I6/Calculation!K5</f>
        <v>0</v>
      </c>
      <c r="M29" s="13">
        <f>K29*Calculation!I6/Calculation!K5</f>
        <v>0</v>
      </c>
      <c r="N29" s="13">
        <v>0</v>
      </c>
      <c r="O29" s="13">
        <v>0</v>
      </c>
      <c r="P29" s="13">
        <f>N29*Calculation!I6/Calculation!K5</f>
        <v>0</v>
      </c>
      <c r="Q29" s="13">
        <f>O29*Calculation!I6/Calculation!K5</f>
        <v>0</v>
      </c>
    </row>
    <row r="30" spans="4:21">
      <c r="D30" s="16">
        <v>3</v>
      </c>
      <c r="E30" s="128">
        <v>4.666666666666667</v>
      </c>
      <c r="F30" s="13">
        <v>0</v>
      </c>
      <c r="G30" s="13">
        <v>0</v>
      </c>
      <c r="H30" s="13">
        <f>F30*Calculation!I7/Calculation!K6</f>
        <v>0</v>
      </c>
      <c r="I30" s="13">
        <f>G30*Calculation!I7/Calculation!K6</f>
        <v>0</v>
      </c>
      <c r="J30" s="13">
        <v>0</v>
      </c>
      <c r="K30" s="13">
        <v>0</v>
      </c>
      <c r="L30" s="13">
        <f>J30*Calculation!I7/Calculation!K6</f>
        <v>0</v>
      </c>
      <c r="M30" s="13">
        <f>K30*Calculation!I7/Calculation!K6</f>
        <v>0</v>
      </c>
      <c r="N30" s="13">
        <v>0</v>
      </c>
      <c r="O30" s="13">
        <v>0</v>
      </c>
      <c r="P30" s="13">
        <f>N30*Calculation!I7/Calculation!K6</f>
        <v>0</v>
      </c>
      <c r="Q30" s="13">
        <f>O30*Calculation!I7/Calculation!K6</f>
        <v>0</v>
      </c>
    </row>
    <row r="31" spans="4:21">
      <c r="D31" s="16">
        <v>4</v>
      </c>
      <c r="E31" s="128">
        <v>6</v>
      </c>
      <c r="F31" s="13">
        <v>0</v>
      </c>
      <c r="G31" s="13">
        <v>0</v>
      </c>
      <c r="H31" s="13">
        <f>F31*Calculation!I8/Calculation!K7</f>
        <v>0</v>
      </c>
      <c r="I31" s="13">
        <f>G31*Calculation!I8/Calculation!K7</f>
        <v>0</v>
      </c>
      <c r="J31" s="13">
        <v>0</v>
      </c>
      <c r="K31" s="13">
        <v>0</v>
      </c>
      <c r="L31" s="13">
        <f>J31*Calculation!I8/Calculation!K7</f>
        <v>0</v>
      </c>
      <c r="M31" s="13">
        <f>K31*Calculation!I8/Calculation!K7</f>
        <v>0</v>
      </c>
      <c r="N31" s="13">
        <v>0</v>
      </c>
      <c r="O31" s="13">
        <v>0</v>
      </c>
      <c r="P31" s="13">
        <f>N31*Calculation!I8/Calculation!K7</f>
        <v>0</v>
      </c>
      <c r="Q31" s="13">
        <f>O31*Calculation!I8/Calculation!K7</f>
        <v>0</v>
      </c>
    </row>
    <row r="32" spans="4:21">
      <c r="D32" s="16">
        <v>5</v>
      </c>
      <c r="E32" s="128">
        <v>7.333333333333333</v>
      </c>
      <c r="F32" s="13">
        <v>0</v>
      </c>
      <c r="G32" s="13">
        <v>0</v>
      </c>
      <c r="H32" s="13">
        <f>F32*Calculation!I9/Calculation!K8</f>
        <v>0</v>
      </c>
      <c r="I32" s="13">
        <f>G32*Calculation!I9/Calculation!K8</f>
        <v>0</v>
      </c>
      <c r="J32" s="13">
        <v>0</v>
      </c>
      <c r="K32" s="13">
        <v>0</v>
      </c>
      <c r="L32" s="13">
        <f>J32*Calculation!I9/Calculation!K8</f>
        <v>0</v>
      </c>
      <c r="M32" s="13">
        <f>K32*Calculation!I9/Calculation!K8</f>
        <v>0</v>
      </c>
      <c r="N32" s="13">
        <v>0</v>
      </c>
      <c r="O32" s="13">
        <v>0</v>
      </c>
      <c r="P32" s="13">
        <f>N32*Calculation!I9/Calculation!K8</f>
        <v>0</v>
      </c>
      <c r="Q32" s="13">
        <f>O32*Calculation!I9/Calculation!K8</f>
        <v>0</v>
      </c>
    </row>
    <row r="33" spans="4:17">
      <c r="D33" s="16">
        <v>6</v>
      </c>
      <c r="E33" s="128">
        <v>8.6666666666666661</v>
      </c>
      <c r="F33" s="13">
        <v>0</v>
      </c>
      <c r="G33" s="13">
        <v>0</v>
      </c>
      <c r="H33" s="13">
        <f>F33*Calculation!I10/Calculation!K9</f>
        <v>0</v>
      </c>
      <c r="I33" s="13">
        <f>G33*Calculation!I10/Calculation!K9</f>
        <v>0</v>
      </c>
      <c r="J33" s="13">
        <v>0</v>
      </c>
      <c r="K33" s="13">
        <v>0</v>
      </c>
      <c r="L33" s="13">
        <f>J33*Calculation!I10/Calculation!K9</f>
        <v>0</v>
      </c>
      <c r="M33" s="13">
        <f>K33*Calculation!I10/Calculation!K9</f>
        <v>0</v>
      </c>
      <c r="N33" s="13">
        <v>0</v>
      </c>
      <c r="O33" s="13">
        <v>0</v>
      </c>
      <c r="P33" s="13">
        <f>N33*Calculation!I10/Calculation!K9</f>
        <v>0</v>
      </c>
      <c r="Q33" s="13">
        <f>O33*Calculation!I10/Calculation!K9</f>
        <v>0</v>
      </c>
    </row>
    <row r="34" spans="4:17">
      <c r="D34" s="16">
        <v>7</v>
      </c>
      <c r="E34" s="128">
        <v>10</v>
      </c>
      <c r="F34" s="13">
        <v>0</v>
      </c>
      <c r="G34" s="13">
        <v>0</v>
      </c>
      <c r="H34" s="13">
        <f>F34*Calculation!I11/Calculation!K10</f>
        <v>0</v>
      </c>
      <c r="I34" s="13">
        <f>G34*Calculation!I11/Calculation!K10</f>
        <v>0</v>
      </c>
      <c r="J34" s="13">
        <v>0</v>
      </c>
      <c r="K34" s="13">
        <v>0</v>
      </c>
      <c r="L34" s="13">
        <f>J34*Calculation!I11/Calculation!K10</f>
        <v>0</v>
      </c>
      <c r="M34" s="13">
        <f>K34*Calculation!I11/Calculation!K10</f>
        <v>0</v>
      </c>
      <c r="N34" s="13">
        <v>0</v>
      </c>
      <c r="O34" s="13">
        <v>0</v>
      </c>
      <c r="P34" s="13">
        <f>N34*Calculation!I11/Calculation!K10</f>
        <v>0</v>
      </c>
      <c r="Q34" s="13">
        <f>O34*Calculation!I11/Calculation!K10</f>
        <v>0</v>
      </c>
    </row>
    <row r="35" spans="4:17">
      <c r="D35" s="16">
        <v>8</v>
      </c>
      <c r="E35" s="128">
        <v>11.333333333333334</v>
      </c>
      <c r="F35" s="13">
        <v>0</v>
      </c>
      <c r="G35" s="13">
        <v>0</v>
      </c>
      <c r="H35" s="13">
        <f>F35*Calculation!I12/Calculation!K11</f>
        <v>0</v>
      </c>
      <c r="I35" s="13">
        <f>G35*Calculation!I12/Calculation!K11</f>
        <v>0</v>
      </c>
      <c r="J35" s="13">
        <v>0</v>
      </c>
      <c r="K35" s="13">
        <v>0</v>
      </c>
      <c r="L35" s="13">
        <f>J35*Calculation!I12/Calculation!K11</f>
        <v>0</v>
      </c>
      <c r="M35" s="13">
        <f>K35*Calculation!I12/Calculation!K11</f>
        <v>0</v>
      </c>
      <c r="N35" s="13">
        <v>0</v>
      </c>
      <c r="O35" s="13">
        <v>0</v>
      </c>
      <c r="P35" s="13">
        <f>N35*Calculation!I12/Calculation!K11</f>
        <v>0</v>
      </c>
      <c r="Q35" s="13">
        <f>O35*Calculation!I12/Calculation!K11</f>
        <v>0</v>
      </c>
    </row>
    <row r="36" spans="4:17">
      <c r="D36" s="16">
        <v>9</v>
      </c>
      <c r="E36" s="128">
        <v>12.666666666666666</v>
      </c>
      <c r="F36" s="13">
        <v>0</v>
      </c>
      <c r="G36" s="13">
        <v>0</v>
      </c>
      <c r="H36" s="13">
        <f>F36*Calculation!I13/Calculation!K12</f>
        <v>0</v>
      </c>
      <c r="I36" s="13">
        <f>G36*Calculation!I13/Calculation!K12</f>
        <v>0</v>
      </c>
      <c r="J36" s="13">
        <v>0</v>
      </c>
      <c r="K36" s="13">
        <v>0</v>
      </c>
      <c r="L36" s="13">
        <f>J36*Calculation!I13/Calculation!K12</f>
        <v>0</v>
      </c>
      <c r="M36" s="13">
        <f>K36*Calculation!I13/Calculation!K12</f>
        <v>0</v>
      </c>
      <c r="N36" s="13">
        <v>0</v>
      </c>
      <c r="O36" s="13">
        <v>0</v>
      </c>
      <c r="P36" s="13">
        <f>N36*Calculation!I13/Calculation!K12</f>
        <v>0</v>
      </c>
      <c r="Q36" s="13">
        <f>O36*Calculation!I13/Calculation!K12</f>
        <v>0</v>
      </c>
    </row>
    <row r="37" spans="4:17">
      <c r="D37" s="16">
        <v>10</v>
      </c>
      <c r="E37" s="128">
        <v>14</v>
      </c>
      <c r="F37" s="13">
        <v>0</v>
      </c>
      <c r="G37" s="13">
        <v>0</v>
      </c>
      <c r="H37" s="13">
        <f>F37*Calculation!I14/Calculation!K13</f>
        <v>0</v>
      </c>
      <c r="I37" s="13">
        <f>G37*Calculation!I14/Calculation!K13</f>
        <v>0</v>
      </c>
      <c r="J37" s="13">
        <v>0</v>
      </c>
      <c r="K37" s="13">
        <v>0</v>
      </c>
      <c r="L37" s="13">
        <f>J37*Calculation!I14/Calculation!K13</f>
        <v>0</v>
      </c>
      <c r="M37" s="13">
        <f>K37*Calculation!I14/Calculation!K13</f>
        <v>0</v>
      </c>
      <c r="N37" s="13">
        <v>0</v>
      </c>
      <c r="O37" s="13">
        <v>0</v>
      </c>
      <c r="P37" s="13">
        <f>N37*Calculation!I14/Calculation!K13</f>
        <v>0</v>
      </c>
      <c r="Q37" s="13">
        <f>O37*Calculation!I14/Calculation!K13</f>
        <v>0</v>
      </c>
    </row>
    <row r="38" spans="4:17">
      <c r="D38" s="16">
        <v>11</v>
      </c>
      <c r="E38" s="128">
        <v>15.333333333333334</v>
      </c>
      <c r="F38" s="13">
        <v>0</v>
      </c>
      <c r="G38" s="13">
        <v>0</v>
      </c>
      <c r="H38" s="13">
        <f>F38*Calculation!I15/Calculation!K14</f>
        <v>0</v>
      </c>
      <c r="I38" s="13">
        <f>G38*Calculation!I15/Calculation!K14</f>
        <v>0</v>
      </c>
      <c r="J38" s="13">
        <v>0</v>
      </c>
      <c r="K38" s="13">
        <v>0</v>
      </c>
      <c r="L38" s="13">
        <f>J38*Calculation!I15/Calculation!K14</f>
        <v>0</v>
      </c>
      <c r="M38" s="13">
        <f>K38*Calculation!I15/Calculation!K14</f>
        <v>0</v>
      </c>
      <c r="N38" s="13">
        <v>0</v>
      </c>
      <c r="O38" s="13">
        <v>0</v>
      </c>
      <c r="P38" s="13">
        <f>N38*Calculation!I15/Calculation!K14</f>
        <v>0</v>
      </c>
      <c r="Q38" s="13">
        <f>O38*Calculation!I15/Calculation!K14</f>
        <v>0</v>
      </c>
    </row>
    <row r="39" spans="4:17">
      <c r="D39" s="16">
        <v>12</v>
      </c>
      <c r="E39" s="128">
        <v>16.666666666666668</v>
      </c>
      <c r="F39" s="13">
        <v>0</v>
      </c>
      <c r="G39" s="13">
        <v>0</v>
      </c>
      <c r="H39" s="13">
        <f>F39*Calculation!I16/Calculation!K15</f>
        <v>0</v>
      </c>
      <c r="I39" s="13">
        <f>G39*Calculation!I16/Calculation!K15</f>
        <v>0</v>
      </c>
      <c r="J39" s="13">
        <v>0</v>
      </c>
      <c r="K39" s="13">
        <v>0</v>
      </c>
      <c r="L39" s="13">
        <f>J39*Calculation!I16/Calculation!K15</f>
        <v>0</v>
      </c>
      <c r="M39" s="13">
        <f>K39*Calculation!I16/Calculation!K15</f>
        <v>0</v>
      </c>
      <c r="N39" s="13">
        <v>0</v>
      </c>
      <c r="O39" s="13">
        <v>0</v>
      </c>
      <c r="P39" s="13">
        <f>N39*Calculation!I16/Calculation!K15</f>
        <v>0</v>
      </c>
      <c r="Q39" s="13">
        <f>O39*Calculation!I16/Calculation!K15</f>
        <v>0</v>
      </c>
    </row>
    <row r="40" spans="4:17">
      <c r="D40" s="16">
        <v>13</v>
      </c>
      <c r="E40" s="128">
        <v>18</v>
      </c>
      <c r="F40" s="13">
        <v>0</v>
      </c>
      <c r="G40" s="13">
        <v>0</v>
      </c>
      <c r="H40" s="13">
        <f>F40*Calculation!I17/Calculation!K16</f>
        <v>0</v>
      </c>
      <c r="I40" s="13">
        <f>G40*Calculation!I17/Calculation!K16</f>
        <v>0</v>
      </c>
      <c r="J40" s="13">
        <v>0</v>
      </c>
      <c r="K40" s="13">
        <v>0</v>
      </c>
      <c r="L40" s="13">
        <f>J40*Calculation!I17/Calculation!K16</f>
        <v>0</v>
      </c>
      <c r="M40" s="13">
        <f>K40*Calculation!I17/Calculation!K16</f>
        <v>0</v>
      </c>
      <c r="N40" s="13">
        <v>0</v>
      </c>
      <c r="O40" s="13">
        <v>0</v>
      </c>
      <c r="P40" s="13">
        <f>N40*Calculation!I17/Calculation!K16</f>
        <v>0</v>
      </c>
      <c r="Q40" s="13">
        <f>O40*Calculation!I17/Calculation!K16</f>
        <v>0</v>
      </c>
    </row>
    <row r="41" spans="4:17">
      <c r="D41" s="16">
        <v>14</v>
      </c>
      <c r="E41" s="128">
        <v>19.333333333333332</v>
      </c>
      <c r="F41" s="13">
        <v>0</v>
      </c>
      <c r="G41" s="13">
        <v>0</v>
      </c>
      <c r="H41" s="13">
        <f>F41*Calculation!I18/Calculation!K17</f>
        <v>0</v>
      </c>
      <c r="I41" s="13">
        <f>G41*Calculation!I18/Calculation!K17</f>
        <v>0</v>
      </c>
      <c r="J41" s="13">
        <v>0</v>
      </c>
      <c r="K41" s="13">
        <v>0</v>
      </c>
      <c r="L41" s="13">
        <f>J41*Calculation!I18/Calculation!K17</f>
        <v>0</v>
      </c>
      <c r="M41" s="13">
        <f>K41*Calculation!I18/Calculation!K17</f>
        <v>0</v>
      </c>
      <c r="N41" s="13">
        <v>0</v>
      </c>
      <c r="O41" s="13">
        <v>0</v>
      </c>
      <c r="P41" s="13">
        <f>N41*Calculation!I18/Calculation!K17</f>
        <v>0</v>
      </c>
      <c r="Q41" s="13">
        <f>O41*Calculation!I18/Calculation!K17</f>
        <v>0</v>
      </c>
    </row>
    <row r="42" spans="4:17">
      <c r="D42" s="16">
        <v>15</v>
      </c>
      <c r="E42" s="128">
        <v>24.166666666666668</v>
      </c>
      <c r="F42" s="13">
        <v>0</v>
      </c>
      <c r="G42" s="13">
        <v>0</v>
      </c>
      <c r="H42" s="13">
        <f>F42*Calculation!I19/Calculation!K18</f>
        <v>0</v>
      </c>
      <c r="I42" s="13">
        <f>G42*Calculation!I19/Calculation!K18</f>
        <v>0</v>
      </c>
      <c r="J42" s="13">
        <v>0</v>
      </c>
      <c r="K42" s="13">
        <v>0</v>
      </c>
      <c r="L42" s="13">
        <f>J42*Calculation!I19/Calculation!K18</f>
        <v>0</v>
      </c>
      <c r="M42" s="13">
        <f>K42*Calculation!I19/Calculation!K18</f>
        <v>0</v>
      </c>
      <c r="N42" s="13">
        <v>0</v>
      </c>
      <c r="O42" s="13">
        <v>0</v>
      </c>
      <c r="P42" s="13">
        <f>N42*Calculation!I19/Calculation!K18</f>
        <v>0</v>
      </c>
      <c r="Q42" s="13">
        <f>O42*Calculation!I19/Calculation!K18</f>
        <v>0</v>
      </c>
    </row>
    <row r="43" spans="4:17">
      <c r="D43" s="16">
        <v>16</v>
      </c>
      <c r="E43" s="128">
        <v>30.166666666666668</v>
      </c>
      <c r="F43" s="13">
        <v>0</v>
      </c>
      <c r="G43" s="13">
        <v>0</v>
      </c>
      <c r="H43" s="13">
        <f>F43*Calculation!I21/Calculation!K19</f>
        <v>0</v>
      </c>
      <c r="I43" s="13">
        <f>G43*Calculation!I21/Calculation!K19</f>
        <v>0</v>
      </c>
      <c r="J43" s="13">
        <v>0</v>
      </c>
      <c r="K43" s="13">
        <v>0</v>
      </c>
      <c r="L43" s="13">
        <f>J43*Calculation!I21/Calculation!K19</f>
        <v>0</v>
      </c>
      <c r="M43" s="13">
        <f>K43*Calculation!I21/Calculation!K19</f>
        <v>0</v>
      </c>
      <c r="N43" s="13">
        <v>0</v>
      </c>
      <c r="O43" s="13">
        <v>0</v>
      </c>
      <c r="P43" s="13">
        <f>N43*Calculation!I21/Calculation!K19</f>
        <v>0</v>
      </c>
      <c r="Q43" s="13">
        <f>O43*Calculation!I21/Calculation!K19</f>
        <v>0</v>
      </c>
    </row>
    <row r="44" spans="4:17">
      <c r="D44" s="16">
        <v>17</v>
      </c>
      <c r="E44" s="128">
        <v>48.166666666666664</v>
      </c>
      <c r="F44" s="13">
        <v>0</v>
      </c>
      <c r="G44" s="13">
        <v>0</v>
      </c>
      <c r="H44" s="13">
        <f>F44*Calculation!I22/Calculation!K20</f>
        <v>0</v>
      </c>
      <c r="I44" s="13">
        <f>G44*Calculation!I22/Calculation!K20</f>
        <v>0</v>
      </c>
      <c r="J44" s="13">
        <v>0</v>
      </c>
      <c r="K44" s="13">
        <v>0</v>
      </c>
      <c r="L44" s="13">
        <f>J44*Calculation!I22/Calculation!K20</f>
        <v>0</v>
      </c>
      <c r="M44" s="13">
        <f>K44*Calculation!I22/Calculation!K20</f>
        <v>0</v>
      </c>
      <c r="N44" s="13">
        <v>0</v>
      </c>
      <c r="O44" s="13">
        <v>0</v>
      </c>
      <c r="P44" s="13">
        <f>N44*Calculation!I22/Calculation!K20</f>
        <v>0</v>
      </c>
      <c r="Q44" s="13">
        <f>O44*Calculation!I22/Calculation!K20</f>
        <v>0</v>
      </c>
    </row>
  </sheetData>
  <mergeCells count="14">
    <mergeCell ref="F24:I24"/>
    <mergeCell ref="J24:M24"/>
    <mergeCell ref="N24:Q24"/>
    <mergeCell ref="N1:Q1"/>
    <mergeCell ref="A1:B1"/>
    <mergeCell ref="A2:B2"/>
    <mergeCell ref="A3:A4"/>
    <mergeCell ref="D24:D25"/>
    <mergeCell ref="E24:E25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2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145</v>
      </c>
      <c r="B2" s="17">
        <v>180.16</v>
      </c>
    </row>
    <row r="4" spans="1:8">
      <c r="A4" s="162" t="s">
        <v>146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5</v>
      </c>
      <c r="C6" s="28" t="s">
        <v>19</v>
      </c>
      <c r="D6" s="167"/>
      <c r="E6" s="167"/>
      <c r="F6" s="167"/>
      <c r="G6" s="169"/>
      <c r="H6" s="169"/>
    </row>
    <row r="7" spans="1:8">
      <c r="A7" s="16">
        <v>0</v>
      </c>
      <c r="B7" s="127">
        <v>-0.16666666666666666</v>
      </c>
      <c r="C7" s="16">
        <v>1</v>
      </c>
      <c r="D7" s="19">
        <v>8.5050000000000008</v>
      </c>
      <c r="E7" s="19">
        <v>8.83</v>
      </c>
      <c r="F7" s="19">
        <v>8.7620000000000005</v>
      </c>
      <c r="G7" s="19">
        <f>(C7*1000*AVERAGE(D7:F7)/$B$2)</f>
        <v>48.284857904085257</v>
      </c>
      <c r="H7" s="19">
        <f>(C7*1000*STDEV(D7:F7))/$B$2</f>
        <v>0.95145815841410086</v>
      </c>
    </row>
    <row r="8" spans="1:8">
      <c r="A8" s="16">
        <v>0</v>
      </c>
      <c r="B8" s="128">
        <v>0.16666666666666666</v>
      </c>
      <c r="C8" s="16">
        <v>1</v>
      </c>
      <c r="D8" s="19">
        <v>8.8460000000000001</v>
      </c>
      <c r="E8" s="19">
        <v>8.9019999999999992</v>
      </c>
      <c r="F8" s="19">
        <v>8.9740000000000002</v>
      </c>
      <c r="G8" s="19">
        <f t="shared" ref="G8:G24" si="0">(C8*1000*AVERAGE(D8:F8)/$B$2)</f>
        <v>49.441237418590873</v>
      </c>
      <c r="H8" s="19">
        <f t="shared" ref="H8:H24" si="1">(C8*1000*STDEV(D8:F8))/$B$2</f>
        <v>0.35616368903244472</v>
      </c>
    </row>
    <row r="9" spans="1:8">
      <c r="A9" s="16">
        <v>1</v>
      </c>
      <c r="B9" s="128">
        <v>2</v>
      </c>
      <c r="C9" s="16">
        <v>1</v>
      </c>
      <c r="D9" s="19">
        <v>8.6530000000000005</v>
      </c>
      <c r="E9" s="19">
        <v>8.9890000000000008</v>
      </c>
      <c r="F9" s="19">
        <v>9.0269999999999992</v>
      </c>
      <c r="G9" s="19">
        <f t="shared" si="0"/>
        <v>49.34317643576081</v>
      </c>
      <c r="H9" s="19">
        <f t="shared" si="1"/>
        <v>1.1425295520692293</v>
      </c>
    </row>
    <row r="10" spans="1:8">
      <c r="A10" s="16">
        <v>2</v>
      </c>
      <c r="B10" s="128">
        <v>3.3333333333333335</v>
      </c>
      <c r="C10" s="16">
        <v>1</v>
      </c>
      <c r="D10" s="19">
        <v>8.4830000000000005</v>
      </c>
      <c r="E10" s="19">
        <v>8.6609999999999996</v>
      </c>
      <c r="F10" s="19">
        <v>8.5860000000000003</v>
      </c>
      <c r="G10" s="19">
        <f t="shared" si="0"/>
        <v>47.605831853167551</v>
      </c>
      <c r="H10" s="19">
        <f t="shared" si="1"/>
        <v>0.49603845167698007</v>
      </c>
    </row>
    <row r="11" spans="1:8">
      <c r="A11" s="16">
        <v>3</v>
      </c>
      <c r="B11" s="128">
        <v>4.666666666666667</v>
      </c>
      <c r="C11" s="16">
        <v>1</v>
      </c>
      <c r="D11" s="19">
        <v>8.98</v>
      </c>
      <c r="E11" s="19">
        <v>9.17</v>
      </c>
      <c r="F11" s="19">
        <v>9.1720000000000006</v>
      </c>
      <c r="G11" s="19">
        <f t="shared" si="0"/>
        <v>50.551361752516286</v>
      </c>
      <c r="H11" s="19">
        <f t="shared" si="1"/>
        <v>0.61211387370350623</v>
      </c>
    </row>
    <row r="12" spans="1:8">
      <c r="A12" s="16">
        <v>4</v>
      </c>
      <c r="B12" s="128">
        <v>6</v>
      </c>
      <c r="C12" s="16">
        <v>1</v>
      </c>
      <c r="D12" s="19">
        <v>8.8670000000000009</v>
      </c>
      <c r="E12" s="19">
        <v>9.0920000000000005</v>
      </c>
      <c r="F12" s="19">
        <v>9.1180000000000003</v>
      </c>
      <c r="G12" s="19">
        <f t="shared" si="0"/>
        <v>50.098060982830084</v>
      </c>
      <c r="H12" s="19">
        <f t="shared" si="1"/>
        <v>0.76611314915852602</v>
      </c>
    </row>
    <row r="13" spans="1:8">
      <c r="A13" s="16">
        <v>5</v>
      </c>
      <c r="B13" s="128">
        <v>7.333333333333333</v>
      </c>
      <c r="C13" s="16">
        <v>1</v>
      </c>
      <c r="D13" s="19">
        <v>8.8580000000000005</v>
      </c>
      <c r="E13" s="19">
        <v>9.1150000000000002</v>
      </c>
      <c r="F13" s="19">
        <v>9.1579999999999995</v>
      </c>
      <c r="G13" s="19">
        <f t="shared" si="0"/>
        <v>50.197972172883361</v>
      </c>
      <c r="H13" s="19">
        <f t="shared" si="1"/>
        <v>0.90043903979862172</v>
      </c>
    </row>
    <row r="14" spans="1:8">
      <c r="A14" s="16">
        <v>6</v>
      </c>
      <c r="B14" s="128">
        <v>8.6666666666666661</v>
      </c>
      <c r="C14" s="16">
        <v>1</v>
      </c>
      <c r="D14" s="19">
        <v>8.7850000000000001</v>
      </c>
      <c r="E14" s="19">
        <v>8.9849999999999994</v>
      </c>
      <c r="F14" s="19">
        <v>8.9410000000000007</v>
      </c>
      <c r="G14" s="19">
        <f t="shared" si="0"/>
        <v>49.420885139135578</v>
      </c>
      <c r="H14" s="19">
        <f t="shared" si="1"/>
        <v>0.5833524688850954</v>
      </c>
    </row>
    <row r="15" spans="1:8">
      <c r="A15" s="16">
        <v>7</v>
      </c>
      <c r="B15" s="128">
        <v>10</v>
      </c>
      <c r="C15" s="16">
        <v>1</v>
      </c>
      <c r="D15" s="19">
        <v>8.1170000000000009</v>
      </c>
      <c r="E15" s="19">
        <v>8.6859999999999999</v>
      </c>
      <c r="F15" s="19">
        <v>8.7010000000000005</v>
      </c>
      <c r="G15" s="19">
        <f t="shared" si="0"/>
        <v>47.187685020722327</v>
      </c>
      <c r="H15" s="19">
        <f t="shared" si="1"/>
        <v>1.847951370490887</v>
      </c>
    </row>
    <row r="16" spans="1:8">
      <c r="A16" s="16">
        <v>8</v>
      </c>
      <c r="B16" s="128">
        <v>11.333333333333334</v>
      </c>
      <c r="C16" s="16">
        <v>1</v>
      </c>
      <c r="D16" s="19">
        <v>8.19</v>
      </c>
      <c r="E16" s="19">
        <v>8.3109999999999999</v>
      </c>
      <c r="F16" s="19">
        <v>8.3149999999999995</v>
      </c>
      <c r="G16" s="19">
        <f t="shared" si="0"/>
        <v>45.914742451154517</v>
      </c>
      <c r="H16" s="19">
        <f t="shared" si="1"/>
        <v>0.39432860210726939</v>
      </c>
    </row>
    <row r="17" spans="1:8">
      <c r="A17" s="16">
        <v>9</v>
      </c>
      <c r="B17" s="128">
        <v>12.666666666666666</v>
      </c>
      <c r="C17" s="16">
        <v>1</v>
      </c>
      <c r="D17" s="82">
        <v>7.8029999999999999</v>
      </c>
      <c r="E17" s="82">
        <v>7.84</v>
      </c>
      <c r="F17" s="82">
        <v>7.9720000000000004</v>
      </c>
      <c r="G17" s="19">
        <f t="shared" si="0"/>
        <v>43.692643576080521</v>
      </c>
      <c r="H17" s="19">
        <f t="shared" si="1"/>
        <v>0.49311059799570572</v>
      </c>
    </row>
    <row r="18" spans="1:8">
      <c r="A18" s="16">
        <v>10</v>
      </c>
      <c r="B18" s="128">
        <v>14</v>
      </c>
      <c r="C18" s="16">
        <v>1</v>
      </c>
      <c r="D18" s="82">
        <v>7.0549999999999997</v>
      </c>
      <c r="E18" s="82">
        <v>7.3440000000000003</v>
      </c>
      <c r="F18" s="82">
        <v>7.423</v>
      </c>
      <c r="G18" s="19">
        <f t="shared" si="0"/>
        <v>40.375222024866794</v>
      </c>
      <c r="H18" s="19">
        <f t="shared" si="1"/>
        <v>1.0753174535473151</v>
      </c>
    </row>
    <row r="19" spans="1:8">
      <c r="A19" s="16">
        <v>11</v>
      </c>
      <c r="B19" s="128">
        <v>15.333333333333334</v>
      </c>
      <c r="C19" s="16">
        <v>1</v>
      </c>
      <c r="D19" s="82">
        <v>6.97</v>
      </c>
      <c r="E19" s="82">
        <v>7.024</v>
      </c>
      <c r="F19" s="82">
        <v>7.0750000000000002</v>
      </c>
      <c r="G19" s="19">
        <f t="shared" si="0"/>
        <v>38.982015985790412</v>
      </c>
      <c r="H19" s="19">
        <f t="shared" si="1"/>
        <v>0.2914472822563306</v>
      </c>
    </row>
    <row r="20" spans="1:8">
      <c r="A20" s="16">
        <v>12</v>
      </c>
      <c r="B20" s="128">
        <v>16.666666666666668</v>
      </c>
      <c r="C20" s="16">
        <v>1</v>
      </c>
      <c r="D20" s="82">
        <v>6.8019999999999996</v>
      </c>
      <c r="E20" s="82">
        <v>6.851</v>
      </c>
      <c r="F20" s="82">
        <v>6.7969999999999997</v>
      </c>
      <c r="G20" s="19">
        <f t="shared" si="0"/>
        <v>37.836737714624036</v>
      </c>
      <c r="H20" s="19">
        <f t="shared" si="1"/>
        <v>0.16562196900928625</v>
      </c>
    </row>
    <row r="21" spans="1:8">
      <c r="A21" s="16">
        <v>13</v>
      </c>
      <c r="B21" s="128">
        <v>18</v>
      </c>
      <c r="C21" s="16">
        <v>1</v>
      </c>
      <c r="D21" s="82">
        <v>6.4889999999999999</v>
      </c>
      <c r="E21" s="85">
        <v>6.5960000000000001</v>
      </c>
      <c r="F21" s="85">
        <v>6.62</v>
      </c>
      <c r="G21" s="19">
        <f>(C21*1000*AVERAGE(D21:F21)/$B$2)</f>
        <v>36.458333333333336</v>
      </c>
      <c r="H21" s="19">
        <f t="shared" si="1"/>
        <v>0.38712684726319574</v>
      </c>
    </row>
    <row r="22" spans="1:8">
      <c r="A22" s="16">
        <v>14</v>
      </c>
      <c r="B22" s="128">
        <v>19.333333333333332</v>
      </c>
      <c r="C22" s="16">
        <v>1</v>
      </c>
      <c r="D22" s="82">
        <v>6.4379999999999997</v>
      </c>
      <c r="E22" s="82">
        <v>6.4969999999999999</v>
      </c>
      <c r="F22" s="82">
        <v>6.5250000000000004</v>
      </c>
      <c r="G22" s="19">
        <f t="shared" si="0"/>
        <v>36.005032563647134</v>
      </c>
      <c r="H22" s="19">
        <f t="shared" si="1"/>
        <v>0.2465084347709659</v>
      </c>
    </row>
    <row r="23" spans="1:8">
      <c r="A23" s="16">
        <v>15</v>
      </c>
      <c r="B23" s="128">
        <v>24.166666666666668</v>
      </c>
      <c r="C23" s="16">
        <v>1</v>
      </c>
      <c r="D23" s="82">
        <v>6.2240000000000002</v>
      </c>
      <c r="E23" s="82">
        <v>6.306</v>
      </c>
      <c r="F23" s="82">
        <v>6.2910000000000004</v>
      </c>
      <c r="G23" s="19">
        <f t="shared" si="0"/>
        <v>34.822750148016581</v>
      </c>
      <c r="H23" s="19">
        <f t="shared" si="1"/>
        <v>0.24234889715563948</v>
      </c>
    </row>
    <row r="24" spans="1:8">
      <c r="A24" s="16">
        <v>16</v>
      </c>
      <c r="B24" s="128">
        <v>30.166666666666668</v>
      </c>
      <c r="C24" s="16">
        <v>1</v>
      </c>
      <c r="D24" s="82">
        <v>6.0609999999999999</v>
      </c>
      <c r="E24" s="82">
        <v>6.1070000000000002</v>
      </c>
      <c r="F24" s="82">
        <v>6.1550000000000002</v>
      </c>
      <c r="G24" s="19">
        <f t="shared" si="0"/>
        <v>33.901346950858496</v>
      </c>
      <c r="H24" s="19">
        <f t="shared" si="1"/>
        <v>0.26089890078555922</v>
      </c>
    </row>
    <row r="25" spans="1:8">
      <c r="A25" s="16">
        <v>17</v>
      </c>
      <c r="B25" s="128">
        <v>48.166666666666664</v>
      </c>
      <c r="C25" s="16">
        <v>1</v>
      </c>
      <c r="D25" s="82">
        <v>5.8179999999999996</v>
      </c>
      <c r="E25" s="82">
        <v>5.9009999999999998</v>
      </c>
      <c r="F25" s="82">
        <v>5.91</v>
      </c>
      <c r="G25" s="19">
        <f>(C25*1000*AVERAGE(D25:F25)/$B$2)</f>
        <v>32.617303137951446</v>
      </c>
      <c r="H25" s="19">
        <f t="shared" ref="H25" si="2">(C25*1000*STDEV(D25:F25))/$B$2</f>
        <v>0.28151740437285777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62" t="s">
        <v>65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60</v>
      </c>
      <c r="C6" s="28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1</v>
      </c>
      <c r="D7" s="83">
        <v>2.1480000000000001</v>
      </c>
      <c r="E7" s="83">
        <v>2.2810000000000001</v>
      </c>
      <c r="F7" s="83">
        <v>2.2519999999999998</v>
      </c>
      <c r="G7" s="16">
        <f>(C7*1000*AVERAGE(D7:F7))/$B$2</f>
        <v>48.38149033239192</v>
      </c>
      <c r="H7" s="19">
        <f t="shared" ref="H7:H24" si="0">(C7*1000*STDEV(D7:F7))/$B$2</f>
        <v>1.5193500921056569</v>
      </c>
    </row>
    <row r="8" spans="1:8">
      <c r="A8" s="65">
        <v>0</v>
      </c>
      <c r="B8" s="128">
        <v>0.16666666666666666</v>
      </c>
      <c r="C8" s="16">
        <v>1</v>
      </c>
      <c r="D8" s="83">
        <v>2.29</v>
      </c>
      <c r="E8" s="83">
        <v>2.3090000000000002</v>
      </c>
      <c r="F8" s="83">
        <v>2.3210000000000002</v>
      </c>
      <c r="G8" s="16">
        <f t="shared" ref="G8:G23" si="1">(C8*1000*AVERAGE(D8:F8))/$B$2</f>
        <v>50.112245636903467</v>
      </c>
      <c r="H8" s="19">
        <f t="shared" si="0"/>
        <v>0.33958647513052098</v>
      </c>
    </row>
    <row r="9" spans="1:8">
      <c r="A9" s="65">
        <v>1</v>
      </c>
      <c r="B9" s="128">
        <v>2</v>
      </c>
      <c r="C9" s="16">
        <v>1</v>
      </c>
      <c r="D9" s="83">
        <v>2.2229999999999999</v>
      </c>
      <c r="E9" s="83">
        <v>2.3010000000000002</v>
      </c>
      <c r="F9" s="83">
        <v>2.3069999999999999</v>
      </c>
      <c r="G9" s="16">
        <f t="shared" si="1"/>
        <v>49.467738431457732</v>
      </c>
      <c r="H9" s="19">
        <f t="shared" si="0"/>
        <v>1.018064263641973</v>
      </c>
    </row>
    <row r="10" spans="1:8">
      <c r="A10" s="65">
        <v>2</v>
      </c>
      <c r="B10" s="128">
        <v>3.3333333333333335</v>
      </c>
      <c r="C10" s="16">
        <v>1</v>
      </c>
      <c r="D10" s="83">
        <v>2.1680000000000001</v>
      </c>
      <c r="E10" s="83">
        <v>2.2029999999999998</v>
      </c>
      <c r="F10" s="83">
        <v>2.1989999999999998</v>
      </c>
      <c r="G10" s="16">
        <f t="shared" si="1"/>
        <v>47.577666739083206</v>
      </c>
      <c r="H10" s="19">
        <f t="shared" si="0"/>
        <v>0.4161903988848108</v>
      </c>
    </row>
    <row r="11" spans="1:8">
      <c r="A11" s="65">
        <v>3</v>
      </c>
      <c r="B11" s="128">
        <v>4.666666666666667</v>
      </c>
      <c r="C11" s="16">
        <v>1</v>
      </c>
      <c r="D11" s="83">
        <v>2.2589999999999999</v>
      </c>
      <c r="E11" s="83">
        <v>2.3140000000000001</v>
      </c>
      <c r="F11" s="83">
        <v>2.3210000000000002</v>
      </c>
      <c r="G11" s="16">
        <f t="shared" si="1"/>
        <v>49.923962633065393</v>
      </c>
      <c r="H11" s="19">
        <f t="shared" si="0"/>
        <v>0.73768963051704151</v>
      </c>
    </row>
    <row r="12" spans="1:8">
      <c r="A12" s="65">
        <v>4</v>
      </c>
      <c r="B12" s="128">
        <v>6</v>
      </c>
      <c r="C12" s="16">
        <v>1</v>
      </c>
      <c r="D12" s="83">
        <v>2.194</v>
      </c>
      <c r="E12" s="83">
        <v>2.2429999999999999</v>
      </c>
      <c r="F12" s="83">
        <v>2.2690000000000001</v>
      </c>
      <c r="G12" s="16">
        <f t="shared" si="1"/>
        <v>48.562531682236212</v>
      </c>
      <c r="H12" s="19">
        <f t="shared" si="0"/>
        <v>0.82735698802735069</v>
      </c>
    </row>
    <row r="13" spans="1:8">
      <c r="A13" s="65">
        <v>5</v>
      </c>
      <c r="B13" s="128">
        <v>7.333333333333333</v>
      </c>
      <c r="C13" s="16">
        <v>1</v>
      </c>
      <c r="D13" s="83">
        <v>2.157</v>
      </c>
      <c r="E13" s="83">
        <v>2.2400000000000002</v>
      </c>
      <c r="F13" s="83">
        <v>2.2210000000000001</v>
      </c>
      <c r="G13" s="16">
        <f t="shared" si="1"/>
        <v>47.925266130784273</v>
      </c>
      <c r="H13" s="19">
        <f t="shared" si="0"/>
        <v>0.94472365436276085</v>
      </c>
    </row>
    <row r="14" spans="1:8">
      <c r="A14" s="65">
        <v>6</v>
      </c>
      <c r="B14" s="128">
        <v>8.6666666666666661</v>
      </c>
      <c r="C14" s="16">
        <v>1</v>
      </c>
      <c r="D14" s="83">
        <v>2.1040000000000001</v>
      </c>
      <c r="E14" s="83">
        <v>2.1629999999999998</v>
      </c>
      <c r="F14" s="83">
        <v>2.1469999999999998</v>
      </c>
      <c r="G14" s="16">
        <f t="shared" si="1"/>
        <v>46.447968716054746</v>
      </c>
      <c r="H14" s="19">
        <f t="shared" si="0"/>
        <v>0.66287839680175009</v>
      </c>
    </row>
    <row r="15" spans="1:8">
      <c r="A15" s="65">
        <v>7</v>
      </c>
      <c r="B15" s="128">
        <v>10</v>
      </c>
      <c r="C15" s="16">
        <v>1</v>
      </c>
      <c r="D15" s="83">
        <v>1.903</v>
      </c>
      <c r="E15" s="83">
        <v>2.0209999999999999</v>
      </c>
      <c r="F15" s="83">
        <v>2.048</v>
      </c>
      <c r="G15" s="16">
        <f t="shared" si="1"/>
        <v>43.247157650807438</v>
      </c>
      <c r="H15" s="19">
        <f t="shared" si="0"/>
        <v>1.6752655218348962</v>
      </c>
    </row>
    <row r="16" spans="1:8">
      <c r="A16" s="65">
        <v>8</v>
      </c>
      <c r="B16" s="128">
        <v>11.333333333333334</v>
      </c>
      <c r="C16" s="16">
        <v>1</v>
      </c>
      <c r="D16" s="83">
        <v>1.8520000000000001</v>
      </c>
      <c r="E16" s="83">
        <v>1.9019999999999999</v>
      </c>
      <c r="F16" s="83">
        <v>1.891</v>
      </c>
      <c r="G16" s="16">
        <f t="shared" si="1"/>
        <v>40.879136794843937</v>
      </c>
      <c r="H16" s="19">
        <f t="shared" si="0"/>
        <v>0.57080589177894103</v>
      </c>
    </row>
    <row r="17" spans="1:8">
      <c r="A17" s="65">
        <v>9</v>
      </c>
      <c r="B17" s="128">
        <v>12.666666666666666</v>
      </c>
      <c r="C17" s="16">
        <v>1</v>
      </c>
      <c r="D17" s="83">
        <v>1.6890000000000001</v>
      </c>
      <c r="E17" s="83">
        <v>1.734</v>
      </c>
      <c r="F17" s="83">
        <v>1.774</v>
      </c>
      <c r="G17" s="16">
        <f t="shared" si="1"/>
        <v>37.634875805634003</v>
      </c>
      <c r="H17" s="19">
        <f t="shared" si="0"/>
        <v>0.92384320531342379</v>
      </c>
    </row>
    <row r="18" spans="1:8">
      <c r="A18" s="65">
        <v>10</v>
      </c>
      <c r="B18" s="128">
        <v>14</v>
      </c>
      <c r="C18" s="16">
        <v>1</v>
      </c>
      <c r="D18" s="83">
        <v>1.5049999999999999</v>
      </c>
      <c r="E18" s="83">
        <v>1.5860000000000001</v>
      </c>
      <c r="F18" s="83">
        <v>1.63</v>
      </c>
      <c r="G18" s="16">
        <f t="shared" si="1"/>
        <v>34.187848504598449</v>
      </c>
      <c r="H18" s="19">
        <f t="shared" si="0"/>
        <v>1.3774950803825348</v>
      </c>
    </row>
    <row r="19" spans="1:8">
      <c r="A19" s="65">
        <v>11</v>
      </c>
      <c r="B19" s="128">
        <v>15.333333333333334</v>
      </c>
      <c r="C19" s="16">
        <v>1</v>
      </c>
      <c r="D19" s="83">
        <v>1.498</v>
      </c>
      <c r="E19" s="83">
        <v>1.518</v>
      </c>
      <c r="F19" s="83">
        <v>1.5269999999999999</v>
      </c>
      <c r="G19" s="16">
        <f t="shared" si="1"/>
        <v>32.898834093707002</v>
      </c>
      <c r="H19" s="19">
        <f t="shared" si="0"/>
        <v>0.3224772840641939</v>
      </c>
    </row>
    <row r="20" spans="1:8">
      <c r="A20" s="65">
        <v>12</v>
      </c>
      <c r="B20" s="128">
        <v>16.666666666666668</v>
      </c>
      <c r="C20" s="16">
        <v>1</v>
      </c>
      <c r="D20" s="83">
        <v>1.4339999999999999</v>
      </c>
      <c r="E20" s="83">
        <v>1.429</v>
      </c>
      <c r="F20" s="83">
        <v>1.4330000000000001</v>
      </c>
      <c r="G20" s="16">
        <f t="shared" si="1"/>
        <v>31.110145557245279</v>
      </c>
      <c r="H20" s="19">
        <f t="shared" si="0"/>
        <v>5.7478846644895734E-2</v>
      </c>
    </row>
    <row r="21" spans="1:8">
      <c r="A21" s="65">
        <v>13</v>
      </c>
      <c r="B21" s="128">
        <v>18</v>
      </c>
      <c r="C21" s="16">
        <v>1</v>
      </c>
      <c r="D21" s="83">
        <v>1.3440000000000001</v>
      </c>
      <c r="E21" s="85">
        <v>1.355</v>
      </c>
      <c r="F21" s="85">
        <v>1.363</v>
      </c>
      <c r="G21" s="16">
        <f t="shared" si="1"/>
        <v>29.415598522702581</v>
      </c>
      <c r="H21" s="19">
        <f t="shared" si="0"/>
        <v>0.20724292883270493</v>
      </c>
    </row>
    <row r="22" spans="1:8">
      <c r="A22" s="65">
        <v>14</v>
      </c>
      <c r="B22" s="128">
        <v>19.333333333333332</v>
      </c>
      <c r="C22" s="16">
        <v>1</v>
      </c>
      <c r="D22" s="129">
        <v>1.262</v>
      </c>
      <c r="E22" s="129">
        <v>1.2849999999999999</v>
      </c>
      <c r="F22" s="129">
        <v>1.28</v>
      </c>
      <c r="G22" s="16">
        <f t="shared" si="1"/>
        <v>27.713809834166124</v>
      </c>
      <c r="H22" s="19">
        <f t="shared" si="0"/>
        <v>0.2628032053244117</v>
      </c>
    </row>
    <row r="23" spans="1:8">
      <c r="A23" s="65">
        <v>15</v>
      </c>
      <c r="B23" s="128">
        <v>24.166666666666668</v>
      </c>
      <c r="C23" s="16">
        <v>1</v>
      </c>
      <c r="D23" s="129">
        <v>1.0309999999999999</v>
      </c>
      <c r="E23" s="129">
        <v>1.0449999999999999</v>
      </c>
      <c r="F23" s="129">
        <v>1.0409999999999999</v>
      </c>
      <c r="G23" s="16">
        <f t="shared" si="1"/>
        <v>22.572235498587876</v>
      </c>
      <c r="H23" s="19">
        <f t="shared" si="0"/>
        <v>0.15666092876228516</v>
      </c>
    </row>
    <row r="24" spans="1:8">
      <c r="A24" s="65">
        <v>16</v>
      </c>
      <c r="B24" s="128">
        <v>30.166666666666668</v>
      </c>
      <c r="C24" s="16">
        <v>1</v>
      </c>
      <c r="D24" s="129">
        <v>0.73899999999999999</v>
      </c>
      <c r="E24" s="129">
        <v>0.73799999999999999</v>
      </c>
      <c r="F24" s="129">
        <v>0.749</v>
      </c>
      <c r="G24" s="16">
        <f>(C24*1000*AVERAGE(D24:F24))/$B$2</f>
        <v>16.119921790136868</v>
      </c>
      <c r="H24" s="19">
        <f t="shared" si="0"/>
        <v>0.13214778471210567</v>
      </c>
    </row>
    <row r="25" spans="1:8">
      <c r="A25" s="65">
        <v>17</v>
      </c>
      <c r="B25" s="128">
        <v>48.166666666666664</v>
      </c>
      <c r="C25" s="16">
        <v>1</v>
      </c>
      <c r="D25" s="55">
        <v>0.107</v>
      </c>
      <c r="E25" s="55">
        <v>0.12</v>
      </c>
      <c r="F25" s="55">
        <v>0.11700000000000001</v>
      </c>
      <c r="G25" s="16">
        <f>(C25*1000*AVERAGE(D25:F25))/$B$2</f>
        <v>2.491128973857629</v>
      </c>
      <c r="H25" s="19">
        <f t="shared" ref="H25" si="2">(C25*1000*STDEV(D25:F25))/$B$2</f>
        <v>0.14787875919083307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3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62" t="s">
        <v>43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2" t="s">
        <v>4</v>
      </c>
      <c r="B6" s="22" t="s">
        <v>60</v>
      </c>
      <c r="C6" s="22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1</v>
      </c>
      <c r="D7" s="84">
        <v>6.2E-2</v>
      </c>
      <c r="E7" s="84">
        <v>6.5000000000000002E-2</v>
      </c>
      <c r="F7" s="84">
        <v>5.5E-2</v>
      </c>
      <c r="G7" s="16">
        <f>(C7*1000*AVERAGE(D7:F7))/$B$2</f>
        <v>1.0102692200943657</v>
      </c>
      <c r="H7" s="19">
        <f>(C7*1000*STDEV(D7:F7))/$B$2</f>
        <v>8.5455477759315321E-2</v>
      </c>
    </row>
    <row r="8" spans="1:8">
      <c r="A8" s="65">
        <v>0</v>
      </c>
      <c r="B8" s="128">
        <v>0.16666666666666666</v>
      </c>
      <c r="C8" s="16">
        <v>1</v>
      </c>
      <c r="D8" s="84">
        <v>4.2999999999999997E-2</v>
      </c>
      <c r="E8" s="84">
        <v>5.8000000000000003E-2</v>
      </c>
      <c r="F8" s="84">
        <v>6.7000000000000004E-2</v>
      </c>
      <c r="G8" s="16">
        <f t="shared" ref="G8:G17" si="0">(C8*1000*AVERAGE(D8:F8))/$B$2</f>
        <v>0.93255620316402998</v>
      </c>
      <c r="H8" s="19">
        <f t="shared" ref="H8:H17" si="1">(C8*1000*STDEV(D8:F8))/$B$2</f>
        <v>0.20190434059920273</v>
      </c>
    </row>
    <row r="9" spans="1:8">
      <c r="A9" s="65">
        <v>1</v>
      </c>
      <c r="B9" s="128">
        <v>2</v>
      </c>
      <c r="C9" s="16">
        <v>1</v>
      </c>
      <c r="D9" s="84">
        <v>5.8000000000000003E-2</v>
      </c>
      <c r="E9" s="84">
        <v>6.4000000000000001E-2</v>
      </c>
      <c r="F9" s="84">
        <v>6.0999999999999999E-2</v>
      </c>
      <c r="G9" s="16">
        <f t="shared" si="0"/>
        <v>1.0158201498751041</v>
      </c>
      <c r="H9" s="19">
        <f t="shared" si="1"/>
        <v>4.9958368026644454E-2</v>
      </c>
    </row>
    <row r="10" spans="1:8">
      <c r="A10" s="65">
        <v>2</v>
      </c>
      <c r="B10" s="128">
        <v>3.3333333333333335</v>
      </c>
      <c r="C10" s="16">
        <v>1</v>
      </c>
      <c r="D10" s="84">
        <v>7.2999999999999995E-2</v>
      </c>
      <c r="E10" s="84">
        <v>5.5E-2</v>
      </c>
      <c r="F10" s="84">
        <v>6.5000000000000002E-2</v>
      </c>
      <c r="G10" s="16">
        <f t="shared" si="0"/>
        <v>1.0713294476824871</v>
      </c>
      <c r="H10" s="19">
        <f t="shared" si="1"/>
        <v>0.15018317245038712</v>
      </c>
    </row>
    <row r="11" spans="1:8">
      <c r="A11" s="65">
        <v>3</v>
      </c>
      <c r="B11" s="128">
        <v>4.666666666666667</v>
      </c>
      <c r="C11" s="16">
        <v>1</v>
      </c>
      <c r="D11" s="84">
        <v>7.1999999999999995E-2</v>
      </c>
      <c r="E11" s="84">
        <v>7.3999999999999996E-2</v>
      </c>
      <c r="F11" s="84">
        <v>7.8E-2</v>
      </c>
      <c r="G11" s="16">
        <f t="shared" si="0"/>
        <v>1.2434082708853731</v>
      </c>
      <c r="H11" s="19">
        <f t="shared" si="1"/>
        <v>5.0875111795235572E-2</v>
      </c>
    </row>
    <row r="12" spans="1:8">
      <c r="A12" s="65">
        <v>4</v>
      </c>
      <c r="B12" s="128">
        <v>6</v>
      </c>
      <c r="C12" s="16">
        <v>1</v>
      </c>
      <c r="D12" s="84">
        <v>9.8000000000000004E-2</v>
      </c>
      <c r="E12" s="84">
        <v>9.9000000000000005E-2</v>
      </c>
      <c r="F12" s="84">
        <v>0.1</v>
      </c>
      <c r="G12" s="16">
        <f t="shared" si="0"/>
        <v>1.6486261448792676</v>
      </c>
      <c r="H12" s="19">
        <f t="shared" si="1"/>
        <v>1.6652789342214838E-2</v>
      </c>
    </row>
    <row r="13" spans="1:8">
      <c r="A13" s="65">
        <v>5</v>
      </c>
      <c r="B13" s="128">
        <v>7.333333333333333</v>
      </c>
      <c r="C13" s="16">
        <v>1</v>
      </c>
      <c r="D13" s="84">
        <v>0.14899999999999999</v>
      </c>
      <c r="E13" s="84">
        <v>0.157</v>
      </c>
      <c r="F13" s="84">
        <v>0.13700000000000001</v>
      </c>
      <c r="G13" s="16">
        <f t="shared" si="0"/>
        <v>2.4590618928670551</v>
      </c>
      <c r="H13" s="19">
        <f t="shared" si="1"/>
        <v>0.16763440322555084</v>
      </c>
    </row>
    <row r="14" spans="1:8">
      <c r="A14" s="65">
        <v>6</v>
      </c>
      <c r="B14" s="128">
        <v>8.6666666666666661</v>
      </c>
      <c r="C14" s="16">
        <v>1</v>
      </c>
      <c r="D14" s="84">
        <v>0.223</v>
      </c>
      <c r="E14" s="84">
        <v>0.23200000000000001</v>
      </c>
      <c r="F14" s="84">
        <v>0.224</v>
      </c>
      <c r="G14" s="16">
        <f t="shared" si="0"/>
        <v>3.7690813211212886</v>
      </c>
      <c r="H14" s="19">
        <f t="shared" si="1"/>
        <v>8.2146259155974219E-2</v>
      </c>
    </row>
    <row r="15" spans="1:8">
      <c r="A15" s="65">
        <v>7</v>
      </c>
      <c r="B15" s="128">
        <v>10</v>
      </c>
      <c r="C15" s="16">
        <v>1</v>
      </c>
      <c r="D15" s="19">
        <v>0.38500000000000001</v>
      </c>
      <c r="E15" s="19">
        <v>0.41</v>
      </c>
      <c r="F15" s="19">
        <v>0.40899999999999997</v>
      </c>
      <c r="G15" s="16">
        <f t="shared" si="0"/>
        <v>6.6833194560088813</v>
      </c>
      <c r="H15" s="19">
        <f t="shared" si="1"/>
        <v>0.2357021786906702</v>
      </c>
    </row>
    <row r="16" spans="1:8">
      <c r="A16" s="65">
        <v>8</v>
      </c>
      <c r="B16" s="128">
        <v>11.333333333333334</v>
      </c>
      <c r="C16" s="16">
        <v>1</v>
      </c>
      <c r="D16" s="19">
        <v>0.625</v>
      </c>
      <c r="E16" s="19">
        <v>0.63700000000000001</v>
      </c>
      <c r="F16" s="19">
        <v>0.63500000000000001</v>
      </c>
      <c r="G16" s="16">
        <f t="shared" si="0"/>
        <v>10.530113794060505</v>
      </c>
      <c r="H16" s="19">
        <f t="shared" si="1"/>
        <v>0.10706245640847033</v>
      </c>
    </row>
    <row r="17" spans="1:8">
      <c r="A17" s="65">
        <v>9</v>
      </c>
      <c r="B17" s="128">
        <v>12.666666666666666</v>
      </c>
      <c r="C17" s="16">
        <v>1</v>
      </c>
      <c r="D17" s="19">
        <v>0.78800000000000003</v>
      </c>
      <c r="E17" s="19">
        <v>0.80800000000000005</v>
      </c>
      <c r="F17" s="19">
        <v>0.85499999999999998</v>
      </c>
      <c r="G17" s="16">
        <f t="shared" si="0"/>
        <v>13.605328892589512</v>
      </c>
      <c r="H17" s="19">
        <f t="shared" si="1"/>
        <v>0.57276881005561453</v>
      </c>
    </row>
    <row r="18" spans="1:8">
      <c r="A18" s="65">
        <v>10</v>
      </c>
      <c r="B18" s="128">
        <v>14</v>
      </c>
      <c r="C18" s="16">
        <v>1</v>
      </c>
      <c r="D18" s="19">
        <v>0.92100000000000004</v>
      </c>
      <c r="E18" s="19">
        <v>0.97799999999999998</v>
      </c>
      <c r="F18" s="19">
        <v>1.016</v>
      </c>
      <c r="G18" s="16">
        <f t="shared" ref="G18:G23" si="2">(C18*1000*AVERAGE(D18:F18))/$B$2</f>
        <v>16.180960310852068</v>
      </c>
      <c r="H18" s="19">
        <f t="shared" ref="H18:H23" si="3">(C18*1000*STDEV(D18:F18))/$B$2</f>
        <v>0.79626341532136657</v>
      </c>
    </row>
    <row r="19" spans="1:8">
      <c r="A19" s="65">
        <v>11</v>
      </c>
      <c r="B19" s="128">
        <v>15.333333333333334</v>
      </c>
      <c r="C19" s="16">
        <v>1</v>
      </c>
      <c r="D19" s="19">
        <v>1.089</v>
      </c>
      <c r="E19" s="19">
        <v>1.0760000000000001</v>
      </c>
      <c r="F19" s="19">
        <v>1.0649999999999999</v>
      </c>
      <c r="G19" s="16">
        <f t="shared" si="2"/>
        <v>17.929503191784626</v>
      </c>
      <c r="H19" s="19">
        <f t="shared" si="3"/>
        <v>0.20006462715448362</v>
      </c>
    </row>
    <row r="20" spans="1:8">
      <c r="A20" s="65">
        <v>12</v>
      </c>
      <c r="B20" s="128">
        <v>16.666666666666668</v>
      </c>
      <c r="C20" s="16">
        <v>1</v>
      </c>
      <c r="D20" s="19">
        <v>1.1140000000000001</v>
      </c>
      <c r="E20" s="19">
        <v>1.141</v>
      </c>
      <c r="F20" s="19">
        <v>1.1240000000000001</v>
      </c>
      <c r="G20" s="16">
        <f t="shared" si="2"/>
        <v>18.756591729114628</v>
      </c>
      <c r="H20" s="19">
        <f t="shared" si="3"/>
        <v>0.22731718267491757</v>
      </c>
    </row>
    <row r="21" spans="1:8">
      <c r="A21" s="65">
        <v>13</v>
      </c>
      <c r="B21" s="128">
        <v>18</v>
      </c>
      <c r="C21" s="16">
        <v>1</v>
      </c>
      <c r="D21" s="82">
        <v>1.1870000000000001</v>
      </c>
      <c r="E21" s="82">
        <v>1.169</v>
      </c>
      <c r="F21" s="82">
        <v>1.1919999999999999</v>
      </c>
      <c r="G21" s="16">
        <f t="shared" si="2"/>
        <v>19.694698862059397</v>
      </c>
      <c r="H21" s="19">
        <f t="shared" si="3"/>
        <v>0.20144598736190961</v>
      </c>
    </row>
    <row r="22" spans="1:8">
      <c r="A22" s="65">
        <v>14</v>
      </c>
      <c r="B22" s="128">
        <v>19.333333333333332</v>
      </c>
      <c r="C22" s="16">
        <v>1</v>
      </c>
      <c r="D22" s="19">
        <v>1.1890000000000001</v>
      </c>
      <c r="E22" s="19">
        <v>1.159</v>
      </c>
      <c r="F22" s="19">
        <v>1.204</v>
      </c>
      <c r="G22" s="16">
        <f t="shared" si="2"/>
        <v>19.71690258118235</v>
      </c>
      <c r="H22" s="19">
        <f t="shared" si="3"/>
        <v>0.38156333846426604</v>
      </c>
    </row>
    <row r="23" spans="1:8">
      <c r="A23" s="65">
        <v>15</v>
      </c>
      <c r="B23" s="128">
        <v>24.166666666666668</v>
      </c>
      <c r="C23" s="16">
        <v>1</v>
      </c>
      <c r="D23" s="19">
        <v>1.1859999999999999</v>
      </c>
      <c r="E23" s="19">
        <v>1.2210000000000001</v>
      </c>
      <c r="F23" s="19">
        <v>1.246</v>
      </c>
      <c r="G23" s="16">
        <f t="shared" si="2"/>
        <v>20.277546489036915</v>
      </c>
      <c r="H23" s="19">
        <f t="shared" si="3"/>
        <v>0.50189123841313199</v>
      </c>
    </row>
    <row r="24" spans="1:8">
      <c r="A24" s="65">
        <v>16</v>
      </c>
      <c r="B24" s="128">
        <v>30.166666666666668</v>
      </c>
      <c r="C24" s="16">
        <v>1</v>
      </c>
      <c r="D24" s="19">
        <v>1.198</v>
      </c>
      <c r="E24" s="19">
        <v>1.2649999999999999</v>
      </c>
      <c r="F24" s="19">
        <v>1.2589999999999999</v>
      </c>
      <c r="G24" s="16">
        <f t="shared" ref="G24:G25" si="4">(C24*1000*AVERAGE(D24:F24))/$B$2</f>
        <v>20.660560643907854</v>
      </c>
      <c r="H24" s="19">
        <f t="shared" ref="H24:H25" si="5">(C24*1000*STDEV(D24:F24))/$B$2</f>
        <v>0.6173522400349476</v>
      </c>
    </row>
    <row r="25" spans="1:8">
      <c r="A25" s="65">
        <v>17</v>
      </c>
      <c r="B25" s="128">
        <v>48.166666666666664</v>
      </c>
      <c r="C25" s="16">
        <v>1</v>
      </c>
      <c r="D25" s="19">
        <v>1.194</v>
      </c>
      <c r="E25" s="19">
        <v>1.226</v>
      </c>
      <c r="F25" s="19">
        <v>1.2969999999999999</v>
      </c>
      <c r="G25" s="16">
        <f t="shared" si="4"/>
        <v>20.632805995004162</v>
      </c>
      <c r="H25" s="19">
        <f t="shared" si="5"/>
        <v>0.87787213009806486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C21" sqref="C21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62" t="s">
        <v>67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60</v>
      </c>
      <c r="C6" s="28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5">
        <v>0</v>
      </c>
      <c r="B8" s="128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128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128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128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128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128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128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128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128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128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128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128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128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128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128">
        <v>19.333333333333332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128">
        <v>24.166666666666668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128">
        <v>30.166666666666668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5">
        <v>17</v>
      </c>
      <c r="B25" s="128">
        <v>48.166666666666664</v>
      </c>
      <c r="C25" s="16">
        <v>3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3" workbookViewId="0">
      <selection activeCell="D7" sqref="D7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62" t="s">
        <v>66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60</v>
      </c>
      <c r="C6" s="28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1</v>
      </c>
      <c r="D7" s="75">
        <v>0</v>
      </c>
      <c r="E7" s="75">
        <v>0</v>
      </c>
      <c r="F7" s="75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5">
        <v>0</v>
      </c>
      <c r="B8" s="128">
        <v>0.16666666666666666</v>
      </c>
      <c r="C8" s="16">
        <v>1</v>
      </c>
      <c r="D8" s="75">
        <v>0</v>
      </c>
      <c r="E8" s="75">
        <v>0</v>
      </c>
      <c r="F8" s="75">
        <v>0</v>
      </c>
      <c r="G8" s="16">
        <f>(C8*1000*AVERAGE(D8:F8))/$B$2</f>
        <v>0</v>
      </c>
      <c r="H8" s="19">
        <f t="shared" ref="H8:H17" si="0">(C8*1000*STDEV(D8:F8))/$B$2</f>
        <v>0</v>
      </c>
    </row>
    <row r="9" spans="1:8">
      <c r="A9" s="65">
        <v>1</v>
      </c>
      <c r="B9" s="128">
        <v>2</v>
      </c>
      <c r="C9" s="16">
        <v>1</v>
      </c>
      <c r="D9" s="75">
        <v>0</v>
      </c>
      <c r="E9" s="75">
        <v>0</v>
      </c>
      <c r="F9" s="75">
        <v>0</v>
      </c>
      <c r="G9" s="16">
        <f t="shared" ref="G9:G17" si="1">(C9*1000*AVERAGE(D9:F9))/$B$2</f>
        <v>0</v>
      </c>
      <c r="H9" s="19">
        <f t="shared" si="0"/>
        <v>0</v>
      </c>
    </row>
    <row r="10" spans="1:8">
      <c r="A10" s="65">
        <v>2</v>
      </c>
      <c r="B10" s="128">
        <v>3.3333333333333335</v>
      </c>
      <c r="C10" s="16">
        <v>1</v>
      </c>
      <c r="D10" s="75">
        <v>0</v>
      </c>
      <c r="E10" s="75">
        <v>0</v>
      </c>
      <c r="F10" s="75">
        <v>0</v>
      </c>
      <c r="G10" s="16">
        <f t="shared" si="1"/>
        <v>0</v>
      </c>
      <c r="H10" s="19">
        <f t="shared" si="0"/>
        <v>0</v>
      </c>
    </row>
    <row r="11" spans="1:8">
      <c r="A11" s="65">
        <v>3</v>
      </c>
      <c r="B11" s="128">
        <v>4.666666666666667</v>
      </c>
      <c r="C11" s="16">
        <v>1</v>
      </c>
      <c r="D11" s="75">
        <v>0</v>
      </c>
      <c r="E11" s="75">
        <v>0</v>
      </c>
      <c r="F11" s="75">
        <v>0</v>
      </c>
      <c r="G11" s="16">
        <f t="shared" si="1"/>
        <v>0</v>
      </c>
      <c r="H11" s="19">
        <f t="shared" si="0"/>
        <v>0</v>
      </c>
    </row>
    <row r="12" spans="1:8">
      <c r="A12" s="65">
        <v>4</v>
      </c>
      <c r="B12" s="128">
        <v>6</v>
      </c>
      <c r="C12" s="16">
        <v>1</v>
      </c>
      <c r="D12" s="75">
        <v>0</v>
      </c>
      <c r="E12" s="75">
        <v>0</v>
      </c>
      <c r="F12" s="75">
        <v>0</v>
      </c>
      <c r="G12" s="16">
        <f t="shared" si="1"/>
        <v>0</v>
      </c>
      <c r="H12" s="19">
        <f t="shared" si="0"/>
        <v>0</v>
      </c>
    </row>
    <row r="13" spans="1:8">
      <c r="A13" s="65">
        <v>5</v>
      </c>
      <c r="B13" s="128">
        <v>7.333333333333333</v>
      </c>
      <c r="C13" s="16">
        <v>1</v>
      </c>
      <c r="D13" s="75">
        <v>0</v>
      </c>
      <c r="E13" s="75">
        <v>0</v>
      </c>
      <c r="F13" s="75">
        <v>0</v>
      </c>
      <c r="G13" s="16">
        <f t="shared" si="1"/>
        <v>0</v>
      </c>
      <c r="H13" s="19">
        <f t="shared" si="0"/>
        <v>0</v>
      </c>
    </row>
    <row r="14" spans="1:8">
      <c r="A14" s="65">
        <v>6</v>
      </c>
      <c r="B14" s="128">
        <v>8.6666666666666661</v>
      </c>
      <c r="C14" s="16">
        <v>1</v>
      </c>
      <c r="D14" s="75">
        <v>0</v>
      </c>
      <c r="E14" s="75">
        <v>0</v>
      </c>
      <c r="F14" s="75">
        <v>0</v>
      </c>
      <c r="G14" s="16">
        <f t="shared" si="1"/>
        <v>0</v>
      </c>
      <c r="H14" s="19">
        <f t="shared" si="0"/>
        <v>0</v>
      </c>
    </row>
    <row r="15" spans="1:8">
      <c r="A15" s="65">
        <v>7</v>
      </c>
      <c r="B15" s="128">
        <v>10</v>
      </c>
      <c r="C15" s="16">
        <v>1</v>
      </c>
      <c r="D15" s="75">
        <v>0</v>
      </c>
      <c r="E15" s="75">
        <v>0</v>
      </c>
      <c r="F15" s="75">
        <v>0</v>
      </c>
      <c r="G15" s="16">
        <f t="shared" si="1"/>
        <v>0</v>
      </c>
      <c r="H15" s="19">
        <f t="shared" si="0"/>
        <v>0</v>
      </c>
    </row>
    <row r="16" spans="1:8">
      <c r="A16" s="65">
        <v>8</v>
      </c>
      <c r="B16" s="128">
        <v>11.333333333333334</v>
      </c>
      <c r="C16" s="16">
        <v>1</v>
      </c>
      <c r="D16" s="75">
        <v>0</v>
      </c>
      <c r="E16" s="75">
        <v>0</v>
      </c>
      <c r="F16" s="75">
        <v>0</v>
      </c>
      <c r="G16" s="16">
        <f t="shared" si="1"/>
        <v>0</v>
      </c>
      <c r="H16" s="19">
        <f t="shared" si="0"/>
        <v>0</v>
      </c>
    </row>
    <row r="17" spans="1:8">
      <c r="A17" s="65">
        <v>9</v>
      </c>
      <c r="B17" s="128">
        <v>12.666666666666666</v>
      </c>
      <c r="C17" s="16">
        <v>1</v>
      </c>
      <c r="D17" s="75">
        <v>0</v>
      </c>
      <c r="E17" s="75">
        <v>0</v>
      </c>
      <c r="F17" s="75">
        <v>0</v>
      </c>
      <c r="G17" s="16">
        <f t="shared" si="1"/>
        <v>0</v>
      </c>
      <c r="H17" s="19">
        <f t="shared" si="0"/>
        <v>0</v>
      </c>
    </row>
    <row r="18" spans="1:8">
      <c r="A18" s="65">
        <v>10</v>
      </c>
      <c r="B18" s="128">
        <v>14</v>
      </c>
      <c r="C18" s="16">
        <v>1</v>
      </c>
      <c r="D18" s="75">
        <v>0</v>
      </c>
      <c r="E18" s="75">
        <v>0</v>
      </c>
      <c r="F18" s="75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128">
        <v>15.333333333333334</v>
      </c>
      <c r="C19" s="16">
        <v>1</v>
      </c>
      <c r="D19" s="75">
        <v>0</v>
      </c>
      <c r="E19" s="75">
        <v>0</v>
      </c>
      <c r="F19" s="75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128">
        <v>16.666666666666668</v>
      </c>
      <c r="C20" s="16">
        <v>1</v>
      </c>
      <c r="D20" s="75">
        <v>0</v>
      </c>
      <c r="E20" s="75">
        <v>0</v>
      </c>
      <c r="F20" s="75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128">
        <v>18</v>
      </c>
      <c r="C21" s="16">
        <v>1</v>
      </c>
      <c r="D21" s="75">
        <v>0</v>
      </c>
      <c r="E21" s="75">
        <v>0</v>
      </c>
      <c r="F21" s="75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128">
        <v>19.333333333333332</v>
      </c>
      <c r="C22" s="16">
        <v>1</v>
      </c>
      <c r="D22" s="75">
        <v>0</v>
      </c>
      <c r="E22" s="75">
        <v>0</v>
      </c>
      <c r="F22" s="75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128">
        <v>24.166666666666668</v>
      </c>
      <c r="C23" s="16">
        <v>1</v>
      </c>
      <c r="D23" s="75">
        <v>0</v>
      </c>
      <c r="E23" s="75">
        <v>0</v>
      </c>
      <c r="F23" s="75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128">
        <v>30.166666666666668</v>
      </c>
      <c r="C24" s="16">
        <v>1</v>
      </c>
      <c r="D24" s="75">
        <v>0</v>
      </c>
      <c r="E24" s="75">
        <v>0</v>
      </c>
      <c r="F24" s="75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5">
        <v>17</v>
      </c>
      <c r="B25" s="128">
        <v>48.166666666666664</v>
      </c>
      <c r="C25" s="16">
        <v>1</v>
      </c>
      <c r="D25" s="75">
        <v>0</v>
      </c>
      <c r="E25" s="75">
        <v>0</v>
      </c>
      <c r="F25" s="75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62" t="s">
        <v>42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2" t="s">
        <v>4</v>
      </c>
      <c r="B6" s="22" t="s">
        <v>60</v>
      </c>
      <c r="C6" s="22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1</v>
      </c>
      <c r="D7" s="42">
        <v>0.252</v>
      </c>
      <c r="E7" s="42">
        <v>0.17399999999999999</v>
      </c>
      <c r="F7" s="42">
        <v>0.18</v>
      </c>
      <c r="G7" s="16">
        <f>(C7*1000*AVERAGE(D7:F7))/$B$2</f>
        <v>2.2424511545293071</v>
      </c>
      <c r="H7" s="19">
        <f>(C7*1000*STDEV(D7:F7))/$B$2</f>
        <v>0.48185023122137494</v>
      </c>
    </row>
    <row r="8" spans="1:8">
      <c r="A8" s="65">
        <v>0</v>
      </c>
      <c r="B8" s="128">
        <v>0.16666666666666666</v>
      </c>
      <c r="C8" s="16">
        <v>1</v>
      </c>
      <c r="D8" s="42">
        <v>0.187</v>
      </c>
      <c r="E8" s="42">
        <v>0.17799999999999999</v>
      </c>
      <c r="F8" s="42">
        <v>0.17399999999999999</v>
      </c>
      <c r="G8" s="16">
        <f t="shared" ref="G8:G23" si="0">(C8*1000*AVERAGE(D8:F8))/$B$2</f>
        <v>1.9945233866193011</v>
      </c>
      <c r="H8" s="19">
        <f t="shared" ref="H8:H23" si="1">(C8*1000*STDEV(D8:F8))/$B$2</f>
        <v>7.3915720675837016E-2</v>
      </c>
    </row>
    <row r="9" spans="1:8">
      <c r="A9" s="65">
        <v>1</v>
      </c>
      <c r="B9" s="128">
        <v>2</v>
      </c>
      <c r="C9" s="16">
        <v>1</v>
      </c>
      <c r="D9" s="42">
        <v>0.17899999999999999</v>
      </c>
      <c r="E9" s="42">
        <v>0.17599999999999999</v>
      </c>
      <c r="F9" s="42">
        <v>0.17399999999999999</v>
      </c>
      <c r="G9" s="16">
        <f t="shared" si="0"/>
        <v>1.9575192421551213</v>
      </c>
      <c r="H9" s="19">
        <f t="shared" si="1"/>
        <v>2.7937516412339981E-2</v>
      </c>
    </row>
    <row r="10" spans="1:8">
      <c r="A10" s="65">
        <v>2</v>
      </c>
      <c r="B10" s="128">
        <v>3.3333333333333335</v>
      </c>
      <c r="C10" s="16">
        <v>1</v>
      </c>
      <c r="D10" s="55">
        <v>0.18</v>
      </c>
      <c r="E10" s="55">
        <v>0.17699999999999999</v>
      </c>
      <c r="F10" s="55">
        <v>0.17499999999999999</v>
      </c>
      <c r="G10" s="16">
        <f t="shared" si="0"/>
        <v>1.9686204854943754</v>
      </c>
      <c r="H10" s="19">
        <f t="shared" si="1"/>
        <v>2.7937516412339981E-2</v>
      </c>
    </row>
    <row r="11" spans="1:8">
      <c r="A11" s="65">
        <v>3</v>
      </c>
      <c r="B11" s="128">
        <v>4.666666666666667</v>
      </c>
      <c r="C11" s="16">
        <v>1</v>
      </c>
      <c r="D11" s="55">
        <v>0.17399999999999999</v>
      </c>
      <c r="E11" s="55">
        <v>0.17399999999999999</v>
      </c>
      <c r="F11" s="55">
        <v>0.17199999999999999</v>
      </c>
      <c r="G11" s="16">
        <f t="shared" si="0"/>
        <v>1.9242155121373594</v>
      </c>
      <c r="H11" s="19">
        <f t="shared" si="1"/>
        <v>1.2818611660515681E-2</v>
      </c>
    </row>
    <row r="12" spans="1:8">
      <c r="A12" s="65">
        <v>4</v>
      </c>
      <c r="B12" s="128">
        <v>6</v>
      </c>
      <c r="C12" s="16">
        <v>1</v>
      </c>
      <c r="D12" s="55">
        <v>0.17499999999999999</v>
      </c>
      <c r="E12" s="55">
        <v>0.17499999999999999</v>
      </c>
      <c r="F12" s="55">
        <v>0.17499999999999999</v>
      </c>
      <c r="G12" s="16">
        <f t="shared" si="0"/>
        <v>1.9427175843694491</v>
      </c>
      <c r="H12" s="19">
        <f t="shared" si="1"/>
        <v>3.7737010310571668E-16</v>
      </c>
    </row>
    <row r="13" spans="1:8">
      <c r="A13" s="65">
        <v>5</v>
      </c>
      <c r="B13" s="128">
        <v>7.333333333333333</v>
      </c>
      <c r="C13" s="16">
        <v>1</v>
      </c>
      <c r="D13" s="55">
        <v>0.17499999999999999</v>
      </c>
      <c r="E13" s="55">
        <v>0.16700000000000001</v>
      </c>
      <c r="F13" s="55">
        <v>0.16600000000000001</v>
      </c>
      <c r="G13" s="16">
        <f t="shared" si="0"/>
        <v>1.8798105387803434</v>
      </c>
      <c r="H13" s="19">
        <f t="shared" si="1"/>
        <v>5.4761133018608306E-2</v>
      </c>
    </row>
    <row r="14" spans="1:8">
      <c r="A14" s="65">
        <v>6</v>
      </c>
      <c r="B14" s="128">
        <v>8.6666666666666661</v>
      </c>
      <c r="C14" s="16">
        <v>1</v>
      </c>
      <c r="D14" s="55">
        <v>0.17</v>
      </c>
      <c r="E14" s="55">
        <v>0.161</v>
      </c>
      <c r="F14" s="55">
        <v>0.16900000000000001</v>
      </c>
      <c r="G14" s="16">
        <f t="shared" si="0"/>
        <v>1.8502072232089994</v>
      </c>
      <c r="H14" s="19">
        <f t="shared" si="1"/>
        <v>5.4761133018608479E-2</v>
      </c>
    </row>
    <row r="15" spans="1:8">
      <c r="A15" s="65">
        <v>7</v>
      </c>
      <c r="B15" s="128">
        <v>10</v>
      </c>
      <c r="C15" s="16">
        <v>1</v>
      </c>
      <c r="D15" s="55">
        <v>0.17799999999999999</v>
      </c>
      <c r="E15" s="55">
        <v>0.17499999999999999</v>
      </c>
      <c r="F15" s="55">
        <v>0.17199999999999999</v>
      </c>
      <c r="G15" s="16">
        <f t="shared" si="0"/>
        <v>1.9427175843694491</v>
      </c>
      <c r="H15" s="19">
        <f t="shared" si="1"/>
        <v>3.3303730017762018E-2</v>
      </c>
    </row>
    <row r="16" spans="1:8">
      <c r="A16" s="65">
        <v>8</v>
      </c>
      <c r="B16" s="128">
        <v>11.333333333333334</v>
      </c>
      <c r="C16" s="16">
        <v>1</v>
      </c>
      <c r="D16" s="55">
        <v>0.17599999999999999</v>
      </c>
      <c r="E16" s="55">
        <v>0.17499999999999999</v>
      </c>
      <c r="F16" s="55">
        <v>0.17299999999999999</v>
      </c>
      <c r="G16" s="16">
        <f t="shared" si="0"/>
        <v>1.9390171699230314</v>
      </c>
      <c r="H16" s="19">
        <f t="shared" si="1"/>
        <v>1.6957429303418606E-2</v>
      </c>
    </row>
    <row r="17" spans="1:8">
      <c r="A17" s="65">
        <v>9</v>
      </c>
      <c r="B17" s="128">
        <v>12.666666666666666</v>
      </c>
      <c r="C17" s="16">
        <v>1</v>
      </c>
      <c r="D17" s="55">
        <v>0.18099999999999999</v>
      </c>
      <c r="E17" s="55">
        <v>0.17899999999999999</v>
      </c>
      <c r="F17" s="55">
        <v>0.18099999999999999</v>
      </c>
      <c r="G17" s="16">
        <f t="shared" si="0"/>
        <v>2.0019242155121373</v>
      </c>
      <c r="H17" s="19">
        <f t="shared" si="1"/>
        <v>1.2818611660515681E-2</v>
      </c>
    </row>
    <row r="18" spans="1:8">
      <c r="A18" s="65">
        <v>10</v>
      </c>
      <c r="B18" s="128">
        <v>14</v>
      </c>
      <c r="C18" s="16">
        <v>1</v>
      </c>
      <c r="D18" s="42">
        <v>0.215</v>
      </c>
      <c r="E18" s="42">
        <v>0.216</v>
      </c>
      <c r="F18" s="42">
        <v>0.215</v>
      </c>
      <c r="G18" s="16">
        <f t="shared" si="0"/>
        <v>2.3904677323860275</v>
      </c>
      <c r="H18" s="19">
        <f t="shared" si="1"/>
        <v>6.4093058302578405E-3</v>
      </c>
    </row>
    <row r="19" spans="1:8">
      <c r="A19" s="65">
        <v>11</v>
      </c>
      <c r="B19" s="128">
        <v>15.333333333333334</v>
      </c>
      <c r="C19" s="16">
        <v>1</v>
      </c>
      <c r="D19" s="55">
        <v>0.27700000000000002</v>
      </c>
      <c r="E19" s="55">
        <v>0.27500000000000002</v>
      </c>
      <c r="F19" s="55">
        <v>0.27400000000000002</v>
      </c>
      <c r="G19" s="16">
        <f t="shared" si="0"/>
        <v>3.0565423327412673</v>
      </c>
      <c r="H19" s="19">
        <f t="shared" si="1"/>
        <v>1.6957429303418606E-2</v>
      </c>
    </row>
    <row r="20" spans="1:8">
      <c r="A20" s="65">
        <v>12</v>
      </c>
      <c r="B20" s="128">
        <v>16.666666666666668</v>
      </c>
      <c r="C20" s="16">
        <v>1</v>
      </c>
      <c r="D20" s="55">
        <v>0.34200000000000003</v>
      </c>
      <c r="E20" s="55">
        <v>0.34200000000000003</v>
      </c>
      <c r="F20" s="55">
        <v>0.34200000000000003</v>
      </c>
      <c r="G20" s="16">
        <f t="shared" si="0"/>
        <v>3.7966252220248671</v>
      </c>
      <c r="H20" s="19">
        <f t="shared" si="1"/>
        <v>0</v>
      </c>
    </row>
    <row r="21" spans="1:8">
      <c r="A21" s="65">
        <v>13</v>
      </c>
      <c r="B21" s="128">
        <v>18</v>
      </c>
      <c r="C21" s="16">
        <v>1</v>
      </c>
      <c r="D21" s="55">
        <v>0.41599999999999998</v>
      </c>
      <c r="E21" s="55">
        <v>0.41399999999999998</v>
      </c>
      <c r="F21" s="55">
        <v>0.41499999999999998</v>
      </c>
      <c r="G21" s="16">
        <f t="shared" si="0"/>
        <v>4.6070159857904089</v>
      </c>
      <c r="H21" s="19">
        <f t="shared" si="1"/>
        <v>1.1101243339254007E-2</v>
      </c>
    </row>
    <row r="22" spans="1:8">
      <c r="A22" s="65">
        <v>14</v>
      </c>
      <c r="B22" s="128">
        <v>19.333333333333332</v>
      </c>
      <c r="C22" s="16">
        <v>1</v>
      </c>
      <c r="D22" s="55">
        <v>0.47099999999999997</v>
      </c>
      <c r="E22" s="55">
        <v>0.47</v>
      </c>
      <c r="F22" s="55">
        <v>0.47099999999999997</v>
      </c>
      <c r="G22" s="16">
        <f t="shared" si="0"/>
        <v>5.224985198342214</v>
      </c>
      <c r="H22" s="19">
        <f t="shared" si="1"/>
        <v>6.4093058302578405E-3</v>
      </c>
    </row>
    <row r="23" spans="1:8">
      <c r="A23" s="65">
        <v>15</v>
      </c>
      <c r="B23" s="128">
        <v>24.166666666666668</v>
      </c>
      <c r="C23" s="16">
        <v>1</v>
      </c>
      <c r="D23" s="55">
        <v>0.56000000000000005</v>
      </c>
      <c r="E23" s="55">
        <v>0.56699999999999995</v>
      </c>
      <c r="F23" s="55">
        <v>0.56100000000000005</v>
      </c>
      <c r="G23" s="16">
        <f t="shared" si="0"/>
        <v>6.246299585553583</v>
      </c>
      <c r="H23" s="19">
        <f t="shared" si="1"/>
        <v>4.202862896536548E-2</v>
      </c>
    </row>
    <row r="24" spans="1:8">
      <c r="A24" s="65">
        <v>16</v>
      </c>
      <c r="B24" s="128">
        <v>30.166666666666668</v>
      </c>
      <c r="C24" s="16">
        <v>1</v>
      </c>
      <c r="D24" s="55">
        <v>0.61799999999999999</v>
      </c>
      <c r="E24" s="55">
        <v>0.621</v>
      </c>
      <c r="F24" s="55">
        <v>0.61399999999999999</v>
      </c>
      <c r="G24" s="16">
        <f t="shared" ref="G24:G25" si="2">(C24*1000*AVERAGE(D24:F24))/$B$2</f>
        <v>6.8568679692125514</v>
      </c>
      <c r="H24" s="19">
        <f t="shared" ref="H24:H25" si="3">(C24*1000*STDEV(D24:F24))/$B$2</f>
        <v>3.8986285349514316E-2</v>
      </c>
    </row>
    <row r="25" spans="1:8">
      <c r="A25" s="65">
        <v>17</v>
      </c>
      <c r="B25" s="128">
        <v>48.166666666666664</v>
      </c>
      <c r="C25" s="16">
        <v>1</v>
      </c>
      <c r="D25" s="55">
        <v>0.71399999999999997</v>
      </c>
      <c r="E25" s="55">
        <v>0.71299999999999997</v>
      </c>
      <c r="F25" s="55">
        <v>0.72099999999999997</v>
      </c>
      <c r="G25" s="16">
        <f t="shared" si="2"/>
        <v>7.9484902309058629</v>
      </c>
      <c r="H25" s="19">
        <f t="shared" si="3"/>
        <v>4.8389197863462227E-2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7" sqref="A7:B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62" t="s">
        <v>44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2" t="s">
        <v>4</v>
      </c>
      <c r="B6" s="22" t="s">
        <v>60</v>
      </c>
      <c r="C6" s="22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5">
        <v>0</v>
      </c>
      <c r="B8" s="128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128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128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128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128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128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128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128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128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128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128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128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128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128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128">
        <v>19.333333333333332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128">
        <v>24.166666666666668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128">
        <v>30.166666666666668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5">
        <v>17</v>
      </c>
      <c r="B25" s="128">
        <v>48.166666666666664</v>
      </c>
      <c r="C25" s="16">
        <v>3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14" workbookViewId="0">
      <selection activeCell="R35" sqref="R35"/>
    </sheetView>
  </sheetViews>
  <sheetFormatPr baseColWidth="10" defaultColWidth="8.83203125" defaultRowHeight="14" x14ac:dyDescent="0"/>
  <cols>
    <col min="2" max="2" width="9.6640625" bestFit="1" customWidth="1"/>
    <col min="3" max="3" width="9.5" bestFit="1" customWidth="1"/>
    <col min="4" max="4" width="9" bestFit="1" customWidth="1"/>
    <col min="10" max="10" width="9.1640625" bestFit="1" customWidth="1"/>
    <col min="16" max="16" width="12" bestFit="1" customWidth="1"/>
    <col min="17" max="17" width="12.33203125" bestFit="1" customWidth="1"/>
  </cols>
  <sheetData>
    <row r="1" spans="1:17">
      <c r="A1" t="s">
        <v>44</v>
      </c>
      <c r="C1" t="s">
        <v>61</v>
      </c>
      <c r="D1">
        <v>46.07</v>
      </c>
      <c r="E1" t="s">
        <v>39</v>
      </c>
      <c r="M1" t="s">
        <v>279</v>
      </c>
      <c r="O1" t="s">
        <v>280</v>
      </c>
    </row>
    <row r="2" spans="1:17">
      <c r="A2" s="30" t="s">
        <v>4</v>
      </c>
      <c r="B2" s="30" t="s">
        <v>5</v>
      </c>
      <c r="C2" s="30" t="s">
        <v>263</v>
      </c>
      <c r="D2" s="30" t="s">
        <v>264</v>
      </c>
      <c r="E2" s="30" t="s">
        <v>265</v>
      </c>
      <c r="F2" s="30" t="s">
        <v>266</v>
      </c>
      <c r="G2" s="30" t="s">
        <v>267</v>
      </c>
      <c r="H2" s="30" t="s">
        <v>268</v>
      </c>
      <c r="I2" s="30" t="s">
        <v>269</v>
      </c>
      <c r="J2" s="30" t="s">
        <v>270</v>
      </c>
      <c r="K2" s="30" t="s">
        <v>271</v>
      </c>
      <c r="L2" s="30" t="s">
        <v>19</v>
      </c>
      <c r="M2" s="30" t="s">
        <v>272</v>
      </c>
      <c r="N2" s="30" t="s">
        <v>273</v>
      </c>
      <c r="O2" s="30" t="s">
        <v>274</v>
      </c>
      <c r="P2" s="30" t="s">
        <v>275</v>
      </c>
      <c r="Q2" s="30" t="s">
        <v>276</v>
      </c>
    </row>
    <row r="3" spans="1:17">
      <c r="A3" s="64">
        <v>0</v>
      </c>
      <c r="B3" s="127">
        <v>-0.16666666666666666</v>
      </c>
      <c r="C3">
        <v>0</v>
      </c>
      <c r="D3">
        <v>0</v>
      </c>
      <c r="E3">
        <v>0</v>
      </c>
      <c r="I3" t="e">
        <f>C3/F3</f>
        <v>#DIV/0!</v>
      </c>
      <c r="J3" t="e">
        <f>D3/G3</f>
        <v>#DIV/0!</v>
      </c>
      <c r="K3" t="e">
        <f>E3/H3</f>
        <v>#DIV/0!</v>
      </c>
      <c r="L3">
        <v>4</v>
      </c>
      <c r="M3" t="e">
        <f>((I3-$B$23)/($B$22))*L3</f>
        <v>#DIV/0!</v>
      </c>
      <c r="N3" t="e">
        <f t="shared" ref="N3:O3" si="0">((J3-$B$23)/($B$22))*M3</f>
        <v>#DIV/0!</v>
      </c>
      <c r="O3" t="e">
        <f t="shared" si="0"/>
        <v>#DIV/0!</v>
      </c>
      <c r="P3" t="e">
        <f>STDEV(M3:O3)</f>
        <v>#DIV/0!</v>
      </c>
      <c r="Q3" t="e">
        <f>AVERAGE(M3:O3)</f>
        <v>#DIV/0!</v>
      </c>
    </row>
    <row r="4" spans="1:17">
      <c r="A4" s="65">
        <v>0</v>
      </c>
      <c r="B4" s="128">
        <v>0.16666666666666666</v>
      </c>
      <c r="C4">
        <v>0</v>
      </c>
      <c r="D4">
        <v>0</v>
      </c>
      <c r="E4">
        <v>0</v>
      </c>
      <c r="I4" t="e">
        <f t="shared" ref="I4:K10" si="1">C4/F4</f>
        <v>#DIV/0!</v>
      </c>
      <c r="J4" t="e">
        <f t="shared" si="1"/>
        <v>#DIV/0!</v>
      </c>
      <c r="K4" t="e">
        <f t="shared" si="1"/>
        <v>#DIV/0!</v>
      </c>
      <c r="L4">
        <v>4</v>
      </c>
      <c r="M4" t="e">
        <f t="shared" ref="M4:M21" si="2">((I4-$B$23)/($B$22))*L4</f>
        <v>#DIV/0!</v>
      </c>
      <c r="N4" t="e">
        <f t="shared" ref="N4:N21" si="3">((J4-$B$23)/($B$22))*M4</f>
        <v>#DIV/0!</v>
      </c>
      <c r="O4" t="e">
        <f t="shared" ref="O4:O20" si="4">((K4-$B$23)/($B$22))*N4</f>
        <v>#DIV/0!</v>
      </c>
      <c r="P4" t="e">
        <f t="shared" ref="P4:P10" si="5">STDEV(M4:O4)</f>
        <v>#DIV/0!</v>
      </c>
      <c r="Q4" t="e">
        <f t="shared" ref="Q4:Q8" si="6">AVERAGE(M4:O4)</f>
        <v>#DIV/0!</v>
      </c>
    </row>
    <row r="5" spans="1:17">
      <c r="A5" s="65">
        <v>1</v>
      </c>
      <c r="B5" s="128">
        <v>2</v>
      </c>
      <c r="C5">
        <v>0</v>
      </c>
      <c r="D5">
        <v>0</v>
      </c>
      <c r="E5">
        <v>0</v>
      </c>
      <c r="I5" t="e">
        <f t="shared" si="1"/>
        <v>#DIV/0!</v>
      </c>
      <c r="J5" t="e">
        <f t="shared" si="1"/>
        <v>#DIV/0!</v>
      </c>
      <c r="K5" t="e">
        <f t="shared" si="1"/>
        <v>#DIV/0!</v>
      </c>
      <c r="L5">
        <v>4</v>
      </c>
      <c r="M5" t="e">
        <f t="shared" si="2"/>
        <v>#DIV/0!</v>
      </c>
      <c r="N5" t="e">
        <f t="shared" si="3"/>
        <v>#DIV/0!</v>
      </c>
      <c r="O5" t="e">
        <f t="shared" si="4"/>
        <v>#DIV/0!</v>
      </c>
      <c r="P5" t="e">
        <f t="shared" si="5"/>
        <v>#DIV/0!</v>
      </c>
      <c r="Q5" t="e">
        <f t="shared" si="6"/>
        <v>#DIV/0!</v>
      </c>
    </row>
    <row r="6" spans="1:17">
      <c r="A6" s="65">
        <v>2</v>
      </c>
      <c r="B6" s="128">
        <v>3.3333333333333335</v>
      </c>
      <c r="C6">
        <v>0</v>
      </c>
      <c r="D6">
        <v>0</v>
      </c>
      <c r="E6">
        <v>0</v>
      </c>
      <c r="I6" t="e">
        <f t="shared" si="1"/>
        <v>#DIV/0!</v>
      </c>
      <c r="J6" t="e">
        <f t="shared" si="1"/>
        <v>#DIV/0!</v>
      </c>
      <c r="K6" t="e">
        <f t="shared" si="1"/>
        <v>#DIV/0!</v>
      </c>
      <c r="L6">
        <v>4</v>
      </c>
      <c r="M6" t="e">
        <f t="shared" si="2"/>
        <v>#DIV/0!</v>
      </c>
      <c r="N6" t="e">
        <f t="shared" si="3"/>
        <v>#DIV/0!</v>
      </c>
      <c r="O6" t="e">
        <f t="shared" si="4"/>
        <v>#DIV/0!</v>
      </c>
      <c r="P6" t="e">
        <f t="shared" si="5"/>
        <v>#DIV/0!</v>
      </c>
      <c r="Q6" t="e">
        <f t="shared" si="6"/>
        <v>#DIV/0!</v>
      </c>
    </row>
    <row r="7" spans="1:17">
      <c r="A7" s="65">
        <v>3</v>
      </c>
      <c r="B7" s="128">
        <v>4.666666666666667</v>
      </c>
      <c r="C7">
        <v>0</v>
      </c>
      <c r="D7">
        <v>0</v>
      </c>
      <c r="E7">
        <v>0</v>
      </c>
      <c r="I7" t="e">
        <f t="shared" si="1"/>
        <v>#DIV/0!</v>
      </c>
      <c r="J7" t="e">
        <f t="shared" si="1"/>
        <v>#DIV/0!</v>
      </c>
      <c r="K7" t="e">
        <f t="shared" si="1"/>
        <v>#DIV/0!</v>
      </c>
      <c r="L7">
        <v>4</v>
      </c>
      <c r="M7" t="e">
        <f t="shared" si="2"/>
        <v>#DIV/0!</v>
      </c>
      <c r="N7" t="e">
        <f t="shared" si="3"/>
        <v>#DIV/0!</v>
      </c>
      <c r="O7" t="e">
        <f t="shared" si="4"/>
        <v>#DIV/0!</v>
      </c>
      <c r="P7" t="e">
        <f t="shared" si="5"/>
        <v>#DIV/0!</v>
      </c>
      <c r="Q7" t="e">
        <f t="shared" si="6"/>
        <v>#DIV/0!</v>
      </c>
    </row>
    <row r="8" spans="1:17">
      <c r="A8" s="65">
        <v>4</v>
      </c>
      <c r="B8" s="128">
        <v>6</v>
      </c>
      <c r="C8">
        <v>0</v>
      </c>
      <c r="D8">
        <v>0</v>
      </c>
      <c r="E8">
        <v>0</v>
      </c>
      <c r="I8" t="e">
        <f t="shared" si="1"/>
        <v>#DIV/0!</v>
      </c>
      <c r="J8" t="e">
        <f t="shared" si="1"/>
        <v>#DIV/0!</v>
      </c>
      <c r="K8" t="e">
        <f t="shared" si="1"/>
        <v>#DIV/0!</v>
      </c>
      <c r="L8">
        <v>4</v>
      </c>
      <c r="M8" t="e">
        <f t="shared" si="2"/>
        <v>#DIV/0!</v>
      </c>
      <c r="N8" t="e">
        <f t="shared" si="3"/>
        <v>#DIV/0!</v>
      </c>
      <c r="O8" t="e">
        <f t="shared" si="4"/>
        <v>#DIV/0!</v>
      </c>
      <c r="P8" t="e">
        <f t="shared" si="5"/>
        <v>#DIV/0!</v>
      </c>
      <c r="Q8" t="e">
        <f t="shared" si="6"/>
        <v>#DIV/0!</v>
      </c>
    </row>
    <row r="9" spans="1:17">
      <c r="A9" s="65">
        <v>5</v>
      </c>
      <c r="B9" s="128">
        <v>7.333333333333333</v>
      </c>
      <c r="C9">
        <v>0</v>
      </c>
      <c r="D9">
        <v>0</v>
      </c>
      <c r="E9">
        <v>0</v>
      </c>
      <c r="I9" t="e">
        <f t="shared" si="1"/>
        <v>#DIV/0!</v>
      </c>
      <c r="J9" t="e">
        <f t="shared" si="1"/>
        <v>#DIV/0!</v>
      </c>
      <c r="K9" t="e">
        <f t="shared" si="1"/>
        <v>#DIV/0!</v>
      </c>
      <c r="L9">
        <v>4</v>
      </c>
      <c r="M9" t="e">
        <f t="shared" si="2"/>
        <v>#DIV/0!</v>
      </c>
      <c r="N9" t="e">
        <f t="shared" si="3"/>
        <v>#DIV/0!</v>
      </c>
      <c r="O9" t="e">
        <f t="shared" si="4"/>
        <v>#DIV/0!</v>
      </c>
      <c r="P9" t="e">
        <f t="shared" si="5"/>
        <v>#DIV/0!</v>
      </c>
      <c r="Q9" t="e">
        <f>AVERAGE(M9:O9)</f>
        <v>#DIV/0!</v>
      </c>
    </row>
    <row r="10" spans="1:17">
      <c r="A10" s="65">
        <v>6</v>
      </c>
      <c r="B10" s="128">
        <v>8.6666666666666661</v>
      </c>
      <c r="C10">
        <v>0</v>
      </c>
      <c r="D10">
        <v>0</v>
      </c>
      <c r="E10">
        <v>0</v>
      </c>
      <c r="I10" t="e">
        <f t="shared" si="1"/>
        <v>#DIV/0!</v>
      </c>
      <c r="J10" t="e">
        <f t="shared" si="1"/>
        <v>#DIV/0!</v>
      </c>
      <c r="K10" t="e">
        <f t="shared" si="1"/>
        <v>#DIV/0!</v>
      </c>
      <c r="L10">
        <v>4</v>
      </c>
      <c r="M10" t="e">
        <f t="shared" si="2"/>
        <v>#DIV/0!</v>
      </c>
      <c r="N10" t="e">
        <f t="shared" si="3"/>
        <v>#DIV/0!</v>
      </c>
      <c r="O10" t="e">
        <f t="shared" si="4"/>
        <v>#DIV/0!</v>
      </c>
      <c r="P10" t="e">
        <f t="shared" si="5"/>
        <v>#DIV/0!</v>
      </c>
      <c r="Q10" t="e">
        <f t="shared" ref="Q10:Q21" si="7">AVERAGE(M10:O10)</f>
        <v>#DIV/0!</v>
      </c>
    </row>
    <row r="11" spans="1:17">
      <c r="A11" s="65">
        <v>7</v>
      </c>
      <c r="B11" s="128">
        <v>10</v>
      </c>
      <c r="C11">
        <v>0</v>
      </c>
      <c r="D11">
        <v>0</v>
      </c>
      <c r="E11">
        <v>0</v>
      </c>
      <c r="I11" t="e">
        <f t="shared" ref="I11:I20" si="8">C11/F11</f>
        <v>#DIV/0!</v>
      </c>
      <c r="J11" t="e">
        <f t="shared" ref="J11:J21" si="9">D11/G11</f>
        <v>#DIV/0!</v>
      </c>
      <c r="K11" t="e">
        <f t="shared" ref="K11:K21" si="10">E11/H11</f>
        <v>#DIV/0!</v>
      </c>
      <c r="L11">
        <v>4</v>
      </c>
      <c r="M11" t="e">
        <f t="shared" si="2"/>
        <v>#DIV/0!</v>
      </c>
      <c r="N11" t="e">
        <f t="shared" si="3"/>
        <v>#DIV/0!</v>
      </c>
      <c r="O11" t="e">
        <f t="shared" si="4"/>
        <v>#DIV/0!</v>
      </c>
      <c r="P11" t="e">
        <f t="shared" ref="P11:P20" si="11">STDEV(M11:O11)</f>
        <v>#DIV/0!</v>
      </c>
      <c r="Q11" t="e">
        <f t="shared" si="7"/>
        <v>#DIV/0!</v>
      </c>
    </row>
    <row r="12" spans="1:17">
      <c r="A12" s="65">
        <v>8</v>
      </c>
      <c r="B12" s="128">
        <v>11.333333333333334</v>
      </c>
      <c r="C12">
        <v>0</v>
      </c>
      <c r="D12">
        <v>0</v>
      </c>
      <c r="E12">
        <v>0</v>
      </c>
      <c r="I12" t="e">
        <f t="shared" si="8"/>
        <v>#DIV/0!</v>
      </c>
      <c r="J12" t="e">
        <f t="shared" si="9"/>
        <v>#DIV/0!</v>
      </c>
      <c r="K12" t="e">
        <f t="shared" si="10"/>
        <v>#DIV/0!</v>
      </c>
      <c r="L12">
        <v>4</v>
      </c>
      <c r="M12" t="e">
        <f t="shared" si="2"/>
        <v>#DIV/0!</v>
      </c>
      <c r="N12" t="e">
        <f t="shared" si="3"/>
        <v>#DIV/0!</v>
      </c>
      <c r="O12" t="e">
        <f t="shared" si="4"/>
        <v>#DIV/0!</v>
      </c>
      <c r="P12" t="e">
        <f t="shared" si="11"/>
        <v>#DIV/0!</v>
      </c>
      <c r="Q12" t="e">
        <f t="shared" si="7"/>
        <v>#DIV/0!</v>
      </c>
    </row>
    <row r="13" spans="1:17">
      <c r="A13" s="65">
        <v>9</v>
      </c>
      <c r="B13" s="128">
        <v>12.666666666666666</v>
      </c>
      <c r="C13">
        <v>0</v>
      </c>
      <c r="D13">
        <v>0</v>
      </c>
      <c r="E13">
        <v>0</v>
      </c>
      <c r="I13" t="e">
        <f t="shared" si="8"/>
        <v>#DIV/0!</v>
      </c>
      <c r="J13" t="e">
        <f t="shared" si="9"/>
        <v>#DIV/0!</v>
      </c>
      <c r="K13" t="e">
        <f t="shared" si="10"/>
        <v>#DIV/0!</v>
      </c>
      <c r="L13">
        <v>4</v>
      </c>
      <c r="M13" t="e">
        <f t="shared" si="2"/>
        <v>#DIV/0!</v>
      </c>
      <c r="N13" t="e">
        <f t="shared" si="3"/>
        <v>#DIV/0!</v>
      </c>
      <c r="O13" t="e">
        <f t="shared" si="4"/>
        <v>#DIV/0!</v>
      </c>
      <c r="P13" t="e">
        <f t="shared" si="11"/>
        <v>#DIV/0!</v>
      </c>
      <c r="Q13" t="e">
        <f t="shared" si="7"/>
        <v>#DIV/0!</v>
      </c>
    </row>
    <row r="14" spans="1:17">
      <c r="A14" s="65">
        <v>10</v>
      </c>
      <c r="B14" s="128">
        <v>14</v>
      </c>
      <c r="C14">
        <v>0</v>
      </c>
      <c r="D14">
        <v>0</v>
      </c>
      <c r="E14">
        <v>0</v>
      </c>
      <c r="I14" t="e">
        <f t="shared" si="8"/>
        <v>#DIV/0!</v>
      </c>
      <c r="J14" t="e">
        <f t="shared" si="9"/>
        <v>#DIV/0!</v>
      </c>
      <c r="K14" t="e">
        <f t="shared" si="10"/>
        <v>#DIV/0!</v>
      </c>
      <c r="L14">
        <v>4</v>
      </c>
      <c r="M14" t="e">
        <f t="shared" si="2"/>
        <v>#DIV/0!</v>
      </c>
      <c r="N14" t="e">
        <f t="shared" si="3"/>
        <v>#DIV/0!</v>
      </c>
      <c r="O14" t="e">
        <f t="shared" si="4"/>
        <v>#DIV/0!</v>
      </c>
      <c r="P14" t="e">
        <f t="shared" si="11"/>
        <v>#DIV/0!</v>
      </c>
      <c r="Q14" t="e">
        <f t="shared" si="7"/>
        <v>#DIV/0!</v>
      </c>
    </row>
    <row r="15" spans="1:17">
      <c r="A15" s="65">
        <v>11</v>
      </c>
      <c r="B15" s="128">
        <v>15.333333333333334</v>
      </c>
      <c r="C15">
        <v>0</v>
      </c>
      <c r="D15">
        <v>0</v>
      </c>
      <c r="E15">
        <v>0</v>
      </c>
      <c r="I15" t="e">
        <f t="shared" si="8"/>
        <v>#DIV/0!</v>
      </c>
      <c r="J15" t="e">
        <f t="shared" si="9"/>
        <v>#DIV/0!</v>
      </c>
      <c r="K15" t="e">
        <f t="shared" si="10"/>
        <v>#DIV/0!</v>
      </c>
      <c r="L15">
        <v>4</v>
      </c>
      <c r="M15" t="e">
        <f t="shared" si="2"/>
        <v>#DIV/0!</v>
      </c>
      <c r="N15" t="e">
        <f t="shared" si="3"/>
        <v>#DIV/0!</v>
      </c>
      <c r="O15" t="e">
        <f t="shared" si="4"/>
        <v>#DIV/0!</v>
      </c>
      <c r="P15" t="e">
        <f t="shared" si="11"/>
        <v>#DIV/0!</v>
      </c>
      <c r="Q15" t="e">
        <f t="shared" si="7"/>
        <v>#DIV/0!</v>
      </c>
    </row>
    <row r="16" spans="1:17">
      <c r="A16" s="65">
        <v>12</v>
      </c>
      <c r="B16" s="128">
        <v>16.666666666666668</v>
      </c>
      <c r="C16">
        <v>0</v>
      </c>
      <c r="D16">
        <v>0</v>
      </c>
      <c r="E16">
        <v>0</v>
      </c>
      <c r="I16" t="e">
        <f t="shared" si="8"/>
        <v>#DIV/0!</v>
      </c>
      <c r="J16" t="e">
        <f t="shared" si="9"/>
        <v>#DIV/0!</v>
      </c>
      <c r="K16" t="e">
        <f t="shared" si="10"/>
        <v>#DIV/0!</v>
      </c>
      <c r="L16">
        <v>4</v>
      </c>
      <c r="M16" t="e">
        <f t="shared" si="2"/>
        <v>#DIV/0!</v>
      </c>
      <c r="N16" t="e">
        <f t="shared" si="3"/>
        <v>#DIV/0!</v>
      </c>
      <c r="O16" t="e">
        <f t="shared" si="4"/>
        <v>#DIV/0!</v>
      </c>
      <c r="P16" t="e">
        <f t="shared" si="11"/>
        <v>#DIV/0!</v>
      </c>
      <c r="Q16" t="e">
        <f t="shared" si="7"/>
        <v>#DIV/0!</v>
      </c>
    </row>
    <row r="17" spans="1:17">
      <c r="A17" s="65">
        <v>13</v>
      </c>
      <c r="B17" s="128">
        <v>18</v>
      </c>
      <c r="C17">
        <v>0</v>
      </c>
      <c r="D17">
        <v>0</v>
      </c>
      <c r="E17">
        <v>0</v>
      </c>
      <c r="I17" t="e">
        <f t="shared" si="8"/>
        <v>#DIV/0!</v>
      </c>
      <c r="J17" t="e">
        <f t="shared" si="9"/>
        <v>#DIV/0!</v>
      </c>
      <c r="K17" t="e">
        <f t="shared" si="10"/>
        <v>#DIV/0!</v>
      </c>
      <c r="L17">
        <v>4</v>
      </c>
      <c r="M17" t="e">
        <f t="shared" si="2"/>
        <v>#DIV/0!</v>
      </c>
      <c r="N17" t="e">
        <f t="shared" si="3"/>
        <v>#DIV/0!</v>
      </c>
      <c r="O17" t="e">
        <f t="shared" si="4"/>
        <v>#DIV/0!</v>
      </c>
      <c r="P17" t="e">
        <f t="shared" si="11"/>
        <v>#DIV/0!</v>
      </c>
      <c r="Q17" t="e">
        <f t="shared" si="7"/>
        <v>#DIV/0!</v>
      </c>
    </row>
    <row r="18" spans="1:17">
      <c r="A18" s="65">
        <v>14</v>
      </c>
      <c r="B18" s="128">
        <v>19.333333333333332</v>
      </c>
      <c r="C18">
        <v>0</v>
      </c>
      <c r="D18">
        <v>0</v>
      </c>
      <c r="E18">
        <v>0</v>
      </c>
      <c r="I18" t="e">
        <f t="shared" si="8"/>
        <v>#DIV/0!</v>
      </c>
      <c r="J18" t="e">
        <f t="shared" si="9"/>
        <v>#DIV/0!</v>
      </c>
      <c r="K18" t="e">
        <f t="shared" si="10"/>
        <v>#DIV/0!</v>
      </c>
      <c r="L18">
        <v>4</v>
      </c>
      <c r="M18" t="e">
        <f t="shared" si="2"/>
        <v>#DIV/0!</v>
      </c>
      <c r="N18" t="e">
        <f t="shared" si="3"/>
        <v>#DIV/0!</v>
      </c>
      <c r="O18" t="e">
        <f t="shared" si="4"/>
        <v>#DIV/0!</v>
      </c>
      <c r="P18" t="e">
        <f t="shared" si="11"/>
        <v>#DIV/0!</v>
      </c>
      <c r="Q18" t="e">
        <f t="shared" si="7"/>
        <v>#DIV/0!</v>
      </c>
    </row>
    <row r="19" spans="1:17">
      <c r="A19" s="65">
        <v>15</v>
      </c>
      <c r="B19" s="128">
        <v>24.166666666666668</v>
      </c>
      <c r="C19">
        <v>0</v>
      </c>
      <c r="D19">
        <v>0</v>
      </c>
      <c r="E19">
        <v>0</v>
      </c>
      <c r="I19" t="e">
        <f t="shared" si="8"/>
        <v>#DIV/0!</v>
      </c>
      <c r="J19" t="e">
        <f t="shared" si="9"/>
        <v>#DIV/0!</v>
      </c>
      <c r="K19" t="e">
        <f t="shared" si="10"/>
        <v>#DIV/0!</v>
      </c>
      <c r="L19">
        <v>4</v>
      </c>
      <c r="M19" t="e">
        <f t="shared" si="2"/>
        <v>#DIV/0!</v>
      </c>
      <c r="N19" t="e">
        <f t="shared" si="3"/>
        <v>#DIV/0!</v>
      </c>
      <c r="O19" t="e">
        <f t="shared" si="4"/>
        <v>#DIV/0!</v>
      </c>
      <c r="P19" t="e">
        <f t="shared" si="11"/>
        <v>#DIV/0!</v>
      </c>
      <c r="Q19" t="e">
        <f t="shared" si="7"/>
        <v>#DIV/0!</v>
      </c>
    </row>
    <row r="20" spans="1:17">
      <c r="A20" s="65">
        <v>16</v>
      </c>
      <c r="B20" s="128">
        <v>30.166666666666668</v>
      </c>
      <c r="C20">
        <v>0</v>
      </c>
      <c r="D20">
        <v>0</v>
      </c>
      <c r="E20">
        <v>0</v>
      </c>
      <c r="I20" t="e">
        <f t="shared" si="8"/>
        <v>#DIV/0!</v>
      </c>
      <c r="J20" t="e">
        <f t="shared" si="9"/>
        <v>#DIV/0!</v>
      </c>
      <c r="K20" t="e">
        <f t="shared" si="10"/>
        <v>#DIV/0!</v>
      </c>
      <c r="L20">
        <v>4</v>
      </c>
      <c r="M20" t="e">
        <f t="shared" si="2"/>
        <v>#DIV/0!</v>
      </c>
      <c r="N20" t="e">
        <f t="shared" si="3"/>
        <v>#DIV/0!</v>
      </c>
      <c r="O20" t="e">
        <f t="shared" si="4"/>
        <v>#DIV/0!</v>
      </c>
      <c r="P20" t="e">
        <f t="shared" si="11"/>
        <v>#DIV/0!</v>
      </c>
      <c r="Q20" t="e">
        <f t="shared" si="7"/>
        <v>#DIV/0!</v>
      </c>
    </row>
    <row r="21" spans="1:17">
      <c r="A21" s="65">
        <v>17</v>
      </c>
      <c r="B21" s="128">
        <v>48.166666666666664</v>
      </c>
      <c r="C21">
        <v>0</v>
      </c>
      <c r="D21">
        <v>0</v>
      </c>
      <c r="E21">
        <v>0</v>
      </c>
      <c r="I21" t="e">
        <f>C21/F21</f>
        <v>#DIV/0!</v>
      </c>
      <c r="J21" t="e">
        <f t="shared" si="9"/>
        <v>#DIV/0!</v>
      </c>
      <c r="K21" t="e">
        <f t="shared" si="10"/>
        <v>#DIV/0!</v>
      </c>
      <c r="L21">
        <v>4</v>
      </c>
      <c r="M21" t="e">
        <f t="shared" si="2"/>
        <v>#DIV/0!</v>
      </c>
      <c r="N21" t="e">
        <f t="shared" si="3"/>
        <v>#DIV/0!</v>
      </c>
      <c r="O21" t="e">
        <f>((K21-$B$23)/($B$22))*N21</f>
        <v>#DIV/0!</v>
      </c>
      <c r="P21" t="e">
        <f>STDEV(M21:O21)</f>
        <v>#DIV/0!</v>
      </c>
      <c r="Q21" t="e">
        <f t="shared" si="7"/>
        <v>#DIV/0!</v>
      </c>
    </row>
    <row r="22" spans="1:17">
      <c r="A22" t="s">
        <v>289</v>
      </c>
      <c r="B22" s="131">
        <f>'calibration ethanol'!J2</f>
        <v>0</v>
      </c>
      <c r="C22" t="s">
        <v>277</v>
      </c>
    </row>
    <row r="23" spans="1:17">
      <c r="A23" t="s">
        <v>218</v>
      </c>
      <c r="B23" s="131">
        <f>'calibration ethanol'!K2</f>
        <v>0</v>
      </c>
      <c r="C23" t="s">
        <v>278</v>
      </c>
    </row>
    <row r="24" spans="1:17" ht="15" thickBot="1">
      <c r="K24" s="130"/>
    </row>
    <row r="25" spans="1:17" ht="16" thickTop="1" thickBot="1">
      <c r="A25" t="s">
        <v>43</v>
      </c>
      <c r="C25" t="s">
        <v>61</v>
      </c>
      <c r="D25">
        <v>60.05</v>
      </c>
      <c r="E25" t="s">
        <v>39</v>
      </c>
      <c r="K25" s="130"/>
      <c r="M25" t="s">
        <v>279</v>
      </c>
      <c r="O25" t="s">
        <v>280</v>
      </c>
    </row>
    <row r="26" spans="1:17" ht="15" thickTop="1">
      <c r="A26" s="30" t="s">
        <v>4</v>
      </c>
      <c r="B26" s="30" t="s">
        <v>5</v>
      </c>
      <c r="C26" s="30" t="s">
        <v>263</v>
      </c>
      <c r="D26" s="30" t="s">
        <v>264</v>
      </c>
      <c r="E26" s="30" t="s">
        <v>265</v>
      </c>
      <c r="F26" s="30" t="s">
        <v>266</v>
      </c>
      <c r="G26" s="30" t="s">
        <v>267</v>
      </c>
      <c r="H26" s="30" t="s">
        <v>268</v>
      </c>
      <c r="I26" s="30" t="s">
        <v>269</v>
      </c>
      <c r="J26" s="30" t="s">
        <v>270</v>
      </c>
      <c r="K26" s="30" t="s">
        <v>271</v>
      </c>
      <c r="L26" s="30" t="s">
        <v>19</v>
      </c>
      <c r="M26" s="30" t="s">
        <v>272</v>
      </c>
      <c r="N26" s="30" t="s">
        <v>273</v>
      </c>
      <c r="O26" s="30" t="s">
        <v>274</v>
      </c>
      <c r="P26" s="30" t="s">
        <v>275</v>
      </c>
      <c r="Q26" s="30" t="s">
        <v>276</v>
      </c>
    </row>
    <row r="27" spans="1:17">
      <c r="A27" s="64">
        <v>0</v>
      </c>
      <c r="B27" s="127">
        <v>-0.16666666666666666</v>
      </c>
      <c r="C27">
        <v>0</v>
      </c>
      <c r="D27">
        <v>0</v>
      </c>
      <c r="E27">
        <v>0</v>
      </c>
      <c r="I27" t="e">
        <f>C27/F27</f>
        <v>#DIV/0!</v>
      </c>
      <c r="J27" t="e">
        <f>D27/G27</f>
        <v>#DIV/0!</v>
      </c>
      <c r="K27" t="e">
        <f>E27/H27</f>
        <v>#DIV/0!</v>
      </c>
      <c r="L27">
        <v>4</v>
      </c>
      <c r="M27" t="e">
        <f>((I27-$B$47)/($B$46))*L27</f>
        <v>#DIV/0!</v>
      </c>
      <c r="N27" t="e">
        <f t="shared" ref="N27:O27" si="12">((J27-$B$47)/($B$46))*M27</f>
        <v>#DIV/0!</v>
      </c>
      <c r="O27" t="e">
        <f t="shared" si="12"/>
        <v>#DIV/0!</v>
      </c>
      <c r="P27" t="e">
        <f>STDEV(M27:O27)</f>
        <v>#DIV/0!</v>
      </c>
      <c r="Q27" t="e">
        <f>AVERAGE(M27:O27)</f>
        <v>#DIV/0!</v>
      </c>
    </row>
    <row r="28" spans="1:17">
      <c r="A28" s="65">
        <v>0</v>
      </c>
      <c r="B28" s="128">
        <v>0.16666666666666666</v>
      </c>
      <c r="C28">
        <v>0</v>
      </c>
      <c r="D28">
        <v>0</v>
      </c>
      <c r="E28">
        <v>0</v>
      </c>
      <c r="I28" t="e">
        <f t="shared" ref="I28:I44" si="13">C28/F28</f>
        <v>#DIV/0!</v>
      </c>
      <c r="J28" t="e">
        <f t="shared" ref="J28:J45" si="14">D28/G28</f>
        <v>#DIV/0!</v>
      </c>
      <c r="K28" t="e">
        <f t="shared" ref="K28:K45" si="15">E28/H28</f>
        <v>#DIV/0!</v>
      </c>
      <c r="L28">
        <v>4</v>
      </c>
      <c r="M28" t="e">
        <f t="shared" ref="M28:M45" si="16">((I28-$B$47)/($B$46))*L28</f>
        <v>#DIV/0!</v>
      </c>
      <c r="N28" t="e">
        <f t="shared" ref="N28:N45" si="17">((J28-$B$47)/($B$46))*M28</f>
        <v>#DIV/0!</v>
      </c>
      <c r="O28" t="e">
        <f t="shared" ref="O28:O45" si="18">((K28-$B$47)/($B$46))*N28</f>
        <v>#DIV/0!</v>
      </c>
      <c r="P28" t="e">
        <f t="shared" ref="P28:P44" si="19">STDEV(M28:O28)</f>
        <v>#DIV/0!</v>
      </c>
      <c r="Q28" t="e">
        <f t="shared" ref="Q28:Q32" si="20">AVERAGE(M28:O28)</f>
        <v>#DIV/0!</v>
      </c>
    </row>
    <row r="29" spans="1:17">
      <c r="A29" s="65">
        <v>1</v>
      </c>
      <c r="B29" s="128">
        <v>2</v>
      </c>
      <c r="C29">
        <v>0</v>
      </c>
      <c r="D29">
        <v>0</v>
      </c>
      <c r="E29">
        <v>0</v>
      </c>
      <c r="I29" t="e">
        <f t="shared" si="13"/>
        <v>#DIV/0!</v>
      </c>
      <c r="J29" t="e">
        <f t="shared" si="14"/>
        <v>#DIV/0!</v>
      </c>
      <c r="K29" t="e">
        <f t="shared" si="15"/>
        <v>#DIV/0!</v>
      </c>
      <c r="L29">
        <v>4</v>
      </c>
      <c r="M29" t="e">
        <f t="shared" si="16"/>
        <v>#DIV/0!</v>
      </c>
      <c r="N29" t="e">
        <f t="shared" si="17"/>
        <v>#DIV/0!</v>
      </c>
      <c r="O29" t="e">
        <f t="shared" si="18"/>
        <v>#DIV/0!</v>
      </c>
      <c r="P29" t="e">
        <f t="shared" si="19"/>
        <v>#DIV/0!</v>
      </c>
      <c r="Q29" t="e">
        <f t="shared" si="20"/>
        <v>#DIV/0!</v>
      </c>
    </row>
    <row r="30" spans="1:17">
      <c r="A30" s="65">
        <v>2</v>
      </c>
      <c r="B30" s="128">
        <v>3.3333333333333335</v>
      </c>
      <c r="C30">
        <v>0</v>
      </c>
      <c r="D30">
        <v>0</v>
      </c>
      <c r="E30">
        <v>0</v>
      </c>
      <c r="I30" t="e">
        <f t="shared" si="13"/>
        <v>#DIV/0!</v>
      </c>
      <c r="J30" t="e">
        <f t="shared" si="14"/>
        <v>#DIV/0!</v>
      </c>
      <c r="K30" t="e">
        <f t="shared" si="15"/>
        <v>#DIV/0!</v>
      </c>
      <c r="L30">
        <v>4</v>
      </c>
      <c r="M30" t="e">
        <f t="shared" si="16"/>
        <v>#DIV/0!</v>
      </c>
      <c r="N30" t="e">
        <f t="shared" si="17"/>
        <v>#DIV/0!</v>
      </c>
      <c r="O30" t="e">
        <f t="shared" si="18"/>
        <v>#DIV/0!</v>
      </c>
      <c r="P30" t="e">
        <f t="shared" si="19"/>
        <v>#DIV/0!</v>
      </c>
      <c r="Q30" t="e">
        <f t="shared" si="20"/>
        <v>#DIV/0!</v>
      </c>
    </row>
    <row r="31" spans="1:17">
      <c r="A31" s="65">
        <v>3</v>
      </c>
      <c r="B31" s="128">
        <v>4.666666666666667</v>
      </c>
      <c r="C31">
        <v>0</v>
      </c>
      <c r="D31">
        <v>0</v>
      </c>
      <c r="E31">
        <v>0</v>
      </c>
      <c r="I31" t="e">
        <f t="shared" si="13"/>
        <v>#DIV/0!</v>
      </c>
      <c r="J31" t="e">
        <f t="shared" si="14"/>
        <v>#DIV/0!</v>
      </c>
      <c r="K31" t="e">
        <f t="shared" si="15"/>
        <v>#DIV/0!</v>
      </c>
      <c r="L31">
        <v>4</v>
      </c>
      <c r="M31" t="e">
        <f t="shared" si="16"/>
        <v>#DIV/0!</v>
      </c>
      <c r="N31" t="e">
        <f t="shared" si="17"/>
        <v>#DIV/0!</v>
      </c>
      <c r="O31" t="e">
        <f t="shared" si="18"/>
        <v>#DIV/0!</v>
      </c>
      <c r="P31" t="e">
        <f t="shared" si="19"/>
        <v>#DIV/0!</v>
      </c>
      <c r="Q31" t="e">
        <f t="shared" si="20"/>
        <v>#DIV/0!</v>
      </c>
    </row>
    <row r="32" spans="1:17">
      <c r="A32" s="65">
        <v>4</v>
      </c>
      <c r="B32" s="128">
        <v>6</v>
      </c>
      <c r="C32">
        <v>0</v>
      </c>
      <c r="D32">
        <v>0</v>
      </c>
      <c r="E32">
        <v>0</v>
      </c>
      <c r="I32" t="e">
        <f t="shared" si="13"/>
        <v>#DIV/0!</v>
      </c>
      <c r="J32" t="e">
        <f t="shared" si="14"/>
        <v>#DIV/0!</v>
      </c>
      <c r="K32" t="e">
        <f t="shared" si="15"/>
        <v>#DIV/0!</v>
      </c>
      <c r="L32">
        <v>4</v>
      </c>
      <c r="M32" t="e">
        <f t="shared" si="16"/>
        <v>#DIV/0!</v>
      </c>
      <c r="N32" t="e">
        <f t="shared" si="17"/>
        <v>#DIV/0!</v>
      </c>
      <c r="O32" t="e">
        <f t="shared" si="18"/>
        <v>#DIV/0!</v>
      </c>
      <c r="P32" t="e">
        <f t="shared" si="19"/>
        <v>#DIV/0!</v>
      </c>
      <c r="Q32" t="e">
        <f t="shared" si="20"/>
        <v>#DIV/0!</v>
      </c>
    </row>
    <row r="33" spans="1:17">
      <c r="A33" s="65">
        <v>5</v>
      </c>
      <c r="B33" s="128">
        <v>7.333333333333333</v>
      </c>
      <c r="C33">
        <v>0</v>
      </c>
      <c r="D33">
        <v>0</v>
      </c>
      <c r="E33">
        <v>0</v>
      </c>
      <c r="I33" t="e">
        <f t="shared" si="13"/>
        <v>#DIV/0!</v>
      </c>
      <c r="J33" t="e">
        <f t="shared" si="14"/>
        <v>#DIV/0!</v>
      </c>
      <c r="K33" t="e">
        <f t="shared" si="15"/>
        <v>#DIV/0!</v>
      </c>
      <c r="L33">
        <v>4</v>
      </c>
      <c r="M33" t="e">
        <f t="shared" si="16"/>
        <v>#DIV/0!</v>
      </c>
      <c r="N33" t="e">
        <f t="shared" si="17"/>
        <v>#DIV/0!</v>
      </c>
      <c r="O33" t="e">
        <f t="shared" si="18"/>
        <v>#DIV/0!</v>
      </c>
      <c r="P33" t="e">
        <f t="shared" si="19"/>
        <v>#DIV/0!</v>
      </c>
      <c r="Q33" t="e">
        <f>AVERAGE(M33:O33)</f>
        <v>#DIV/0!</v>
      </c>
    </row>
    <row r="34" spans="1:17">
      <c r="A34" s="65">
        <v>6</v>
      </c>
      <c r="B34" s="128">
        <v>8.6666666666666661</v>
      </c>
      <c r="C34">
        <v>0</v>
      </c>
      <c r="D34">
        <v>0</v>
      </c>
      <c r="E34">
        <v>0</v>
      </c>
      <c r="I34" t="e">
        <f t="shared" si="13"/>
        <v>#DIV/0!</v>
      </c>
      <c r="J34" t="e">
        <f t="shared" si="14"/>
        <v>#DIV/0!</v>
      </c>
      <c r="K34" t="e">
        <f t="shared" si="15"/>
        <v>#DIV/0!</v>
      </c>
      <c r="L34">
        <v>4</v>
      </c>
      <c r="M34" t="e">
        <f t="shared" si="16"/>
        <v>#DIV/0!</v>
      </c>
      <c r="N34" t="e">
        <f t="shared" si="17"/>
        <v>#DIV/0!</v>
      </c>
      <c r="O34" t="e">
        <f t="shared" si="18"/>
        <v>#DIV/0!</v>
      </c>
      <c r="P34" t="e">
        <f t="shared" si="19"/>
        <v>#DIV/0!</v>
      </c>
      <c r="Q34" t="e">
        <f t="shared" ref="Q34:Q45" si="21">AVERAGE(M34:O34)</f>
        <v>#DIV/0!</v>
      </c>
    </row>
    <row r="35" spans="1:17">
      <c r="A35" s="65">
        <v>7</v>
      </c>
      <c r="B35" s="128">
        <v>10</v>
      </c>
      <c r="C35">
        <v>0</v>
      </c>
      <c r="D35">
        <v>0</v>
      </c>
      <c r="E35">
        <v>0</v>
      </c>
      <c r="I35" t="e">
        <f t="shared" si="13"/>
        <v>#DIV/0!</v>
      </c>
      <c r="J35" t="e">
        <f t="shared" si="14"/>
        <v>#DIV/0!</v>
      </c>
      <c r="K35" t="e">
        <f t="shared" si="15"/>
        <v>#DIV/0!</v>
      </c>
      <c r="L35">
        <v>4</v>
      </c>
      <c r="M35" t="e">
        <f t="shared" si="16"/>
        <v>#DIV/0!</v>
      </c>
      <c r="N35" t="e">
        <f t="shared" si="17"/>
        <v>#DIV/0!</v>
      </c>
      <c r="O35" t="e">
        <f t="shared" si="18"/>
        <v>#DIV/0!</v>
      </c>
      <c r="P35" t="e">
        <f t="shared" si="19"/>
        <v>#DIV/0!</v>
      </c>
      <c r="Q35" t="e">
        <f t="shared" si="21"/>
        <v>#DIV/0!</v>
      </c>
    </row>
    <row r="36" spans="1:17">
      <c r="A36" s="65">
        <v>8</v>
      </c>
      <c r="B36" s="128">
        <v>11.333333333333334</v>
      </c>
      <c r="C36">
        <v>0</v>
      </c>
      <c r="D36">
        <v>0</v>
      </c>
      <c r="E36">
        <v>0</v>
      </c>
      <c r="I36" t="e">
        <f t="shared" si="13"/>
        <v>#DIV/0!</v>
      </c>
      <c r="J36" t="e">
        <f t="shared" si="14"/>
        <v>#DIV/0!</v>
      </c>
      <c r="K36" t="e">
        <f t="shared" si="15"/>
        <v>#DIV/0!</v>
      </c>
      <c r="L36">
        <v>4</v>
      </c>
      <c r="M36" t="e">
        <f t="shared" si="16"/>
        <v>#DIV/0!</v>
      </c>
      <c r="N36" t="e">
        <f t="shared" si="17"/>
        <v>#DIV/0!</v>
      </c>
      <c r="O36" t="e">
        <f t="shared" si="18"/>
        <v>#DIV/0!</v>
      </c>
      <c r="P36" t="e">
        <f t="shared" si="19"/>
        <v>#DIV/0!</v>
      </c>
      <c r="Q36" t="e">
        <f t="shared" si="21"/>
        <v>#DIV/0!</v>
      </c>
    </row>
    <row r="37" spans="1:17">
      <c r="A37" s="65">
        <v>9</v>
      </c>
      <c r="B37" s="128">
        <v>12.666666666666666</v>
      </c>
      <c r="C37">
        <v>0</v>
      </c>
      <c r="D37">
        <v>0</v>
      </c>
      <c r="E37">
        <v>0</v>
      </c>
      <c r="I37" t="e">
        <f t="shared" si="13"/>
        <v>#DIV/0!</v>
      </c>
      <c r="J37" t="e">
        <f t="shared" si="14"/>
        <v>#DIV/0!</v>
      </c>
      <c r="K37" t="e">
        <f t="shared" si="15"/>
        <v>#DIV/0!</v>
      </c>
      <c r="L37">
        <v>4</v>
      </c>
      <c r="M37" t="e">
        <f t="shared" si="16"/>
        <v>#DIV/0!</v>
      </c>
      <c r="N37" t="e">
        <f t="shared" si="17"/>
        <v>#DIV/0!</v>
      </c>
      <c r="O37" t="e">
        <f t="shared" si="18"/>
        <v>#DIV/0!</v>
      </c>
      <c r="P37" t="e">
        <f t="shared" si="19"/>
        <v>#DIV/0!</v>
      </c>
      <c r="Q37" t="e">
        <f t="shared" si="21"/>
        <v>#DIV/0!</v>
      </c>
    </row>
    <row r="38" spans="1:17">
      <c r="A38" s="65">
        <v>10</v>
      </c>
      <c r="B38" s="128">
        <v>14</v>
      </c>
      <c r="C38">
        <v>0</v>
      </c>
      <c r="D38">
        <v>0</v>
      </c>
      <c r="E38">
        <v>0</v>
      </c>
      <c r="I38" t="e">
        <f t="shared" si="13"/>
        <v>#DIV/0!</v>
      </c>
      <c r="J38" t="e">
        <f t="shared" si="14"/>
        <v>#DIV/0!</v>
      </c>
      <c r="K38" t="e">
        <f t="shared" si="15"/>
        <v>#DIV/0!</v>
      </c>
      <c r="L38">
        <v>4</v>
      </c>
      <c r="M38" t="e">
        <f t="shared" si="16"/>
        <v>#DIV/0!</v>
      </c>
      <c r="N38" t="e">
        <f t="shared" si="17"/>
        <v>#DIV/0!</v>
      </c>
      <c r="O38" t="e">
        <f t="shared" si="18"/>
        <v>#DIV/0!</v>
      </c>
      <c r="P38" t="e">
        <f t="shared" si="19"/>
        <v>#DIV/0!</v>
      </c>
      <c r="Q38" t="e">
        <f t="shared" si="21"/>
        <v>#DIV/0!</v>
      </c>
    </row>
    <row r="39" spans="1:17">
      <c r="A39" s="65">
        <v>11</v>
      </c>
      <c r="B39" s="128">
        <v>15.333333333333334</v>
      </c>
      <c r="C39">
        <v>0</v>
      </c>
      <c r="D39">
        <v>0</v>
      </c>
      <c r="E39">
        <v>0</v>
      </c>
      <c r="I39" t="e">
        <f t="shared" si="13"/>
        <v>#DIV/0!</v>
      </c>
      <c r="J39" t="e">
        <f t="shared" si="14"/>
        <v>#DIV/0!</v>
      </c>
      <c r="K39" t="e">
        <f t="shared" si="15"/>
        <v>#DIV/0!</v>
      </c>
      <c r="L39">
        <v>4</v>
      </c>
      <c r="M39" t="e">
        <f t="shared" si="16"/>
        <v>#DIV/0!</v>
      </c>
      <c r="N39" t="e">
        <f t="shared" si="17"/>
        <v>#DIV/0!</v>
      </c>
      <c r="O39" t="e">
        <f t="shared" si="18"/>
        <v>#DIV/0!</v>
      </c>
      <c r="P39" t="e">
        <f t="shared" si="19"/>
        <v>#DIV/0!</v>
      </c>
      <c r="Q39" t="e">
        <f t="shared" si="21"/>
        <v>#DIV/0!</v>
      </c>
    </row>
    <row r="40" spans="1:17">
      <c r="A40" s="65">
        <v>12</v>
      </c>
      <c r="B40" s="128">
        <v>16.666666666666668</v>
      </c>
      <c r="C40">
        <v>0</v>
      </c>
      <c r="D40">
        <v>0</v>
      </c>
      <c r="E40">
        <v>0</v>
      </c>
      <c r="I40" t="e">
        <f t="shared" si="13"/>
        <v>#DIV/0!</v>
      </c>
      <c r="J40" t="e">
        <f t="shared" si="14"/>
        <v>#DIV/0!</v>
      </c>
      <c r="K40" t="e">
        <f t="shared" si="15"/>
        <v>#DIV/0!</v>
      </c>
      <c r="L40">
        <v>4</v>
      </c>
      <c r="M40" t="e">
        <f t="shared" si="16"/>
        <v>#DIV/0!</v>
      </c>
      <c r="N40" t="e">
        <f t="shared" si="17"/>
        <v>#DIV/0!</v>
      </c>
      <c r="O40" t="e">
        <f t="shared" si="18"/>
        <v>#DIV/0!</v>
      </c>
      <c r="P40" t="e">
        <f t="shared" si="19"/>
        <v>#DIV/0!</v>
      </c>
      <c r="Q40" t="e">
        <f t="shared" si="21"/>
        <v>#DIV/0!</v>
      </c>
    </row>
    <row r="41" spans="1:17">
      <c r="A41" s="65">
        <v>13</v>
      </c>
      <c r="B41" s="128">
        <v>18</v>
      </c>
      <c r="C41">
        <v>0</v>
      </c>
      <c r="D41">
        <v>0</v>
      </c>
      <c r="E41">
        <v>0</v>
      </c>
      <c r="I41" t="e">
        <f t="shared" si="13"/>
        <v>#DIV/0!</v>
      </c>
      <c r="J41" t="e">
        <f t="shared" si="14"/>
        <v>#DIV/0!</v>
      </c>
      <c r="K41" t="e">
        <f t="shared" si="15"/>
        <v>#DIV/0!</v>
      </c>
      <c r="L41">
        <v>4</v>
      </c>
      <c r="M41" t="e">
        <f t="shared" si="16"/>
        <v>#DIV/0!</v>
      </c>
      <c r="N41" t="e">
        <f t="shared" si="17"/>
        <v>#DIV/0!</v>
      </c>
      <c r="O41" t="e">
        <f t="shared" si="18"/>
        <v>#DIV/0!</v>
      </c>
      <c r="P41" t="e">
        <f t="shared" si="19"/>
        <v>#DIV/0!</v>
      </c>
      <c r="Q41" t="e">
        <f t="shared" si="21"/>
        <v>#DIV/0!</v>
      </c>
    </row>
    <row r="42" spans="1:17">
      <c r="A42" s="65">
        <v>14</v>
      </c>
      <c r="B42" s="128">
        <v>19.333333333333332</v>
      </c>
      <c r="C42">
        <v>0</v>
      </c>
      <c r="D42">
        <v>0</v>
      </c>
      <c r="E42">
        <v>0</v>
      </c>
      <c r="I42" t="e">
        <f t="shared" si="13"/>
        <v>#DIV/0!</v>
      </c>
      <c r="J42" t="e">
        <f t="shared" si="14"/>
        <v>#DIV/0!</v>
      </c>
      <c r="K42" t="e">
        <f t="shared" si="15"/>
        <v>#DIV/0!</v>
      </c>
      <c r="L42">
        <v>4</v>
      </c>
      <c r="M42" t="e">
        <f t="shared" si="16"/>
        <v>#DIV/0!</v>
      </c>
      <c r="N42" t="e">
        <f t="shared" si="17"/>
        <v>#DIV/0!</v>
      </c>
      <c r="O42" t="e">
        <f t="shared" si="18"/>
        <v>#DIV/0!</v>
      </c>
      <c r="P42" t="e">
        <f t="shared" si="19"/>
        <v>#DIV/0!</v>
      </c>
      <c r="Q42" t="e">
        <f t="shared" si="21"/>
        <v>#DIV/0!</v>
      </c>
    </row>
    <row r="43" spans="1:17">
      <c r="A43" s="65">
        <v>15</v>
      </c>
      <c r="B43" s="128">
        <v>24.166666666666668</v>
      </c>
      <c r="C43">
        <v>0</v>
      </c>
      <c r="D43">
        <v>0</v>
      </c>
      <c r="E43">
        <v>0</v>
      </c>
      <c r="I43" t="e">
        <f t="shared" si="13"/>
        <v>#DIV/0!</v>
      </c>
      <c r="J43" t="e">
        <f t="shared" si="14"/>
        <v>#DIV/0!</v>
      </c>
      <c r="K43" t="e">
        <f t="shared" si="15"/>
        <v>#DIV/0!</v>
      </c>
      <c r="L43">
        <v>4</v>
      </c>
      <c r="M43" t="e">
        <f t="shared" si="16"/>
        <v>#DIV/0!</v>
      </c>
      <c r="N43" t="e">
        <f t="shared" si="17"/>
        <v>#DIV/0!</v>
      </c>
      <c r="O43" t="e">
        <f t="shared" si="18"/>
        <v>#DIV/0!</v>
      </c>
      <c r="P43" t="e">
        <f t="shared" si="19"/>
        <v>#DIV/0!</v>
      </c>
      <c r="Q43" t="e">
        <f t="shared" si="21"/>
        <v>#DIV/0!</v>
      </c>
    </row>
    <row r="44" spans="1:17">
      <c r="A44" s="65">
        <v>16</v>
      </c>
      <c r="B44" s="128">
        <v>30.166666666666668</v>
      </c>
      <c r="C44">
        <v>0</v>
      </c>
      <c r="D44">
        <v>0</v>
      </c>
      <c r="E44">
        <v>0</v>
      </c>
      <c r="I44" t="e">
        <f t="shared" si="13"/>
        <v>#DIV/0!</v>
      </c>
      <c r="J44" t="e">
        <f t="shared" si="14"/>
        <v>#DIV/0!</v>
      </c>
      <c r="K44" t="e">
        <f t="shared" si="15"/>
        <v>#DIV/0!</v>
      </c>
      <c r="L44">
        <v>4</v>
      </c>
      <c r="M44" t="e">
        <f t="shared" si="16"/>
        <v>#DIV/0!</v>
      </c>
      <c r="N44" t="e">
        <f t="shared" si="17"/>
        <v>#DIV/0!</v>
      </c>
      <c r="O44" t="e">
        <f t="shared" si="18"/>
        <v>#DIV/0!</v>
      </c>
      <c r="P44" t="e">
        <f t="shared" si="19"/>
        <v>#DIV/0!</v>
      </c>
      <c r="Q44" t="e">
        <f t="shared" si="21"/>
        <v>#DIV/0!</v>
      </c>
    </row>
    <row r="45" spans="1:17">
      <c r="A45" s="65">
        <v>17</v>
      </c>
      <c r="B45" s="128">
        <v>48.166666666666664</v>
      </c>
      <c r="C45">
        <v>0</v>
      </c>
      <c r="D45">
        <v>0</v>
      </c>
      <c r="E45">
        <v>0</v>
      </c>
      <c r="I45" t="e">
        <f>C45/F45</f>
        <v>#DIV/0!</v>
      </c>
      <c r="J45" t="e">
        <f t="shared" si="14"/>
        <v>#DIV/0!</v>
      </c>
      <c r="K45" t="e">
        <f t="shared" si="15"/>
        <v>#DIV/0!</v>
      </c>
      <c r="L45">
        <v>4</v>
      </c>
      <c r="M45" t="e">
        <f t="shared" si="16"/>
        <v>#DIV/0!</v>
      </c>
      <c r="N45" t="e">
        <f t="shared" si="17"/>
        <v>#DIV/0!</v>
      </c>
      <c r="O45" t="e">
        <f t="shared" si="18"/>
        <v>#DIV/0!</v>
      </c>
      <c r="P45" t="e">
        <f>STDEV(M45:O45)</f>
        <v>#DIV/0!</v>
      </c>
      <c r="Q45" t="e">
        <f t="shared" si="21"/>
        <v>#DIV/0!</v>
      </c>
    </row>
    <row r="46" spans="1:17">
      <c r="A46" t="s">
        <v>289</v>
      </c>
      <c r="B46" s="131">
        <f>'Calibration acetic acid'!J2</f>
        <v>0</v>
      </c>
      <c r="C46" t="s">
        <v>277</v>
      </c>
    </row>
    <row r="47" spans="1:17">
      <c r="A47" t="s">
        <v>218</v>
      </c>
      <c r="B47" s="131">
        <f>'Calibration acetic acid'!K2</f>
        <v>0</v>
      </c>
      <c r="C47" t="s">
        <v>278</v>
      </c>
    </row>
    <row r="49" spans="1:17" ht="15" thickBot="1">
      <c r="A49" t="s">
        <v>67</v>
      </c>
      <c r="C49" t="s">
        <v>61</v>
      </c>
      <c r="D49">
        <v>74.08</v>
      </c>
      <c r="E49" t="s">
        <v>39</v>
      </c>
      <c r="K49" s="130"/>
      <c r="M49" t="s">
        <v>279</v>
      </c>
      <c r="O49" t="s">
        <v>280</v>
      </c>
    </row>
    <row r="50" spans="1:17" ht="15" thickTop="1">
      <c r="A50" s="30" t="s">
        <v>4</v>
      </c>
      <c r="B50" s="30" t="s">
        <v>5</v>
      </c>
      <c r="C50" s="30" t="s">
        <v>263</v>
      </c>
      <c r="D50" s="30" t="s">
        <v>264</v>
      </c>
      <c r="E50" s="30" t="s">
        <v>265</v>
      </c>
      <c r="F50" s="30" t="s">
        <v>266</v>
      </c>
      <c r="G50" s="30" t="s">
        <v>267</v>
      </c>
      <c r="H50" s="30" t="s">
        <v>268</v>
      </c>
      <c r="I50" s="30" t="s">
        <v>269</v>
      </c>
      <c r="J50" s="30" t="s">
        <v>270</v>
      </c>
      <c r="K50" s="30" t="s">
        <v>271</v>
      </c>
      <c r="L50" s="30" t="s">
        <v>19</v>
      </c>
      <c r="M50" s="30" t="s">
        <v>272</v>
      </c>
      <c r="N50" s="30" t="s">
        <v>273</v>
      </c>
      <c r="O50" s="30" t="s">
        <v>274</v>
      </c>
      <c r="P50" s="30" t="s">
        <v>275</v>
      </c>
      <c r="Q50" s="30" t="s">
        <v>276</v>
      </c>
    </row>
    <row r="51" spans="1:17">
      <c r="A51" s="64">
        <v>0</v>
      </c>
      <c r="B51" s="127">
        <v>-0.16666666666666666</v>
      </c>
      <c r="C51">
        <v>0</v>
      </c>
      <c r="D51">
        <v>0</v>
      </c>
      <c r="E51">
        <v>0</v>
      </c>
      <c r="I51" t="e">
        <f>C51/F51</f>
        <v>#DIV/0!</v>
      </c>
      <c r="J51" t="e">
        <f>D51/G51</f>
        <v>#DIV/0!</v>
      </c>
      <c r="K51" t="e">
        <f>E51/H51</f>
        <v>#DIV/0!</v>
      </c>
      <c r="L51">
        <v>4</v>
      </c>
      <c r="M51" t="e">
        <f>((I51-$B$71)/($B$70))*L51</f>
        <v>#DIV/0!</v>
      </c>
      <c r="N51" t="e">
        <f t="shared" ref="N51:O51" si="22">((J51-$B$71)/($B$70))*M51</f>
        <v>#DIV/0!</v>
      </c>
      <c r="O51" t="e">
        <f t="shared" si="22"/>
        <v>#DIV/0!</v>
      </c>
      <c r="P51" t="e">
        <f>STDEV(M51:O51)</f>
        <v>#DIV/0!</v>
      </c>
      <c r="Q51" t="e">
        <f>AVERAGE(M51:O51)</f>
        <v>#DIV/0!</v>
      </c>
    </row>
    <row r="52" spans="1:17">
      <c r="A52" s="65">
        <v>0</v>
      </c>
      <c r="B52" s="128">
        <v>0.16666666666666666</v>
      </c>
      <c r="C52">
        <v>0</v>
      </c>
      <c r="D52">
        <v>0</v>
      </c>
      <c r="E52">
        <v>0</v>
      </c>
      <c r="I52" t="e">
        <f t="shared" ref="I52:I68" si="23">C52/F52</f>
        <v>#DIV/0!</v>
      </c>
      <c r="J52" t="e">
        <f t="shared" ref="J52:J69" si="24">D52/G52</f>
        <v>#DIV/0!</v>
      </c>
      <c r="K52" t="e">
        <f t="shared" ref="K52:K69" si="25">E52/H52</f>
        <v>#DIV/0!</v>
      </c>
      <c r="L52">
        <v>4</v>
      </c>
      <c r="M52" t="e">
        <f t="shared" ref="M52:M69" si="26">((I52-$B$71)/($B$70))*L52</f>
        <v>#DIV/0!</v>
      </c>
      <c r="N52" t="e">
        <f t="shared" ref="N52:N69" si="27">((J52-$B$71)/($B$70))*M52</f>
        <v>#DIV/0!</v>
      </c>
      <c r="O52" t="e">
        <f t="shared" ref="O52:O68" si="28">((K52-$B$71)/($B$70))*N52</f>
        <v>#DIV/0!</v>
      </c>
      <c r="P52" t="e">
        <f t="shared" ref="P52:P68" si="29">STDEV(M52:O52)</f>
        <v>#DIV/0!</v>
      </c>
      <c r="Q52" t="e">
        <f t="shared" ref="Q52:Q56" si="30">AVERAGE(M52:O52)</f>
        <v>#DIV/0!</v>
      </c>
    </row>
    <row r="53" spans="1:17">
      <c r="A53" s="65">
        <v>1</v>
      </c>
      <c r="B53" s="128">
        <v>2</v>
      </c>
      <c r="C53">
        <v>0</v>
      </c>
      <c r="D53">
        <v>0</v>
      </c>
      <c r="E53">
        <v>0</v>
      </c>
      <c r="I53" t="e">
        <f t="shared" si="23"/>
        <v>#DIV/0!</v>
      </c>
      <c r="J53" t="e">
        <f t="shared" si="24"/>
        <v>#DIV/0!</v>
      </c>
      <c r="K53" t="e">
        <f t="shared" si="25"/>
        <v>#DIV/0!</v>
      </c>
      <c r="L53">
        <v>4</v>
      </c>
      <c r="M53" t="e">
        <f t="shared" si="26"/>
        <v>#DIV/0!</v>
      </c>
      <c r="N53" t="e">
        <f t="shared" si="27"/>
        <v>#DIV/0!</v>
      </c>
      <c r="O53" t="e">
        <f t="shared" si="28"/>
        <v>#DIV/0!</v>
      </c>
      <c r="P53" t="e">
        <f t="shared" si="29"/>
        <v>#DIV/0!</v>
      </c>
      <c r="Q53" t="e">
        <f t="shared" si="30"/>
        <v>#DIV/0!</v>
      </c>
    </row>
    <row r="54" spans="1:17">
      <c r="A54" s="65">
        <v>2</v>
      </c>
      <c r="B54" s="128">
        <v>3.3333333333333335</v>
      </c>
      <c r="C54">
        <v>0</v>
      </c>
      <c r="D54">
        <v>0</v>
      </c>
      <c r="E54">
        <v>0</v>
      </c>
      <c r="I54" t="e">
        <f t="shared" si="23"/>
        <v>#DIV/0!</v>
      </c>
      <c r="J54" t="e">
        <f t="shared" si="24"/>
        <v>#DIV/0!</v>
      </c>
      <c r="K54" t="e">
        <f t="shared" si="25"/>
        <v>#DIV/0!</v>
      </c>
      <c r="L54">
        <v>4</v>
      </c>
      <c r="M54" t="e">
        <f t="shared" si="26"/>
        <v>#DIV/0!</v>
      </c>
      <c r="N54" t="e">
        <f t="shared" si="27"/>
        <v>#DIV/0!</v>
      </c>
      <c r="O54" t="e">
        <f t="shared" si="28"/>
        <v>#DIV/0!</v>
      </c>
      <c r="P54" t="e">
        <f t="shared" si="29"/>
        <v>#DIV/0!</v>
      </c>
      <c r="Q54" t="e">
        <f t="shared" si="30"/>
        <v>#DIV/0!</v>
      </c>
    </row>
    <row r="55" spans="1:17">
      <c r="A55" s="65">
        <v>3</v>
      </c>
      <c r="B55" s="128">
        <v>4.666666666666667</v>
      </c>
      <c r="C55">
        <v>0</v>
      </c>
      <c r="D55">
        <v>0</v>
      </c>
      <c r="E55">
        <v>0</v>
      </c>
      <c r="I55" t="e">
        <f t="shared" si="23"/>
        <v>#DIV/0!</v>
      </c>
      <c r="J55" t="e">
        <f t="shared" si="24"/>
        <v>#DIV/0!</v>
      </c>
      <c r="K55" t="e">
        <f t="shared" si="25"/>
        <v>#DIV/0!</v>
      </c>
      <c r="L55">
        <v>4</v>
      </c>
      <c r="M55" t="e">
        <f t="shared" si="26"/>
        <v>#DIV/0!</v>
      </c>
      <c r="N55" t="e">
        <f t="shared" si="27"/>
        <v>#DIV/0!</v>
      </c>
      <c r="O55" t="e">
        <f t="shared" si="28"/>
        <v>#DIV/0!</v>
      </c>
      <c r="P55" t="e">
        <f t="shared" si="29"/>
        <v>#DIV/0!</v>
      </c>
      <c r="Q55" t="e">
        <f t="shared" si="30"/>
        <v>#DIV/0!</v>
      </c>
    </row>
    <row r="56" spans="1:17">
      <c r="A56" s="65">
        <v>4</v>
      </c>
      <c r="B56" s="128">
        <v>6</v>
      </c>
      <c r="C56">
        <v>0</v>
      </c>
      <c r="D56">
        <v>0</v>
      </c>
      <c r="E56">
        <v>0</v>
      </c>
      <c r="I56" t="e">
        <f t="shared" si="23"/>
        <v>#DIV/0!</v>
      </c>
      <c r="J56" t="e">
        <f t="shared" si="24"/>
        <v>#DIV/0!</v>
      </c>
      <c r="K56" t="e">
        <f t="shared" si="25"/>
        <v>#DIV/0!</v>
      </c>
      <c r="L56">
        <v>4</v>
      </c>
      <c r="M56" t="e">
        <f t="shared" si="26"/>
        <v>#DIV/0!</v>
      </c>
      <c r="N56" t="e">
        <f t="shared" si="27"/>
        <v>#DIV/0!</v>
      </c>
      <c r="O56" t="e">
        <f t="shared" si="28"/>
        <v>#DIV/0!</v>
      </c>
      <c r="P56" t="e">
        <f t="shared" si="29"/>
        <v>#DIV/0!</v>
      </c>
      <c r="Q56" t="e">
        <f t="shared" si="30"/>
        <v>#DIV/0!</v>
      </c>
    </row>
    <row r="57" spans="1:17">
      <c r="A57" s="65">
        <v>5</v>
      </c>
      <c r="B57" s="128">
        <v>7.333333333333333</v>
      </c>
      <c r="C57">
        <v>0</v>
      </c>
      <c r="D57">
        <v>0</v>
      </c>
      <c r="E57">
        <v>0</v>
      </c>
      <c r="I57" t="e">
        <f t="shared" si="23"/>
        <v>#DIV/0!</v>
      </c>
      <c r="J57" t="e">
        <f t="shared" si="24"/>
        <v>#DIV/0!</v>
      </c>
      <c r="K57" t="e">
        <f t="shared" si="25"/>
        <v>#DIV/0!</v>
      </c>
      <c r="L57">
        <v>4</v>
      </c>
      <c r="M57" t="e">
        <f t="shared" si="26"/>
        <v>#DIV/0!</v>
      </c>
      <c r="N57" t="e">
        <f t="shared" si="27"/>
        <v>#DIV/0!</v>
      </c>
      <c r="O57" t="e">
        <f t="shared" si="28"/>
        <v>#DIV/0!</v>
      </c>
      <c r="P57" t="e">
        <f t="shared" si="29"/>
        <v>#DIV/0!</v>
      </c>
      <c r="Q57" t="e">
        <f>AVERAGE(M57:O57)</f>
        <v>#DIV/0!</v>
      </c>
    </row>
    <row r="58" spans="1:17">
      <c r="A58" s="65">
        <v>6</v>
      </c>
      <c r="B58" s="128">
        <v>8.6666666666666661</v>
      </c>
      <c r="C58">
        <v>0</v>
      </c>
      <c r="D58">
        <v>0</v>
      </c>
      <c r="E58">
        <v>0</v>
      </c>
      <c r="I58" t="e">
        <f t="shared" si="23"/>
        <v>#DIV/0!</v>
      </c>
      <c r="J58" t="e">
        <f t="shared" si="24"/>
        <v>#DIV/0!</v>
      </c>
      <c r="K58" t="e">
        <f t="shared" si="25"/>
        <v>#DIV/0!</v>
      </c>
      <c r="L58">
        <v>4</v>
      </c>
      <c r="M58" t="e">
        <f t="shared" si="26"/>
        <v>#DIV/0!</v>
      </c>
      <c r="N58" t="e">
        <f t="shared" si="27"/>
        <v>#DIV/0!</v>
      </c>
      <c r="O58" t="e">
        <f t="shared" si="28"/>
        <v>#DIV/0!</v>
      </c>
      <c r="P58" t="e">
        <f t="shared" si="29"/>
        <v>#DIV/0!</v>
      </c>
      <c r="Q58" t="e">
        <f t="shared" ref="Q58:Q68" si="31">AVERAGE(M58:O58)</f>
        <v>#DIV/0!</v>
      </c>
    </row>
    <row r="59" spans="1:17">
      <c r="A59" s="65">
        <v>7</v>
      </c>
      <c r="B59" s="128">
        <v>10</v>
      </c>
      <c r="C59">
        <v>0</v>
      </c>
      <c r="D59">
        <v>0</v>
      </c>
      <c r="E59">
        <v>0</v>
      </c>
      <c r="I59" t="e">
        <f t="shared" si="23"/>
        <v>#DIV/0!</v>
      </c>
      <c r="J59" t="e">
        <f t="shared" si="24"/>
        <v>#DIV/0!</v>
      </c>
      <c r="K59" t="e">
        <f t="shared" si="25"/>
        <v>#DIV/0!</v>
      </c>
      <c r="L59">
        <v>4</v>
      </c>
      <c r="M59" t="e">
        <f t="shared" si="26"/>
        <v>#DIV/0!</v>
      </c>
      <c r="N59" t="e">
        <f t="shared" si="27"/>
        <v>#DIV/0!</v>
      </c>
      <c r="O59" t="e">
        <f t="shared" si="28"/>
        <v>#DIV/0!</v>
      </c>
      <c r="P59" t="e">
        <f t="shared" si="29"/>
        <v>#DIV/0!</v>
      </c>
      <c r="Q59" t="e">
        <f t="shared" si="31"/>
        <v>#DIV/0!</v>
      </c>
    </row>
    <row r="60" spans="1:17">
      <c r="A60" s="65">
        <v>8</v>
      </c>
      <c r="B60" s="128">
        <v>11.333333333333334</v>
      </c>
      <c r="C60">
        <v>0</v>
      </c>
      <c r="D60">
        <v>0</v>
      </c>
      <c r="E60">
        <v>0</v>
      </c>
      <c r="I60" t="e">
        <f t="shared" si="23"/>
        <v>#DIV/0!</v>
      </c>
      <c r="J60" t="e">
        <f t="shared" si="24"/>
        <v>#DIV/0!</v>
      </c>
      <c r="K60" t="e">
        <f t="shared" si="25"/>
        <v>#DIV/0!</v>
      </c>
      <c r="L60">
        <v>4</v>
      </c>
      <c r="M60" t="e">
        <f t="shared" si="26"/>
        <v>#DIV/0!</v>
      </c>
      <c r="N60" t="e">
        <f t="shared" si="27"/>
        <v>#DIV/0!</v>
      </c>
      <c r="O60" t="e">
        <f t="shared" si="28"/>
        <v>#DIV/0!</v>
      </c>
      <c r="P60" t="e">
        <f t="shared" si="29"/>
        <v>#DIV/0!</v>
      </c>
      <c r="Q60" t="e">
        <f t="shared" si="31"/>
        <v>#DIV/0!</v>
      </c>
    </row>
    <row r="61" spans="1:17">
      <c r="A61" s="65">
        <v>9</v>
      </c>
      <c r="B61" s="128">
        <v>12.666666666666666</v>
      </c>
      <c r="C61">
        <v>0</v>
      </c>
      <c r="D61">
        <v>0</v>
      </c>
      <c r="E61">
        <v>0</v>
      </c>
      <c r="I61" t="e">
        <f t="shared" si="23"/>
        <v>#DIV/0!</v>
      </c>
      <c r="J61" t="e">
        <f t="shared" si="24"/>
        <v>#DIV/0!</v>
      </c>
      <c r="K61" t="e">
        <f t="shared" si="25"/>
        <v>#DIV/0!</v>
      </c>
      <c r="L61">
        <v>4</v>
      </c>
      <c r="M61" t="e">
        <f t="shared" si="26"/>
        <v>#DIV/0!</v>
      </c>
      <c r="N61" t="e">
        <f t="shared" si="27"/>
        <v>#DIV/0!</v>
      </c>
      <c r="O61" t="e">
        <f t="shared" si="28"/>
        <v>#DIV/0!</v>
      </c>
      <c r="P61" t="e">
        <f t="shared" si="29"/>
        <v>#DIV/0!</v>
      </c>
      <c r="Q61" t="e">
        <f t="shared" si="31"/>
        <v>#DIV/0!</v>
      </c>
    </row>
    <row r="62" spans="1:17">
      <c r="A62" s="65">
        <v>10</v>
      </c>
      <c r="B62" s="128">
        <v>14</v>
      </c>
      <c r="C62">
        <v>0</v>
      </c>
      <c r="D62">
        <v>0</v>
      </c>
      <c r="E62">
        <v>0</v>
      </c>
      <c r="I62" t="e">
        <f t="shared" si="23"/>
        <v>#DIV/0!</v>
      </c>
      <c r="J62" t="e">
        <f t="shared" si="24"/>
        <v>#DIV/0!</v>
      </c>
      <c r="K62" t="e">
        <f t="shared" si="25"/>
        <v>#DIV/0!</v>
      </c>
      <c r="L62">
        <v>4</v>
      </c>
      <c r="M62" t="e">
        <f t="shared" si="26"/>
        <v>#DIV/0!</v>
      </c>
      <c r="N62" t="e">
        <f t="shared" si="27"/>
        <v>#DIV/0!</v>
      </c>
      <c r="O62" t="e">
        <f t="shared" si="28"/>
        <v>#DIV/0!</v>
      </c>
      <c r="P62" t="e">
        <f t="shared" si="29"/>
        <v>#DIV/0!</v>
      </c>
      <c r="Q62" t="e">
        <f t="shared" si="31"/>
        <v>#DIV/0!</v>
      </c>
    </row>
    <row r="63" spans="1:17">
      <c r="A63" s="65">
        <v>11</v>
      </c>
      <c r="B63" s="128">
        <v>15.333333333333334</v>
      </c>
      <c r="C63">
        <v>0</v>
      </c>
      <c r="D63">
        <v>0</v>
      </c>
      <c r="E63">
        <v>0</v>
      </c>
      <c r="I63" t="e">
        <f t="shared" si="23"/>
        <v>#DIV/0!</v>
      </c>
      <c r="J63" t="e">
        <f t="shared" si="24"/>
        <v>#DIV/0!</v>
      </c>
      <c r="K63" t="e">
        <f t="shared" si="25"/>
        <v>#DIV/0!</v>
      </c>
      <c r="L63">
        <v>4</v>
      </c>
      <c r="M63" t="e">
        <f t="shared" si="26"/>
        <v>#DIV/0!</v>
      </c>
      <c r="N63" t="e">
        <f t="shared" si="27"/>
        <v>#DIV/0!</v>
      </c>
      <c r="O63" t="e">
        <f t="shared" si="28"/>
        <v>#DIV/0!</v>
      </c>
      <c r="P63" t="e">
        <f t="shared" si="29"/>
        <v>#DIV/0!</v>
      </c>
      <c r="Q63" t="e">
        <f t="shared" si="31"/>
        <v>#DIV/0!</v>
      </c>
    </row>
    <row r="64" spans="1:17">
      <c r="A64" s="65">
        <v>12</v>
      </c>
      <c r="B64" s="128">
        <v>16.666666666666668</v>
      </c>
      <c r="C64">
        <v>0</v>
      </c>
      <c r="D64">
        <v>0</v>
      </c>
      <c r="E64">
        <v>0</v>
      </c>
      <c r="I64" t="e">
        <f t="shared" si="23"/>
        <v>#DIV/0!</v>
      </c>
      <c r="J64" t="e">
        <f t="shared" si="24"/>
        <v>#DIV/0!</v>
      </c>
      <c r="K64" t="e">
        <f t="shared" si="25"/>
        <v>#DIV/0!</v>
      </c>
      <c r="L64">
        <v>4</v>
      </c>
      <c r="M64" t="e">
        <f t="shared" si="26"/>
        <v>#DIV/0!</v>
      </c>
      <c r="N64" t="e">
        <f t="shared" si="27"/>
        <v>#DIV/0!</v>
      </c>
      <c r="O64" t="e">
        <f t="shared" si="28"/>
        <v>#DIV/0!</v>
      </c>
      <c r="P64" t="e">
        <f t="shared" si="29"/>
        <v>#DIV/0!</v>
      </c>
      <c r="Q64" t="e">
        <f t="shared" si="31"/>
        <v>#DIV/0!</v>
      </c>
    </row>
    <row r="65" spans="1:17">
      <c r="A65" s="65">
        <v>13</v>
      </c>
      <c r="B65" s="128">
        <v>18</v>
      </c>
      <c r="C65">
        <v>0</v>
      </c>
      <c r="D65">
        <v>0</v>
      </c>
      <c r="E65">
        <v>0</v>
      </c>
      <c r="I65" t="e">
        <f t="shared" si="23"/>
        <v>#DIV/0!</v>
      </c>
      <c r="J65" t="e">
        <f t="shared" si="24"/>
        <v>#DIV/0!</v>
      </c>
      <c r="K65" t="e">
        <f>E65/H65</f>
        <v>#DIV/0!</v>
      </c>
      <c r="L65">
        <v>4</v>
      </c>
      <c r="M65" t="e">
        <f t="shared" si="26"/>
        <v>#DIV/0!</v>
      </c>
      <c r="N65" t="e">
        <f t="shared" si="27"/>
        <v>#DIV/0!</v>
      </c>
      <c r="O65" t="e">
        <f t="shared" si="28"/>
        <v>#DIV/0!</v>
      </c>
      <c r="P65" t="e">
        <f t="shared" si="29"/>
        <v>#DIV/0!</v>
      </c>
      <c r="Q65" t="e">
        <f t="shared" si="31"/>
        <v>#DIV/0!</v>
      </c>
    </row>
    <row r="66" spans="1:17">
      <c r="A66" s="65">
        <v>14</v>
      </c>
      <c r="B66" s="128">
        <v>19.333333333333332</v>
      </c>
      <c r="C66">
        <v>0</v>
      </c>
      <c r="D66">
        <v>0</v>
      </c>
      <c r="E66">
        <v>0</v>
      </c>
      <c r="I66" t="e">
        <f t="shared" si="23"/>
        <v>#DIV/0!</v>
      </c>
      <c r="J66" t="e">
        <f t="shared" si="24"/>
        <v>#DIV/0!</v>
      </c>
      <c r="K66" t="e">
        <f t="shared" si="25"/>
        <v>#DIV/0!</v>
      </c>
      <c r="L66">
        <v>4</v>
      </c>
      <c r="M66" t="e">
        <f t="shared" si="26"/>
        <v>#DIV/0!</v>
      </c>
      <c r="N66" t="e">
        <f t="shared" si="27"/>
        <v>#DIV/0!</v>
      </c>
      <c r="O66" t="e">
        <f t="shared" si="28"/>
        <v>#DIV/0!</v>
      </c>
      <c r="P66" t="e">
        <f t="shared" si="29"/>
        <v>#DIV/0!</v>
      </c>
      <c r="Q66" t="e">
        <f t="shared" si="31"/>
        <v>#DIV/0!</v>
      </c>
    </row>
    <row r="67" spans="1:17">
      <c r="A67" s="65">
        <v>15</v>
      </c>
      <c r="B67" s="128">
        <v>24.166666666666668</v>
      </c>
      <c r="C67">
        <v>0</v>
      </c>
      <c r="D67">
        <v>0</v>
      </c>
      <c r="E67">
        <v>0</v>
      </c>
      <c r="I67" t="e">
        <f t="shared" si="23"/>
        <v>#DIV/0!</v>
      </c>
      <c r="J67" t="e">
        <f t="shared" si="24"/>
        <v>#DIV/0!</v>
      </c>
      <c r="K67" t="e">
        <f t="shared" si="25"/>
        <v>#DIV/0!</v>
      </c>
      <c r="L67">
        <v>4</v>
      </c>
      <c r="M67" t="e">
        <f t="shared" si="26"/>
        <v>#DIV/0!</v>
      </c>
      <c r="N67" t="e">
        <f t="shared" si="27"/>
        <v>#DIV/0!</v>
      </c>
      <c r="O67" t="e">
        <f t="shared" si="28"/>
        <v>#DIV/0!</v>
      </c>
      <c r="P67" t="e">
        <f t="shared" si="29"/>
        <v>#DIV/0!</v>
      </c>
      <c r="Q67" t="e">
        <f t="shared" si="31"/>
        <v>#DIV/0!</v>
      </c>
    </row>
    <row r="68" spans="1:17">
      <c r="A68" s="65">
        <v>16</v>
      </c>
      <c r="B68" s="128">
        <v>30.166666666666668</v>
      </c>
      <c r="C68">
        <v>0</v>
      </c>
      <c r="D68">
        <v>0</v>
      </c>
      <c r="E68">
        <v>0</v>
      </c>
      <c r="I68" t="e">
        <f t="shared" si="23"/>
        <v>#DIV/0!</v>
      </c>
      <c r="J68" t="e">
        <f t="shared" si="24"/>
        <v>#DIV/0!</v>
      </c>
      <c r="K68" t="e">
        <f t="shared" si="25"/>
        <v>#DIV/0!</v>
      </c>
      <c r="L68">
        <v>4</v>
      </c>
      <c r="M68" t="e">
        <f t="shared" si="26"/>
        <v>#DIV/0!</v>
      </c>
      <c r="N68" t="e">
        <f t="shared" si="27"/>
        <v>#DIV/0!</v>
      </c>
      <c r="O68" t="e">
        <f t="shared" si="28"/>
        <v>#DIV/0!</v>
      </c>
      <c r="P68" t="e">
        <f t="shared" si="29"/>
        <v>#DIV/0!</v>
      </c>
      <c r="Q68" t="e">
        <f t="shared" si="31"/>
        <v>#DIV/0!</v>
      </c>
    </row>
    <row r="69" spans="1:17">
      <c r="A69" s="65">
        <v>17</v>
      </c>
      <c r="B69" s="128">
        <v>48.166666666666664</v>
      </c>
      <c r="C69">
        <v>0</v>
      </c>
      <c r="D69">
        <v>0</v>
      </c>
      <c r="E69">
        <v>0</v>
      </c>
      <c r="I69" t="e">
        <f>C69/F69</f>
        <v>#DIV/0!</v>
      </c>
      <c r="J69" t="e">
        <f t="shared" si="24"/>
        <v>#DIV/0!</v>
      </c>
      <c r="K69" t="e">
        <f t="shared" si="25"/>
        <v>#DIV/0!</v>
      </c>
      <c r="L69">
        <v>4</v>
      </c>
      <c r="M69" t="e">
        <f t="shared" si="26"/>
        <v>#DIV/0!</v>
      </c>
      <c r="N69" t="e">
        <f t="shared" si="27"/>
        <v>#DIV/0!</v>
      </c>
      <c r="O69" t="e">
        <f>((K69-$B$71)/($B$70))*N69</f>
        <v>#DIV/0!</v>
      </c>
      <c r="P69" t="e">
        <f>STDEV(M69:O69)</f>
        <v>#DIV/0!</v>
      </c>
      <c r="Q69" t="e">
        <f>AVERAGE(M69:O69)</f>
        <v>#DIV/0!</v>
      </c>
    </row>
    <row r="70" spans="1:17">
      <c r="A70" t="s">
        <v>289</v>
      </c>
      <c r="B70" s="131">
        <f>'Calibration propionic acid'!J2</f>
        <v>0</v>
      </c>
      <c r="C70" t="s">
        <v>277</v>
      </c>
    </row>
    <row r="71" spans="1:17">
      <c r="A71" t="s">
        <v>218</v>
      </c>
      <c r="B71" s="131">
        <f>'Calibration propionic acid'!K2</f>
        <v>0</v>
      </c>
      <c r="C71" t="s">
        <v>278</v>
      </c>
    </row>
    <row r="73" spans="1:17" ht="15" thickBot="1">
      <c r="A73" t="s">
        <v>66</v>
      </c>
      <c r="C73" t="s">
        <v>61</v>
      </c>
      <c r="D73">
        <v>88.11</v>
      </c>
      <c r="E73" t="s">
        <v>39</v>
      </c>
      <c r="K73" s="130"/>
      <c r="M73" t="s">
        <v>279</v>
      </c>
      <c r="O73" t="s">
        <v>280</v>
      </c>
    </row>
    <row r="74" spans="1:17" ht="15" thickTop="1">
      <c r="A74" s="30" t="s">
        <v>4</v>
      </c>
      <c r="B74" s="30" t="s">
        <v>5</v>
      </c>
      <c r="C74" s="30" t="s">
        <v>263</v>
      </c>
      <c r="D74" s="30" t="s">
        <v>264</v>
      </c>
      <c r="E74" s="30" t="s">
        <v>265</v>
      </c>
      <c r="F74" s="30" t="s">
        <v>266</v>
      </c>
      <c r="G74" s="30" t="s">
        <v>267</v>
      </c>
      <c r="H74" s="30" t="s">
        <v>268</v>
      </c>
      <c r="I74" s="30" t="s">
        <v>269</v>
      </c>
      <c r="J74" s="30" t="s">
        <v>270</v>
      </c>
      <c r="K74" s="30" t="s">
        <v>271</v>
      </c>
      <c r="L74" s="30" t="s">
        <v>19</v>
      </c>
      <c r="M74" s="30" t="s">
        <v>272</v>
      </c>
      <c r="N74" s="30" t="s">
        <v>273</v>
      </c>
      <c r="O74" s="30" t="s">
        <v>274</v>
      </c>
      <c r="P74" s="30" t="s">
        <v>275</v>
      </c>
      <c r="Q74" s="30" t="s">
        <v>276</v>
      </c>
    </row>
    <row r="75" spans="1:17">
      <c r="A75" s="64">
        <v>0</v>
      </c>
      <c r="B75" s="127">
        <v>-0.16666666666666666</v>
      </c>
      <c r="C75">
        <v>0</v>
      </c>
      <c r="D75">
        <v>0</v>
      </c>
      <c r="E75">
        <v>0</v>
      </c>
      <c r="I75" t="e">
        <f>C75/F75</f>
        <v>#DIV/0!</v>
      </c>
      <c r="J75" t="e">
        <f>D75/G75</f>
        <v>#DIV/0!</v>
      </c>
      <c r="K75" t="e">
        <f>E75/H75</f>
        <v>#DIV/0!</v>
      </c>
      <c r="L75">
        <v>4</v>
      </c>
      <c r="M75" t="e">
        <f>((I75-$B$95)/($B$94))*L75</f>
        <v>#DIV/0!</v>
      </c>
      <c r="N75" t="e">
        <f t="shared" ref="N75:O75" si="32">((J75-$B$95)/($B$94))*M75</f>
        <v>#DIV/0!</v>
      </c>
      <c r="O75" t="e">
        <f t="shared" si="32"/>
        <v>#DIV/0!</v>
      </c>
      <c r="P75" t="e">
        <f>STDEV(M75:O75)</f>
        <v>#DIV/0!</v>
      </c>
      <c r="Q75" t="e">
        <f>AVERAGE(M75:O75)</f>
        <v>#DIV/0!</v>
      </c>
    </row>
    <row r="76" spans="1:17">
      <c r="A76" s="65">
        <v>0</v>
      </c>
      <c r="B76" s="128">
        <v>0.16666666666666666</v>
      </c>
      <c r="C76">
        <v>0</v>
      </c>
      <c r="D76">
        <v>0</v>
      </c>
      <c r="E76">
        <v>0</v>
      </c>
      <c r="I76" t="e">
        <f t="shared" ref="I76:I92" si="33">C76/F76</f>
        <v>#DIV/0!</v>
      </c>
      <c r="J76" t="e">
        <f t="shared" ref="J76:J93" si="34">D76/G76</f>
        <v>#DIV/0!</v>
      </c>
      <c r="K76" t="e">
        <f t="shared" ref="K76:K88" si="35">E76/H76</f>
        <v>#DIV/0!</v>
      </c>
      <c r="L76">
        <v>4</v>
      </c>
      <c r="M76" t="e">
        <f t="shared" ref="M76:M93" si="36">((I76-$B$95)/($B$94))*L76</f>
        <v>#DIV/0!</v>
      </c>
      <c r="N76" t="e">
        <f t="shared" ref="N76:N93" si="37">((J76-$B$95)/($B$94))*M76</f>
        <v>#DIV/0!</v>
      </c>
      <c r="O76" t="e">
        <f t="shared" ref="O76:O93" si="38">((K76-$B$95)/($B$94))*N76</f>
        <v>#DIV/0!</v>
      </c>
      <c r="P76" t="e">
        <f t="shared" ref="P76:P92" si="39">STDEV(M76:O76)</f>
        <v>#DIV/0!</v>
      </c>
      <c r="Q76" t="e">
        <f t="shared" ref="Q76:Q80" si="40">AVERAGE(M76:O76)</f>
        <v>#DIV/0!</v>
      </c>
    </row>
    <row r="77" spans="1:17">
      <c r="A77" s="65">
        <v>1</v>
      </c>
      <c r="B77" s="128">
        <v>2</v>
      </c>
      <c r="C77">
        <v>0</v>
      </c>
      <c r="D77">
        <v>0</v>
      </c>
      <c r="E77">
        <v>0</v>
      </c>
      <c r="I77" t="e">
        <f t="shared" si="33"/>
        <v>#DIV/0!</v>
      </c>
      <c r="J77" t="e">
        <f t="shared" si="34"/>
        <v>#DIV/0!</v>
      </c>
      <c r="K77" t="e">
        <f t="shared" si="35"/>
        <v>#DIV/0!</v>
      </c>
      <c r="L77">
        <v>4</v>
      </c>
      <c r="M77" t="e">
        <f t="shared" si="36"/>
        <v>#DIV/0!</v>
      </c>
      <c r="N77" t="e">
        <f t="shared" si="37"/>
        <v>#DIV/0!</v>
      </c>
      <c r="O77" t="e">
        <f t="shared" si="38"/>
        <v>#DIV/0!</v>
      </c>
      <c r="P77" t="e">
        <f t="shared" si="39"/>
        <v>#DIV/0!</v>
      </c>
      <c r="Q77" t="e">
        <f t="shared" si="40"/>
        <v>#DIV/0!</v>
      </c>
    </row>
    <row r="78" spans="1:17">
      <c r="A78" s="65">
        <v>2</v>
      </c>
      <c r="B78" s="128">
        <v>3.3333333333333335</v>
      </c>
      <c r="C78">
        <v>0</v>
      </c>
      <c r="D78">
        <v>0</v>
      </c>
      <c r="E78">
        <v>0</v>
      </c>
      <c r="I78" t="e">
        <f t="shared" si="33"/>
        <v>#DIV/0!</v>
      </c>
      <c r="J78" t="e">
        <f t="shared" si="34"/>
        <v>#DIV/0!</v>
      </c>
      <c r="K78" t="e">
        <f t="shared" si="35"/>
        <v>#DIV/0!</v>
      </c>
      <c r="L78">
        <v>4</v>
      </c>
      <c r="M78" t="e">
        <f t="shared" si="36"/>
        <v>#DIV/0!</v>
      </c>
      <c r="N78" t="e">
        <f t="shared" si="37"/>
        <v>#DIV/0!</v>
      </c>
      <c r="O78" t="e">
        <f t="shared" si="38"/>
        <v>#DIV/0!</v>
      </c>
      <c r="P78" t="e">
        <f t="shared" si="39"/>
        <v>#DIV/0!</v>
      </c>
      <c r="Q78" t="e">
        <f t="shared" si="40"/>
        <v>#DIV/0!</v>
      </c>
    </row>
    <row r="79" spans="1:17">
      <c r="A79" s="65">
        <v>3</v>
      </c>
      <c r="B79" s="128">
        <v>4.666666666666667</v>
      </c>
      <c r="C79">
        <v>0</v>
      </c>
      <c r="D79">
        <v>0</v>
      </c>
      <c r="E79">
        <v>0</v>
      </c>
      <c r="I79" t="e">
        <f t="shared" si="33"/>
        <v>#DIV/0!</v>
      </c>
      <c r="J79" t="e">
        <f t="shared" si="34"/>
        <v>#DIV/0!</v>
      </c>
      <c r="K79" t="e">
        <f t="shared" si="35"/>
        <v>#DIV/0!</v>
      </c>
      <c r="L79">
        <v>4</v>
      </c>
      <c r="M79" t="e">
        <f t="shared" si="36"/>
        <v>#DIV/0!</v>
      </c>
      <c r="N79" t="e">
        <f t="shared" si="37"/>
        <v>#DIV/0!</v>
      </c>
      <c r="O79" t="e">
        <f t="shared" si="38"/>
        <v>#DIV/0!</v>
      </c>
      <c r="P79" t="e">
        <f t="shared" si="39"/>
        <v>#DIV/0!</v>
      </c>
      <c r="Q79" t="e">
        <f t="shared" si="40"/>
        <v>#DIV/0!</v>
      </c>
    </row>
    <row r="80" spans="1:17">
      <c r="A80" s="65">
        <v>4</v>
      </c>
      <c r="B80" s="128">
        <v>6</v>
      </c>
      <c r="C80">
        <v>0</v>
      </c>
      <c r="D80">
        <v>0</v>
      </c>
      <c r="E80">
        <v>0</v>
      </c>
      <c r="I80" t="e">
        <f t="shared" si="33"/>
        <v>#DIV/0!</v>
      </c>
      <c r="J80" t="e">
        <f t="shared" si="34"/>
        <v>#DIV/0!</v>
      </c>
      <c r="K80" t="e">
        <f t="shared" si="35"/>
        <v>#DIV/0!</v>
      </c>
      <c r="L80">
        <v>4</v>
      </c>
      <c r="M80" t="e">
        <f t="shared" si="36"/>
        <v>#DIV/0!</v>
      </c>
      <c r="N80" t="e">
        <f t="shared" si="37"/>
        <v>#DIV/0!</v>
      </c>
      <c r="O80" t="e">
        <f t="shared" si="38"/>
        <v>#DIV/0!</v>
      </c>
      <c r="P80" t="e">
        <f t="shared" si="39"/>
        <v>#DIV/0!</v>
      </c>
      <c r="Q80" t="e">
        <f t="shared" si="40"/>
        <v>#DIV/0!</v>
      </c>
    </row>
    <row r="81" spans="1:17">
      <c r="A81" s="65">
        <v>5</v>
      </c>
      <c r="B81" s="128">
        <v>7.333333333333333</v>
      </c>
      <c r="C81">
        <v>0</v>
      </c>
      <c r="D81">
        <v>0</v>
      </c>
      <c r="E81">
        <v>0</v>
      </c>
      <c r="I81" t="e">
        <f t="shared" si="33"/>
        <v>#DIV/0!</v>
      </c>
      <c r="J81" t="e">
        <f t="shared" si="34"/>
        <v>#DIV/0!</v>
      </c>
      <c r="K81" t="e">
        <f t="shared" si="35"/>
        <v>#DIV/0!</v>
      </c>
      <c r="L81">
        <v>4</v>
      </c>
      <c r="M81" t="e">
        <f t="shared" si="36"/>
        <v>#DIV/0!</v>
      </c>
      <c r="N81" t="e">
        <f t="shared" si="37"/>
        <v>#DIV/0!</v>
      </c>
      <c r="O81" t="e">
        <f t="shared" si="38"/>
        <v>#DIV/0!</v>
      </c>
      <c r="P81" t="e">
        <f t="shared" si="39"/>
        <v>#DIV/0!</v>
      </c>
      <c r="Q81" t="e">
        <f>AVERAGE(M81:O81)</f>
        <v>#DIV/0!</v>
      </c>
    </row>
    <row r="82" spans="1:17">
      <c r="A82" s="65">
        <v>6</v>
      </c>
      <c r="B82" s="128">
        <v>8.6666666666666661</v>
      </c>
      <c r="C82">
        <v>0</v>
      </c>
      <c r="D82">
        <v>0</v>
      </c>
      <c r="E82">
        <v>0</v>
      </c>
      <c r="I82" t="e">
        <f t="shared" si="33"/>
        <v>#DIV/0!</v>
      </c>
      <c r="J82" t="e">
        <f t="shared" si="34"/>
        <v>#DIV/0!</v>
      </c>
      <c r="K82" t="e">
        <f t="shared" si="35"/>
        <v>#DIV/0!</v>
      </c>
      <c r="L82">
        <v>4</v>
      </c>
      <c r="M82" t="e">
        <f t="shared" si="36"/>
        <v>#DIV/0!</v>
      </c>
      <c r="N82" t="e">
        <f t="shared" si="37"/>
        <v>#DIV/0!</v>
      </c>
      <c r="O82" t="e">
        <f t="shared" si="38"/>
        <v>#DIV/0!</v>
      </c>
      <c r="P82" t="e">
        <f t="shared" si="39"/>
        <v>#DIV/0!</v>
      </c>
      <c r="Q82" t="e">
        <f t="shared" ref="Q82:Q92" si="41">AVERAGE(M82:O82)</f>
        <v>#DIV/0!</v>
      </c>
    </row>
    <row r="83" spans="1:17">
      <c r="A83" s="65">
        <v>7</v>
      </c>
      <c r="B83" s="128">
        <v>10</v>
      </c>
      <c r="C83">
        <v>0</v>
      </c>
      <c r="D83">
        <v>0</v>
      </c>
      <c r="E83">
        <v>0</v>
      </c>
      <c r="I83" t="e">
        <f t="shared" si="33"/>
        <v>#DIV/0!</v>
      </c>
      <c r="J83" t="e">
        <f t="shared" si="34"/>
        <v>#DIV/0!</v>
      </c>
      <c r="K83" t="e">
        <f t="shared" si="35"/>
        <v>#DIV/0!</v>
      </c>
      <c r="L83">
        <v>4</v>
      </c>
      <c r="M83" t="e">
        <f t="shared" si="36"/>
        <v>#DIV/0!</v>
      </c>
      <c r="N83" t="e">
        <f t="shared" si="37"/>
        <v>#DIV/0!</v>
      </c>
      <c r="O83" t="e">
        <f t="shared" si="38"/>
        <v>#DIV/0!</v>
      </c>
      <c r="P83" t="e">
        <f t="shared" si="39"/>
        <v>#DIV/0!</v>
      </c>
      <c r="Q83" t="e">
        <f t="shared" si="41"/>
        <v>#DIV/0!</v>
      </c>
    </row>
    <row r="84" spans="1:17">
      <c r="A84" s="65">
        <v>8</v>
      </c>
      <c r="B84" s="128">
        <v>11.333333333333334</v>
      </c>
      <c r="C84">
        <v>0</v>
      </c>
      <c r="D84">
        <v>0</v>
      </c>
      <c r="E84">
        <v>0</v>
      </c>
      <c r="I84" t="e">
        <f t="shared" si="33"/>
        <v>#DIV/0!</v>
      </c>
      <c r="J84" t="e">
        <f t="shared" si="34"/>
        <v>#DIV/0!</v>
      </c>
      <c r="K84" t="e">
        <f t="shared" si="35"/>
        <v>#DIV/0!</v>
      </c>
      <c r="L84">
        <v>4</v>
      </c>
      <c r="M84" t="e">
        <f t="shared" si="36"/>
        <v>#DIV/0!</v>
      </c>
      <c r="N84" t="e">
        <f t="shared" si="37"/>
        <v>#DIV/0!</v>
      </c>
      <c r="O84" t="e">
        <f t="shared" si="38"/>
        <v>#DIV/0!</v>
      </c>
      <c r="P84" t="e">
        <f t="shared" si="39"/>
        <v>#DIV/0!</v>
      </c>
      <c r="Q84" t="e">
        <f t="shared" si="41"/>
        <v>#DIV/0!</v>
      </c>
    </row>
    <row r="85" spans="1:17">
      <c r="A85" s="65">
        <v>9</v>
      </c>
      <c r="B85" s="128">
        <v>12.666666666666666</v>
      </c>
      <c r="C85">
        <v>0</v>
      </c>
      <c r="D85">
        <v>0</v>
      </c>
      <c r="E85">
        <v>0</v>
      </c>
      <c r="I85" t="e">
        <f t="shared" si="33"/>
        <v>#DIV/0!</v>
      </c>
      <c r="J85" t="e">
        <f t="shared" si="34"/>
        <v>#DIV/0!</v>
      </c>
      <c r="K85" t="e">
        <f t="shared" si="35"/>
        <v>#DIV/0!</v>
      </c>
      <c r="L85">
        <v>4</v>
      </c>
      <c r="M85" t="e">
        <f t="shared" si="36"/>
        <v>#DIV/0!</v>
      </c>
      <c r="N85" t="e">
        <f t="shared" si="37"/>
        <v>#DIV/0!</v>
      </c>
      <c r="O85" t="e">
        <f t="shared" si="38"/>
        <v>#DIV/0!</v>
      </c>
      <c r="P85" t="e">
        <f t="shared" si="39"/>
        <v>#DIV/0!</v>
      </c>
      <c r="Q85" t="e">
        <f t="shared" si="41"/>
        <v>#DIV/0!</v>
      </c>
    </row>
    <row r="86" spans="1:17">
      <c r="A86" s="65">
        <v>10</v>
      </c>
      <c r="B86" s="128">
        <v>14</v>
      </c>
      <c r="C86">
        <v>0</v>
      </c>
      <c r="D86">
        <v>0</v>
      </c>
      <c r="E86">
        <v>0</v>
      </c>
      <c r="I86" t="e">
        <f t="shared" si="33"/>
        <v>#DIV/0!</v>
      </c>
      <c r="J86" t="e">
        <f t="shared" si="34"/>
        <v>#DIV/0!</v>
      </c>
      <c r="K86" t="e">
        <f t="shared" si="35"/>
        <v>#DIV/0!</v>
      </c>
      <c r="L86">
        <v>4</v>
      </c>
      <c r="M86" t="e">
        <f t="shared" si="36"/>
        <v>#DIV/0!</v>
      </c>
      <c r="N86" t="e">
        <f t="shared" si="37"/>
        <v>#DIV/0!</v>
      </c>
      <c r="O86" t="e">
        <f t="shared" si="38"/>
        <v>#DIV/0!</v>
      </c>
      <c r="P86" t="e">
        <f t="shared" si="39"/>
        <v>#DIV/0!</v>
      </c>
      <c r="Q86" t="e">
        <f t="shared" si="41"/>
        <v>#DIV/0!</v>
      </c>
    </row>
    <row r="87" spans="1:17">
      <c r="A87" s="65">
        <v>11</v>
      </c>
      <c r="B87" s="128">
        <v>15.333333333333334</v>
      </c>
      <c r="C87">
        <v>0</v>
      </c>
      <c r="D87">
        <v>0</v>
      </c>
      <c r="E87">
        <v>0</v>
      </c>
      <c r="I87" t="e">
        <f t="shared" si="33"/>
        <v>#DIV/0!</v>
      </c>
      <c r="J87" t="e">
        <f t="shared" si="34"/>
        <v>#DIV/0!</v>
      </c>
      <c r="K87" t="e">
        <f t="shared" si="35"/>
        <v>#DIV/0!</v>
      </c>
      <c r="L87">
        <v>4</v>
      </c>
      <c r="M87" t="e">
        <f t="shared" si="36"/>
        <v>#DIV/0!</v>
      </c>
      <c r="N87" t="e">
        <f t="shared" si="37"/>
        <v>#DIV/0!</v>
      </c>
      <c r="O87" t="e">
        <f t="shared" si="38"/>
        <v>#DIV/0!</v>
      </c>
      <c r="P87" t="e">
        <f t="shared" si="39"/>
        <v>#DIV/0!</v>
      </c>
      <c r="Q87" t="e">
        <f t="shared" si="41"/>
        <v>#DIV/0!</v>
      </c>
    </row>
    <row r="88" spans="1:17">
      <c r="A88" s="65">
        <v>12</v>
      </c>
      <c r="B88" s="128">
        <v>16.666666666666668</v>
      </c>
      <c r="C88">
        <v>0</v>
      </c>
      <c r="D88">
        <v>0</v>
      </c>
      <c r="E88">
        <v>0</v>
      </c>
      <c r="I88" t="e">
        <f t="shared" si="33"/>
        <v>#DIV/0!</v>
      </c>
      <c r="J88" t="e">
        <f t="shared" si="34"/>
        <v>#DIV/0!</v>
      </c>
      <c r="K88" t="e">
        <f t="shared" si="35"/>
        <v>#DIV/0!</v>
      </c>
      <c r="L88">
        <v>4</v>
      </c>
      <c r="M88" t="e">
        <f t="shared" si="36"/>
        <v>#DIV/0!</v>
      </c>
      <c r="N88" t="e">
        <f t="shared" si="37"/>
        <v>#DIV/0!</v>
      </c>
      <c r="O88" t="e">
        <f t="shared" si="38"/>
        <v>#DIV/0!</v>
      </c>
      <c r="P88" t="e">
        <f t="shared" si="39"/>
        <v>#DIV/0!</v>
      </c>
      <c r="Q88" t="e">
        <f t="shared" si="41"/>
        <v>#DIV/0!</v>
      </c>
    </row>
    <row r="89" spans="1:17">
      <c r="A89" s="65">
        <v>13</v>
      </c>
      <c r="B89" s="128">
        <v>18</v>
      </c>
      <c r="C89">
        <v>0</v>
      </c>
      <c r="D89">
        <v>0</v>
      </c>
      <c r="E89">
        <v>0</v>
      </c>
      <c r="I89" t="e">
        <f t="shared" si="33"/>
        <v>#DIV/0!</v>
      </c>
      <c r="J89" t="e">
        <f t="shared" si="34"/>
        <v>#DIV/0!</v>
      </c>
      <c r="K89" t="e">
        <f>E89/H89</f>
        <v>#DIV/0!</v>
      </c>
      <c r="L89">
        <v>4</v>
      </c>
      <c r="M89" t="e">
        <f t="shared" si="36"/>
        <v>#DIV/0!</v>
      </c>
      <c r="N89" t="e">
        <f t="shared" si="37"/>
        <v>#DIV/0!</v>
      </c>
      <c r="O89" t="e">
        <f t="shared" si="38"/>
        <v>#DIV/0!</v>
      </c>
      <c r="P89" t="e">
        <f t="shared" si="39"/>
        <v>#DIV/0!</v>
      </c>
      <c r="Q89" t="e">
        <f t="shared" si="41"/>
        <v>#DIV/0!</v>
      </c>
    </row>
    <row r="90" spans="1:17">
      <c r="A90" s="65">
        <v>14</v>
      </c>
      <c r="B90" s="128">
        <v>19.333333333333332</v>
      </c>
      <c r="C90">
        <v>0</v>
      </c>
      <c r="D90">
        <v>0</v>
      </c>
      <c r="E90">
        <v>0</v>
      </c>
      <c r="I90" t="e">
        <f t="shared" si="33"/>
        <v>#DIV/0!</v>
      </c>
      <c r="J90" t="e">
        <f t="shared" si="34"/>
        <v>#DIV/0!</v>
      </c>
      <c r="K90" t="e">
        <f t="shared" ref="K90:K93" si="42">E90/H90</f>
        <v>#DIV/0!</v>
      </c>
      <c r="L90">
        <v>4</v>
      </c>
      <c r="M90" t="e">
        <f t="shared" si="36"/>
        <v>#DIV/0!</v>
      </c>
      <c r="N90" t="e">
        <f t="shared" si="37"/>
        <v>#DIV/0!</v>
      </c>
      <c r="O90" t="e">
        <f t="shared" si="38"/>
        <v>#DIV/0!</v>
      </c>
      <c r="P90" t="e">
        <f t="shared" si="39"/>
        <v>#DIV/0!</v>
      </c>
      <c r="Q90" t="e">
        <f t="shared" si="41"/>
        <v>#DIV/0!</v>
      </c>
    </row>
    <row r="91" spans="1:17">
      <c r="A91" s="65">
        <v>15</v>
      </c>
      <c r="B91" s="128">
        <v>24.166666666666668</v>
      </c>
      <c r="C91">
        <v>0</v>
      </c>
      <c r="D91">
        <v>0</v>
      </c>
      <c r="E91">
        <v>0</v>
      </c>
      <c r="I91" t="e">
        <f t="shared" si="33"/>
        <v>#DIV/0!</v>
      </c>
      <c r="J91" t="e">
        <f t="shared" si="34"/>
        <v>#DIV/0!</v>
      </c>
      <c r="K91" t="e">
        <f t="shared" si="42"/>
        <v>#DIV/0!</v>
      </c>
      <c r="L91">
        <v>4</v>
      </c>
      <c r="M91" t="e">
        <f t="shared" si="36"/>
        <v>#DIV/0!</v>
      </c>
      <c r="N91" t="e">
        <f t="shared" si="37"/>
        <v>#DIV/0!</v>
      </c>
      <c r="O91" t="e">
        <f t="shared" si="38"/>
        <v>#DIV/0!</v>
      </c>
      <c r="P91" t="e">
        <f t="shared" si="39"/>
        <v>#DIV/0!</v>
      </c>
      <c r="Q91" t="e">
        <f t="shared" si="41"/>
        <v>#DIV/0!</v>
      </c>
    </row>
    <row r="92" spans="1:17">
      <c r="A92" s="65">
        <v>16</v>
      </c>
      <c r="B92" s="128">
        <v>30.166666666666668</v>
      </c>
      <c r="C92">
        <v>0</v>
      </c>
      <c r="D92">
        <v>0</v>
      </c>
      <c r="E92">
        <v>0</v>
      </c>
      <c r="I92" t="e">
        <f t="shared" si="33"/>
        <v>#DIV/0!</v>
      </c>
      <c r="J92" t="e">
        <f t="shared" si="34"/>
        <v>#DIV/0!</v>
      </c>
      <c r="K92" t="e">
        <f t="shared" si="42"/>
        <v>#DIV/0!</v>
      </c>
      <c r="L92">
        <v>4</v>
      </c>
      <c r="M92" t="e">
        <f t="shared" si="36"/>
        <v>#DIV/0!</v>
      </c>
      <c r="N92" t="e">
        <f t="shared" si="37"/>
        <v>#DIV/0!</v>
      </c>
      <c r="O92" t="e">
        <f t="shared" si="38"/>
        <v>#DIV/0!</v>
      </c>
      <c r="P92" t="e">
        <f t="shared" si="39"/>
        <v>#DIV/0!</v>
      </c>
      <c r="Q92" t="e">
        <f t="shared" si="41"/>
        <v>#DIV/0!</v>
      </c>
    </row>
    <row r="93" spans="1:17">
      <c r="A93" s="65">
        <v>17</v>
      </c>
      <c r="B93" s="128">
        <v>48.166666666666664</v>
      </c>
      <c r="C93">
        <v>0</v>
      </c>
      <c r="D93">
        <v>0</v>
      </c>
      <c r="E93">
        <v>0</v>
      </c>
      <c r="I93" t="e">
        <f>C93/F93</f>
        <v>#DIV/0!</v>
      </c>
      <c r="J93" t="e">
        <f t="shared" si="34"/>
        <v>#DIV/0!</v>
      </c>
      <c r="K93" t="e">
        <f t="shared" si="42"/>
        <v>#DIV/0!</v>
      </c>
      <c r="L93">
        <v>4</v>
      </c>
      <c r="M93" t="e">
        <f t="shared" si="36"/>
        <v>#DIV/0!</v>
      </c>
      <c r="N93" t="e">
        <f t="shared" si="37"/>
        <v>#DIV/0!</v>
      </c>
      <c r="O93" t="e">
        <f t="shared" si="38"/>
        <v>#DIV/0!</v>
      </c>
      <c r="P93" t="e">
        <f>STDEV(M93:O93)</f>
        <v>#DIV/0!</v>
      </c>
      <c r="Q93" t="e">
        <f>AVERAGE(M93:O93)</f>
        <v>#DIV/0!</v>
      </c>
    </row>
    <row r="94" spans="1:17">
      <c r="A94" t="s">
        <v>289</v>
      </c>
      <c r="B94" s="131">
        <f>'Calibration butyric acid'!J2</f>
        <v>0</v>
      </c>
      <c r="C94" t="s">
        <v>277</v>
      </c>
    </row>
    <row r="95" spans="1:17">
      <c r="A95" t="s">
        <v>218</v>
      </c>
      <c r="B95" s="131">
        <f>'Calibration butyric acid'!K2</f>
        <v>0</v>
      </c>
      <c r="C95" t="s">
        <v>278</v>
      </c>
    </row>
    <row r="97" spans="1:17" ht="15" thickBot="1">
      <c r="A97" t="s">
        <v>306</v>
      </c>
      <c r="C97" t="s">
        <v>61</v>
      </c>
      <c r="D97">
        <v>88.11</v>
      </c>
      <c r="E97" t="s">
        <v>39</v>
      </c>
      <c r="K97" s="130"/>
      <c r="M97" t="s">
        <v>279</v>
      </c>
      <c r="O97" t="s">
        <v>280</v>
      </c>
    </row>
    <row r="98" spans="1:17" ht="15" thickTop="1">
      <c r="A98" s="30" t="s">
        <v>4</v>
      </c>
      <c r="B98" s="30" t="s">
        <v>5</v>
      </c>
      <c r="C98" s="30" t="s">
        <v>263</v>
      </c>
      <c r="D98" s="30" t="s">
        <v>264</v>
      </c>
      <c r="E98" s="30" t="s">
        <v>265</v>
      </c>
      <c r="F98" s="30" t="s">
        <v>266</v>
      </c>
      <c r="G98" s="30" t="s">
        <v>267</v>
      </c>
      <c r="H98" s="30" t="s">
        <v>268</v>
      </c>
      <c r="I98" s="30" t="s">
        <v>269</v>
      </c>
      <c r="J98" s="30" t="s">
        <v>270</v>
      </c>
      <c r="K98" s="30" t="s">
        <v>271</v>
      </c>
      <c r="L98" s="30" t="s">
        <v>19</v>
      </c>
      <c r="M98" s="30" t="s">
        <v>272</v>
      </c>
      <c r="N98" s="30" t="s">
        <v>273</v>
      </c>
      <c r="O98" s="30" t="s">
        <v>274</v>
      </c>
      <c r="P98" s="30" t="s">
        <v>275</v>
      </c>
      <c r="Q98" s="30" t="s">
        <v>276</v>
      </c>
    </row>
    <row r="99" spans="1:17">
      <c r="A99" s="64">
        <v>0</v>
      </c>
      <c r="B99" s="127">
        <v>-0.16666666666666666</v>
      </c>
      <c r="C99">
        <v>0</v>
      </c>
      <c r="D99">
        <v>0</v>
      </c>
      <c r="E99">
        <v>0</v>
      </c>
      <c r="I99" t="e">
        <f>C99/F99</f>
        <v>#DIV/0!</v>
      </c>
      <c r="J99" t="e">
        <f>D99/G99</f>
        <v>#DIV/0!</v>
      </c>
      <c r="K99" t="e">
        <f>E99/H99</f>
        <v>#DIV/0!</v>
      </c>
      <c r="L99">
        <v>4</v>
      </c>
      <c r="M99" t="e">
        <f>((I99-$B$119)/($B$118))*L99</f>
        <v>#DIV/0!</v>
      </c>
      <c r="N99" t="e">
        <f t="shared" ref="N99:O99" si="43">((J99-$B$119)/($B$118))*M99</f>
        <v>#DIV/0!</v>
      </c>
      <c r="O99" t="e">
        <f t="shared" si="43"/>
        <v>#DIV/0!</v>
      </c>
      <c r="P99" t="e">
        <f>STDEV(M99:O99)</f>
        <v>#DIV/0!</v>
      </c>
      <c r="Q99" t="e">
        <f>AVERAGE(M99:O99)</f>
        <v>#DIV/0!</v>
      </c>
    </row>
    <row r="100" spans="1:17">
      <c r="A100" s="65">
        <v>0</v>
      </c>
      <c r="B100" s="128">
        <v>0.16666666666666666</v>
      </c>
      <c r="C100">
        <v>0</v>
      </c>
      <c r="D100">
        <v>0</v>
      </c>
      <c r="E100">
        <v>0</v>
      </c>
      <c r="I100" t="e">
        <f t="shared" ref="I100:I116" si="44">C100/F100</f>
        <v>#DIV/0!</v>
      </c>
      <c r="J100" t="e">
        <f t="shared" ref="J100:J117" si="45">D100/G100</f>
        <v>#DIV/0!</v>
      </c>
      <c r="K100" t="e">
        <f t="shared" ref="K100:K112" si="46">E100/H100</f>
        <v>#DIV/0!</v>
      </c>
      <c r="L100">
        <v>4</v>
      </c>
      <c r="M100" t="e">
        <f t="shared" ref="M100:M117" si="47">((I100-$B$119)/($B$118))*L100</f>
        <v>#DIV/0!</v>
      </c>
      <c r="N100" t="e">
        <f t="shared" ref="N100:N117" si="48">((J100-$B$119)/($B$118))*M100</f>
        <v>#DIV/0!</v>
      </c>
      <c r="O100" t="e">
        <f t="shared" ref="O100:O117" si="49">((K100-$B$119)/($B$118))*N100</f>
        <v>#DIV/0!</v>
      </c>
      <c r="P100" t="e">
        <f t="shared" ref="P100:P116" si="50">STDEV(M100:O100)</f>
        <v>#DIV/0!</v>
      </c>
      <c r="Q100" t="e">
        <f t="shared" ref="Q100:Q104" si="51">AVERAGE(M100:O100)</f>
        <v>#DIV/0!</v>
      </c>
    </row>
    <row r="101" spans="1:17">
      <c r="A101" s="65">
        <v>1</v>
      </c>
      <c r="B101" s="128">
        <v>2</v>
      </c>
      <c r="C101">
        <v>0</v>
      </c>
      <c r="D101">
        <v>0</v>
      </c>
      <c r="E101">
        <v>0</v>
      </c>
      <c r="I101" t="e">
        <f t="shared" si="44"/>
        <v>#DIV/0!</v>
      </c>
      <c r="J101" t="e">
        <f t="shared" si="45"/>
        <v>#DIV/0!</v>
      </c>
      <c r="K101" t="e">
        <f t="shared" si="46"/>
        <v>#DIV/0!</v>
      </c>
      <c r="L101">
        <v>4</v>
      </c>
      <c r="M101" t="e">
        <f t="shared" si="47"/>
        <v>#DIV/0!</v>
      </c>
      <c r="N101" t="e">
        <f t="shared" si="48"/>
        <v>#DIV/0!</v>
      </c>
      <c r="O101" t="e">
        <f t="shared" si="49"/>
        <v>#DIV/0!</v>
      </c>
      <c r="P101" t="e">
        <f t="shared" si="50"/>
        <v>#DIV/0!</v>
      </c>
      <c r="Q101" t="e">
        <f t="shared" si="51"/>
        <v>#DIV/0!</v>
      </c>
    </row>
    <row r="102" spans="1:17">
      <c r="A102" s="65">
        <v>2</v>
      </c>
      <c r="B102" s="128">
        <v>3.3333333333333335</v>
      </c>
      <c r="C102">
        <v>0</v>
      </c>
      <c r="D102">
        <v>0</v>
      </c>
      <c r="E102">
        <v>0</v>
      </c>
      <c r="I102" t="e">
        <f t="shared" si="44"/>
        <v>#DIV/0!</v>
      </c>
      <c r="J102" t="e">
        <f t="shared" si="45"/>
        <v>#DIV/0!</v>
      </c>
      <c r="K102" t="e">
        <f t="shared" si="46"/>
        <v>#DIV/0!</v>
      </c>
      <c r="L102">
        <v>4</v>
      </c>
      <c r="M102" t="e">
        <f t="shared" si="47"/>
        <v>#DIV/0!</v>
      </c>
      <c r="N102" t="e">
        <f t="shared" si="48"/>
        <v>#DIV/0!</v>
      </c>
      <c r="O102" t="e">
        <f t="shared" si="49"/>
        <v>#DIV/0!</v>
      </c>
      <c r="P102" t="e">
        <f t="shared" si="50"/>
        <v>#DIV/0!</v>
      </c>
      <c r="Q102" t="e">
        <f t="shared" si="51"/>
        <v>#DIV/0!</v>
      </c>
    </row>
    <row r="103" spans="1:17">
      <c r="A103" s="65">
        <v>3</v>
      </c>
      <c r="B103" s="128">
        <v>4.666666666666667</v>
      </c>
      <c r="C103">
        <v>0</v>
      </c>
      <c r="D103">
        <v>0</v>
      </c>
      <c r="E103">
        <v>0</v>
      </c>
      <c r="I103" t="e">
        <f t="shared" si="44"/>
        <v>#DIV/0!</v>
      </c>
      <c r="J103" t="e">
        <f t="shared" si="45"/>
        <v>#DIV/0!</v>
      </c>
      <c r="K103" t="e">
        <f t="shared" si="46"/>
        <v>#DIV/0!</v>
      </c>
      <c r="L103">
        <v>4</v>
      </c>
      <c r="M103" t="e">
        <f t="shared" si="47"/>
        <v>#DIV/0!</v>
      </c>
      <c r="N103" t="e">
        <f t="shared" si="48"/>
        <v>#DIV/0!</v>
      </c>
      <c r="O103" t="e">
        <f t="shared" si="49"/>
        <v>#DIV/0!</v>
      </c>
      <c r="P103" t="e">
        <f t="shared" si="50"/>
        <v>#DIV/0!</v>
      </c>
      <c r="Q103" t="e">
        <f t="shared" si="51"/>
        <v>#DIV/0!</v>
      </c>
    </row>
    <row r="104" spans="1:17">
      <c r="A104" s="65">
        <v>4</v>
      </c>
      <c r="B104" s="128">
        <v>6</v>
      </c>
      <c r="C104">
        <v>0</v>
      </c>
      <c r="D104">
        <v>0</v>
      </c>
      <c r="E104">
        <v>0</v>
      </c>
      <c r="I104" t="e">
        <f t="shared" si="44"/>
        <v>#DIV/0!</v>
      </c>
      <c r="J104" t="e">
        <f t="shared" si="45"/>
        <v>#DIV/0!</v>
      </c>
      <c r="K104" t="e">
        <f t="shared" si="46"/>
        <v>#DIV/0!</v>
      </c>
      <c r="L104">
        <v>4</v>
      </c>
      <c r="M104" t="e">
        <f t="shared" si="47"/>
        <v>#DIV/0!</v>
      </c>
      <c r="N104" t="e">
        <f t="shared" si="48"/>
        <v>#DIV/0!</v>
      </c>
      <c r="O104" t="e">
        <f t="shared" si="49"/>
        <v>#DIV/0!</v>
      </c>
      <c r="P104" t="e">
        <f t="shared" si="50"/>
        <v>#DIV/0!</v>
      </c>
      <c r="Q104" t="e">
        <f t="shared" si="51"/>
        <v>#DIV/0!</v>
      </c>
    </row>
    <row r="105" spans="1:17">
      <c r="A105" s="65">
        <v>5</v>
      </c>
      <c r="B105" s="128">
        <v>7.333333333333333</v>
      </c>
      <c r="C105">
        <v>0</v>
      </c>
      <c r="D105">
        <v>0</v>
      </c>
      <c r="E105">
        <v>0</v>
      </c>
      <c r="I105" t="e">
        <f t="shared" si="44"/>
        <v>#DIV/0!</v>
      </c>
      <c r="J105" t="e">
        <f t="shared" si="45"/>
        <v>#DIV/0!</v>
      </c>
      <c r="K105" t="e">
        <f t="shared" si="46"/>
        <v>#DIV/0!</v>
      </c>
      <c r="L105">
        <v>4</v>
      </c>
      <c r="M105" t="e">
        <f t="shared" si="47"/>
        <v>#DIV/0!</v>
      </c>
      <c r="N105" t="e">
        <f t="shared" si="48"/>
        <v>#DIV/0!</v>
      </c>
      <c r="O105" t="e">
        <f t="shared" si="49"/>
        <v>#DIV/0!</v>
      </c>
      <c r="P105" t="e">
        <f t="shared" si="50"/>
        <v>#DIV/0!</v>
      </c>
      <c r="Q105" t="e">
        <f>AVERAGE(M105:O105)</f>
        <v>#DIV/0!</v>
      </c>
    </row>
    <row r="106" spans="1:17">
      <c r="A106" s="65">
        <v>6</v>
      </c>
      <c r="B106" s="128">
        <v>8.6666666666666661</v>
      </c>
      <c r="C106">
        <v>0</v>
      </c>
      <c r="D106">
        <v>0</v>
      </c>
      <c r="E106">
        <v>0</v>
      </c>
      <c r="I106" t="e">
        <f t="shared" si="44"/>
        <v>#DIV/0!</v>
      </c>
      <c r="J106" t="e">
        <f t="shared" si="45"/>
        <v>#DIV/0!</v>
      </c>
      <c r="K106" t="e">
        <f t="shared" si="46"/>
        <v>#DIV/0!</v>
      </c>
      <c r="L106">
        <v>4</v>
      </c>
      <c r="M106" t="e">
        <f t="shared" si="47"/>
        <v>#DIV/0!</v>
      </c>
      <c r="N106" t="e">
        <f t="shared" si="48"/>
        <v>#DIV/0!</v>
      </c>
      <c r="O106" t="e">
        <f t="shared" si="49"/>
        <v>#DIV/0!</v>
      </c>
      <c r="P106" t="e">
        <f t="shared" si="50"/>
        <v>#DIV/0!</v>
      </c>
      <c r="Q106" t="e">
        <f t="shared" ref="Q106:Q116" si="52">AVERAGE(M106:O106)</f>
        <v>#DIV/0!</v>
      </c>
    </row>
    <row r="107" spans="1:17">
      <c r="A107" s="65">
        <v>7</v>
      </c>
      <c r="B107" s="128">
        <v>10</v>
      </c>
      <c r="C107">
        <v>0</v>
      </c>
      <c r="D107">
        <v>0</v>
      </c>
      <c r="E107">
        <v>0</v>
      </c>
      <c r="I107" t="e">
        <f t="shared" si="44"/>
        <v>#DIV/0!</v>
      </c>
      <c r="J107" t="e">
        <f t="shared" si="45"/>
        <v>#DIV/0!</v>
      </c>
      <c r="K107" t="e">
        <f t="shared" si="46"/>
        <v>#DIV/0!</v>
      </c>
      <c r="L107">
        <v>4</v>
      </c>
      <c r="M107" t="e">
        <f t="shared" si="47"/>
        <v>#DIV/0!</v>
      </c>
      <c r="N107" t="e">
        <f t="shared" si="48"/>
        <v>#DIV/0!</v>
      </c>
      <c r="O107" t="e">
        <f t="shared" si="49"/>
        <v>#DIV/0!</v>
      </c>
      <c r="P107" t="e">
        <f t="shared" si="50"/>
        <v>#DIV/0!</v>
      </c>
      <c r="Q107" t="e">
        <f t="shared" si="52"/>
        <v>#DIV/0!</v>
      </c>
    </row>
    <row r="108" spans="1:17">
      <c r="A108" s="65">
        <v>8</v>
      </c>
      <c r="B108" s="128">
        <v>11.333333333333334</v>
      </c>
      <c r="C108">
        <v>0</v>
      </c>
      <c r="D108">
        <v>0</v>
      </c>
      <c r="E108">
        <v>0</v>
      </c>
      <c r="I108" t="e">
        <f t="shared" si="44"/>
        <v>#DIV/0!</v>
      </c>
      <c r="J108" t="e">
        <f t="shared" si="45"/>
        <v>#DIV/0!</v>
      </c>
      <c r="K108" t="e">
        <f t="shared" si="46"/>
        <v>#DIV/0!</v>
      </c>
      <c r="L108">
        <v>4</v>
      </c>
      <c r="M108" t="e">
        <f t="shared" si="47"/>
        <v>#DIV/0!</v>
      </c>
      <c r="N108" t="e">
        <f t="shared" si="48"/>
        <v>#DIV/0!</v>
      </c>
      <c r="O108" t="e">
        <f t="shared" si="49"/>
        <v>#DIV/0!</v>
      </c>
      <c r="P108" t="e">
        <f t="shared" si="50"/>
        <v>#DIV/0!</v>
      </c>
      <c r="Q108" t="e">
        <f t="shared" si="52"/>
        <v>#DIV/0!</v>
      </c>
    </row>
    <row r="109" spans="1:17">
      <c r="A109" s="65">
        <v>9</v>
      </c>
      <c r="B109" s="128">
        <v>12.666666666666666</v>
      </c>
      <c r="C109">
        <v>0</v>
      </c>
      <c r="D109">
        <v>0</v>
      </c>
      <c r="E109">
        <v>0</v>
      </c>
      <c r="I109" t="e">
        <f t="shared" si="44"/>
        <v>#DIV/0!</v>
      </c>
      <c r="J109" t="e">
        <f t="shared" si="45"/>
        <v>#DIV/0!</v>
      </c>
      <c r="K109" t="e">
        <f t="shared" si="46"/>
        <v>#DIV/0!</v>
      </c>
      <c r="L109">
        <v>4</v>
      </c>
      <c r="M109" t="e">
        <f t="shared" si="47"/>
        <v>#DIV/0!</v>
      </c>
      <c r="N109" t="e">
        <f t="shared" si="48"/>
        <v>#DIV/0!</v>
      </c>
      <c r="O109" t="e">
        <f t="shared" si="49"/>
        <v>#DIV/0!</v>
      </c>
      <c r="P109" t="e">
        <f t="shared" si="50"/>
        <v>#DIV/0!</v>
      </c>
      <c r="Q109" t="e">
        <f t="shared" si="52"/>
        <v>#DIV/0!</v>
      </c>
    </row>
    <row r="110" spans="1:17">
      <c r="A110" s="65">
        <v>10</v>
      </c>
      <c r="B110" s="128">
        <v>14</v>
      </c>
      <c r="C110">
        <v>0</v>
      </c>
      <c r="D110">
        <v>0</v>
      </c>
      <c r="E110">
        <v>0</v>
      </c>
      <c r="I110" t="e">
        <f t="shared" si="44"/>
        <v>#DIV/0!</v>
      </c>
      <c r="J110" t="e">
        <f t="shared" si="45"/>
        <v>#DIV/0!</v>
      </c>
      <c r="K110" t="e">
        <f t="shared" si="46"/>
        <v>#DIV/0!</v>
      </c>
      <c r="L110">
        <v>4</v>
      </c>
      <c r="M110" t="e">
        <f t="shared" si="47"/>
        <v>#DIV/0!</v>
      </c>
      <c r="N110" t="e">
        <f t="shared" si="48"/>
        <v>#DIV/0!</v>
      </c>
      <c r="O110" t="e">
        <f t="shared" si="49"/>
        <v>#DIV/0!</v>
      </c>
      <c r="P110" t="e">
        <f t="shared" si="50"/>
        <v>#DIV/0!</v>
      </c>
      <c r="Q110" t="e">
        <f t="shared" si="52"/>
        <v>#DIV/0!</v>
      </c>
    </row>
    <row r="111" spans="1:17">
      <c r="A111" s="65">
        <v>11</v>
      </c>
      <c r="B111" s="128">
        <v>15.333333333333334</v>
      </c>
      <c r="C111">
        <v>0</v>
      </c>
      <c r="D111">
        <v>0</v>
      </c>
      <c r="E111">
        <v>0</v>
      </c>
      <c r="I111" t="e">
        <f t="shared" si="44"/>
        <v>#DIV/0!</v>
      </c>
      <c r="J111" t="e">
        <f t="shared" si="45"/>
        <v>#DIV/0!</v>
      </c>
      <c r="K111" t="e">
        <f t="shared" si="46"/>
        <v>#DIV/0!</v>
      </c>
      <c r="L111">
        <v>4</v>
      </c>
      <c r="M111" t="e">
        <f t="shared" si="47"/>
        <v>#DIV/0!</v>
      </c>
      <c r="N111" t="e">
        <f t="shared" si="48"/>
        <v>#DIV/0!</v>
      </c>
      <c r="O111" t="e">
        <f t="shared" si="49"/>
        <v>#DIV/0!</v>
      </c>
      <c r="P111" t="e">
        <f t="shared" si="50"/>
        <v>#DIV/0!</v>
      </c>
      <c r="Q111" t="e">
        <f t="shared" si="52"/>
        <v>#DIV/0!</v>
      </c>
    </row>
    <row r="112" spans="1:17">
      <c r="A112" s="65">
        <v>12</v>
      </c>
      <c r="B112" s="128">
        <v>16.666666666666668</v>
      </c>
      <c r="C112">
        <v>0</v>
      </c>
      <c r="D112">
        <v>0</v>
      </c>
      <c r="E112">
        <v>0</v>
      </c>
      <c r="I112" t="e">
        <f t="shared" si="44"/>
        <v>#DIV/0!</v>
      </c>
      <c r="J112" t="e">
        <f t="shared" si="45"/>
        <v>#DIV/0!</v>
      </c>
      <c r="K112" t="e">
        <f t="shared" si="46"/>
        <v>#DIV/0!</v>
      </c>
      <c r="L112">
        <v>4</v>
      </c>
      <c r="M112" t="e">
        <f t="shared" si="47"/>
        <v>#DIV/0!</v>
      </c>
      <c r="N112" t="e">
        <f t="shared" si="48"/>
        <v>#DIV/0!</v>
      </c>
      <c r="O112" t="e">
        <f t="shared" si="49"/>
        <v>#DIV/0!</v>
      </c>
      <c r="P112" t="e">
        <f t="shared" si="50"/>
        <v>#DIV/0!</v>
      </c>
      <c r="Q112" t="e">
        <f t="shared" si="52"/>
        <v>#DIV/0!</v>
      </c>
    </row>
    <row r="113" spans="1:17">
      <c r="A113" s="65">
        <v>13</v>
      </c>
      <c r="B113" s="128">
        <v>18</v>
      </c>
      <c r="C113">
        <v>0</v>
      </c>
      <c r="D113">
        <v>0</v>
      </c>
      <c r="E113">
        <v>0</v>
      </c>
      <c r="I113" t="e">
        <f t="shared" si="44"/>
        <v>#DIV/0!</v>
      </c>
      <c r="J113" t="e">
        <f t="shared" si="45"/>
        <v>#DIV/0!</v>
      </c>
      <c r="K113" t="e">
        <f>E113/H113</f>
        <v>#DIV/0!</v>
      </c>
      <c r="L113">
        <v>4</v>
      </c>
      <c r="M113" t="e">
        <f t="shared" si="47"/>
        <v>#DIV/0!</v>
      </c>
      <c r="N113" t="e">
        <f t="shared" si="48"/>
        <v>#DIV/0!</v>
      </c>
      <c r="O113" t="e">
        <f t="shared" si="49"/>
        <v>#DIV/0!</v>
      </c>
      <c r="P113" t="e">
        <f t="shared" si="50"/>
        <v>#DIV/0!</v>
      </c>
      <c r="Q113" t="e">
        <f t="shared" si="52"/>
        <v>#DIV/0!</v>
      </c>
    </row>
    <row r="114" spans="1:17">
      <c r="A114" s="65">
        <v>14</v>
      </c>
      <c r="B114" s="128">
        <v>19.333333333333332</v>
      </c>
      <c r="C114">
        <v>0</v>
      </c>
      <c r="D114">
        <v>0</v>
      </c>
      <c r="E114">
        <v>0</v>
      </c>
      <c r="I114" t="e">
        <f t="shared" si="44"/>
        <v>#DIV/0!</v>
      </c>
      <c r="J114" t="e">
        <f t="shared" si="45"/>
        <v>#DIV/0!</v>
      </c>
      <c r="K114" t="e">
        <f t="shared" ref="K114:K117" si="53">E114/H114</f>
        <v>#DIV/0!</v>
      </c>
      <c r="L114">
        <v>4</v>
      </c>
      <c r="M114" t="e">
        <f t="shared" si="47"/>
        <v>#DIV/0!</v>
      </c>
      <c r="N114" t="e">
        <f t="shared" si="48"/>
        <v>#DIV/0!</v>
      </c>
      <c r="O114" t="e">
        <f t="shared" si="49"/>
        <v>#DIV/0!</v>
      </c>
      <c r="P114" t="e">
        <f t="shared" si="50"/>
        <v>#DIV/0!</v>
      </c>
      <c r="Q114" t="e">
        <f t="shared" si="52"/>
        <v>#DIV/0!</v>
      </c>
    </row>
    <row r="115" spans="1:17">
      <c r="A115" s="65">
        <v>15</v>
      </c>
      <c r="B115" s="128">
        <v>24.166666666666668</v>
      </c>
      <c r="C115">
        <v>0</v>
      </c>
      <c r="D115">
        <v>0</v>
      </c>
      <c r="E115">
        <v>0</v>
      </c>
      <c r="I115" t="e">
        <f t="shared" si="44"/>
        <v>#DIV/0!</v>
      </c>
      <c r="J115" t="e">
        <f t="shared" si="45"/>
        <v>#DIV/0!</v>
      </c>
      <c r="K115" t="e">
        <f t="shared" si="53"/>
        <v>#DIV/0!</v>
      </c>
      <c r="L115">
        <v>4</v>
      </c>
      <c r="M115" t="e">
        <f t="shared" si="47"/>
        <v>#DIV/0!</v>
      </c>
      <c r="N115" t="e">
        <f t="shared" si="48"/>
        <v>#DIV/0!</v>
      </c>
      <c r="O115" t="e">
        <f t="shared" si="49"/>
        <v>#DIV/0!</v>
      </c>
      <c r="P115" t="e">
        <f t="shared" si="50"/>
        <v>#DIV/0!</v>
      </c>
      <c r="Q115" t="e">
        <f t="shared" si="52"/>
        <v>#DIV/0!</v>
      </c>
    </row>
    <row r="116" spans="1:17">
      <c r="A116" s="65">
        <v>16</v>
      </c>
      <c r="B116" s="128">
        <v>30.166666666666668</v>
      </c>
      <c r="C116">
        <v>0</v>
      </c>
      <c r="D116">
        <v>0</v>
      </c>
      <c r="E116">
        <v>0</v>
      </c>
      <c r="I116" t="e">
        <f t="shared" si="44"/>
        <v>#DIV/0!</v>
      </c>
      <c r="J116" t="e">
        <f t="shared" si="45"/>
        <v>#DIV/0!</v>
      </c>
      <c r="K116" t="e">
        <f t="shared" si="53"/>
        <v>#DIV/0!</v>
      </c>
      <c r="L116">
        <v>4</v>
      </c>
      <c r="M116" t="e">
        <f t="shared" si="47"/>
        <v>#DIV/0!</v>
      </c>
      <c r="N116" t="e">
        <f t="shared" si="48"/>
        <v>#DIV/0!</v>
      </c>
      <c r="O116" t="e">
        <f t="shared" si="49"/>
        <v>#DIV/0!</v>
      </c>
      <c r="P116" t="e">
        <f t="shared" si="50"/>
        <v>#DIV/0!</v>
      </c>
      <c r="Q116" t="e">
        <f t="shared" si="52"/>
        <v>#DIV/0!</v>
      </c>
    </row>
    <row r="117" spans="1:17">
      <c r="A117" s="65">
        <v>17</v>
      </c>
      <c r="B117" s="128">
        <v>48.166666666666664</v>
      </c>
      <c r="C117">
        <v>0</v>
      </c>
      <c r="D117">
        <v>0</v>
      </c>
      <c r="E117">
        <v>0</v>
      </c>
      <c r="I117" t="e">
        <f>C117/F117</f>
        <v>#DIV/0!</v>
      </c>
      <c r="J117" t="e">
        <f t="shared" si="45"/>
        <v>#DIV/0!</v>
      </c>
      <c r="K117" t="e">
        <f t="shared" si="53"/>
        <v>#DIV/0!</v>
      </c>
      <c r="L117">
        <v>4</v>
      </c>
      <c r="M117" t="e">
        <f t="shared" si="47"/>
        <v>#DIV/0!</v>
      </c>
      <c r="N117" t="e">
        <f t="shared" si="48"/>
        <v>#DIV/0!</v>
      </c>
      <c r="O117" t="e">
        <f t="shared" si="49"/>
        <v>#DIV/0!</v>
      </c>
      <c r="P117" t="e">
        <f>STDEV(M117:O117)</f>
        <v>#DIV/0!</v>
      </c>
      <c r="Q117" t="e">
        <f>AVERAGE(M117:O117)</f>
        <v>#DIV/0!</v>
      </c>
    </row>
    <row r="118" spans="1:17">
      <c r="A118" t="s">
        <v>289</v>
      </c>
      <c r="B118" s="131">
        <f>'Calibration isobutyric acid'!J2</f>
        <v>0</v>
      </c>
      <c r="C118" t="s">
        <v>277</v>
      </c>
    </row>
    <row r="119" spans="1:17">
      <c r="A119" t="s">
        <v>218</v>
      </c>
      <c r="B119" s="131">
        <f>'Calibration isobutyric acid'!K2</f>
        <v>0</v>
      </c>
      <c r="C119" t="s">
        <v>278</v>
      </c>
    </row>
    <row r="121" spans="1:17" ht="15" thickBot="1">
      <c r="A121" t="s">
        <v>307</v>
      </c>
      <c r="C121" t="s">
        <v>61</v>
      </c>
      <c r="D121">
        <v>102.13</v>
      </c>
      <c r="E121" t="s">
        <v>39</v>
      </c>
      <c r="K121" s="130"/>
      <c r="M121" t="s">
        <v>279</v>
      </c>
      <c r="O121" t="s">
        <v>280</v>
      </c>
    </row>
    <row r="122" spans="1:17" ht="15" thickTop="1">
      <c r="A122" s="30" t="s">
        <v>4</v>
      </c>
      <c r="B122" s="30" t="s">
        <v>5</v>
      </c>
      <c r="C122" s="30" t="s">
        <v>263</v>
      </c>
      <c r="D122" s="30" t="s">
        <v>264</v>
      </c>
      <c r="E122" s="30" t="s">
        <v>265</v>
      </c>
      <c r="F122" s="30" t="s">
        <v>266</v>
      </c>
      <c r="G122" s="30" t="s">
        <v>267</v>
      </c>
      <c r="H122" s="30" t="s">
        <v>268</v>
      </c>
      <c r="I122" s="30" t="s">
        <v>269</v>
      </c>
      <c r="J122" s="30" t="s">
        <v>270</v>
      </c>
      <c r="K122" s="30" t="s">
        <v>271</v>
      </c>
      <c r="L122" s="30" t="s">
        <v>19</v>
      </c>
      <c r="M122" s="30" t="s">
        <v>272</v>
      </c>
      <c r="N122" s="30" t="s">
        <v>273</v>
      </c>
      <c r="O122" s="30" t="s">
        <v>274</v>
      </c>
      <c r="P122" s="30" t="s">
        <v>275</v>
      </c>
      <c r="Q122" s="30" t="s">
        <v>276</v>
      </c>
    </row>
    <row r="123" spans="1:17">
      <c r="A123" s="64">
        <v>0</v>
      </c>
      <c r="B123" s="127">
        <v>-0.16666666666666666</v>
      </c>
      <c r="C123">
        <v>0</v>
      </c>
      <c r="D123">
        <v>0</v>
      </c>
      <c r="E123">
        <v>0</v>
      </c>
      <c r="I123" t="e">
        <f>C123/F123</f>
        <v>#DIV/0!</v>
      </c>
      <c r="J123" t="e">
        <f>D123/G123</f>
        <v>#DIV/0!</v>
      </c>
      <c r="K123" t="e">
        <f>E123/H123</f>
        <v>#DIV/0!</v>
      </c>
      <c r="L123">
        <v>4</v>
      </c>
      <c r="M123" t="e">
        <f>((I123-$B$143)/($B$142))*L123</f>
        <v>#DIV/0!</v>
      </c>
      <c r="N123" t="e">
        <f t="shared" ref="N123:O123" si="54">((J123-$B$143)/($B$142))*M123</f>
        <v>#DIV/0!</v>
      </c>
      <c r="O123" t="e">
        <f t="shared" si="54"/>
        <v>#DIV/0!</v>
      </c>
      <c r="P123" t="e">
        <f>STDEV(M123:O123)</f>
        <v>#DIV/0!</v>
      </c>
      <c r="Q123" t="e">
        <f>AVERAGE(M123:O123)</f>
        <v>#DIV/0!</v>
      </c>
    </row>
    <row r="124" spans="1:17">
      <c r="A124" s="65">
        <v>0</v>
      </c>
      <c r="B124" s="128">
        <v>0.16666666666666666</v>
      </c>
      <c r="C124">
        <v>0</v>
      </c>
      <c r="D124">
        <v>0</v>
      </c>
      <c r="E124">
        <v>0</v>
      </c>
      <c r="I124" t="e">
        <f t="shared" ref="I124:I140" si="55">C124/F124</f>
        <v>#DIV/0!</v>
      </c>
      <c r="J124" t="e">
        <f t="shared" ref="J124:J141" si="56">D124/G124</f>
        <v>#DIV/0!</v>
      </c>
      <c r="K124" t="e">
        <f t="shared" ref="K124:K136" si="57">E124/H124</f>
        <v>#DIV/0!</v>
      </c>
      <c r="L124">
        <v>4</v>
      </c>
      <c r="M124" t="e">
        <f t="shared" ref="M124:M141" si="58">((I124-$B$143)/($B$142))*L124</f>
        <v>#DIV/0!</v>
      </c>
      <c r="N124" t="e">
        <f t="shared" ref="N124:N141" si="59">((J124-$B$143)/($B$142))*M124</f>
        <v>#DIV/0!</v>
      </c>
      <c r="O124" t="e">
        <f t="shared" ref="O124:O140" si="60">((K124-$B$143)/($B$142))*N124</f>
        <v>#DIV/0!</v>
      </c>
      <c r="P124" t="e">
        <f t="shared" ref="P124:P140" si="61">STDEV(M124:O124)</f>
        <v>#DIV/0!</v>
      </c>
      <c r="Q124" t="e">
        <f t="shared" ref="Q124:Q128" si="62">AVERAGE(M124:O124)</f>
        <v>#DIV/0!</v>
      </c>
    </row>
    <row r="125" spans="1:17">
      <c r="A125" s="65">
        <v>1</v>
      </c>
      <c r="B125" s="128">
        <v>2</v>
      </c>
      <c r="C125">
        <v>0</v>
      </c>
      <c r="D125">
        <v>0</v>
      </c>
      <c r="E125">
        <v>0</v>
      </c>
      <c r="I125" t="e">
        <f t="shared" si="55"/>
        <v>#DIV/0!</v>
      </c>
      <c r="J125" t="e">
        <f t="shared" si="56"/>
        <v>#DIV/0!</v>
      </c>
      <c r="K125" t="e">
        <f t="shared" si="57"/>
        <v>#DIV/0!</v>
      </c>
      <c r="L125">
        <v>4</v>
      </c>
      <c r="M125" t="e">
        <f t="shared" si="58"/>
        <v>#DIV/0!</v>
      </c>
      <c r="N125" t="e">
        <f t="shared" si="59"/>
        <v>#DIV/0!</v>
      </c>
      <c r="O125" t="e">
        <f t="shared" si="60"/>
        <v>#DIV/0!</v>
      </c>
      <c r="P125" t="e">
        <f t="shared" si="61"/>
        <v>#DIV/0!</v>
      </c>
      <c r="Q125" t="e">
        <f t="shared" si="62"/>
        <v>#DIV/0!</v>
      </c>
    </row>
    <row r="126" spans="1:17">
      <c r="A126" s="65">
        <v>2</v>
      </c>
      <c r="B126" s="128">
        <v>3.3333333333333335</v>
      </c>
      <c r="C126">
        <v>0</v>
      </c>
      <c r="D126">
        <v>0</v>
      </c>
      <c r="E126">
        <v>0</v>
      </c>
      <c r="I126" t="e">
        <f t="shared" si="55"/>
        <v>#DIV/0!</v>
      </c>
      <c r="J126" t="e">
        <f t="shared" si="56"/>
        <v>#DIV/0!</v>
      </c>
      <c r="K126" t="e">
        <f t="shared" si="57"/>
        <v>#DIV/0!</v>
      </c>
      <c r="L126">
        <v>4</v>
      </c>
      <c r="M126" t="e">
        <f t="shared" si="58"/>
        <v>#DIV/0!</v>
      </c>
      <c r="N126" t="e">
        <f t="shared" si="59"/>
        <v>#DIV/0!</v>
      </c>
      <c r="O126" t="e">
        <f t="shared" si="60"/>
        <v>#DIV/0!</v>
      </c>
      <c r="P126" t="e">
        <f t="shared" si="61"/>
        <v>#DIV/0!</v>
      </c>
      <c r="Q126" t="e">
        <f t="shared" si="62"/>
        <v>#DIV/0!</v>
      </c>
    </row>
    <row r="127" spans="1:17">
      <c r="A127" s="65">
        <v>3</v>
      </c>
      <c r="B127" s="128">
        <v>4.666666666666667</v>
      </c>
      <c r="C127">
        <v>0</v>
      </c>
      <c r="D127">
        <v>0</v>
      </c>
      <c r="E127">
        <v>0</v>
      </c>
      <c r="I127" t="e">
        <f t="shared" si="55"/>
        <v>#DIV/0!</v>
      </c>
      <c r="J127" t="e">
        <f t="shared" si="56"/>
        <v>#DIV/0!</v>
      </c>
      <c r="K127" t="e">
        <f t="shared" si="57"/>
        <v>#DIV/0!</v>
      </c>
      <c r="L127">
        <v>4</v>
      </c>
      <c r="M127" t="e">
        <f t="shared" si="58"/>
        <v>#DIV/0!</v>
      </c>
      <c r="N127" t="e">
        <f t="shared" si="59"/>
        <v>#DIV/0!</v>
      </c>
      <c r="O127" t="e">
        <f t="shared" si="60"/>
        <v>#DIV/0!</v>
      </c>
      <c r="P127" t="e">
        <f t="shared" si="61"/>
        <v>#DIV/0!</v>
      </c>
      <c r="Q127" t="e">
        <f t="shared" si="62"/>
        <v>#DIV/0!</v>
      </c>
    </row>
    <row r="128" spans="1:17">
      <c r="A128" s="65">
        <v>4</v>
      </c>
      <c r="B128" s="128">
        <v>6</v>
      </c>
      <c r="C128">
        <v>0</v>
      </c>
      <c r="D128">
        <v>0</v>
      </c>
      <c r="E128">
        <v>0</v>
      </c>
      <c r="I128" t="e">
        <f t="shared" si="55"/>
        <v>#DIV/0!</v>
      </c>
      <c r="J128" t="e">
        <f t="shared" si="56"/>
        <v>#DIV/0!</v>
      </c>
      <c r="K128" t="e">
        <f t="shared" si="57"/>
        <v>#DIV/0!</v>
      </c>
      <c r="L128">
        <v>4</v>
      </c>
      <c r="M128" t="e">
        <f t="shared" si="58"/>
        <v>#DIV/0!</v>
      </c>
      <c r="N128" t="e">
        <f t="shared" si="59"/>
        <v>#DIV/0!</v>
      </c>
      <c r="O128" t="e">
        <f t="shared" si="60"/>
        <v>#DIV/0!</v>
      </c>
      <c r="P128" t="e">
        <f t="shared" si="61"/>
        <v>#DIV/0!</v>
      </c>
      <c r="Q128" t="e">
        <f t="shared" si="62"/>
        <v>#DIV/0!</v>
      </c>
    </row>
    <row r="129" spans="1:17">
      <c r="A129" s="65">
        <v>5</v>
      </c>
      <c r="B129" s="128">
        <v>7.333333333333333</v>
      </c>
      <c r="C129">
        <v>0</v>
      </c>
      <c r="D129">
        <v>0</v>
      </c>
      <c r="E129">
        <v>0</v>
      </c>
      <c r="I129" t="e">
        <f t="shared" si="55"/>
        <v>#DIV/0!</v>
      </c>
      <c r="J129" t="e">
        <f t="shared" si="56"/>
        <v>#DIV/0!</v>
      </c>
      <c r="K129" t="e">
        <f t="shared" si="57"/>
        <v>#DIV/0!</v>
      </c>
      <c r="L129">
        <v>4</v>
      </c>
      <c r="M129" t="e">
        <f t="shared" si="58"/>
        <v>#DIV/0!</v>
      </c>
      <c r="N129" t="e">
        <f t="shared" si="59"/>
        <v>#DIV/0!</v>
      </c>
      <c r="O129" t="e">
        <f t="shared" si="60"/>
        <v>#DIV/0!</v>
      </c>
      <c r="P129" t="e">
        <f t="shared" si="61"/>
        <v>#DIV/0!</v>
      </c>
      <c r="Q129" t="e">
        <f>AVERAGE(M129:O129)</f>
        <v>#DIV/0!</v>
      </c>
    </row>
    <row r="130" spans="1:17">
      <c r="A130" s="65">
        <v>6</v>
      </c>
      <c r="B130" s="128">
        <v>8.6666666666666661</v>
      </c>
      <c r="C130">
        <v>0</v>
      </c>
      <c r="D130">
        <v>0</v>
      </c>
      <c r="E130">
        <v>0</v>
      </c>
      <c r="I130" t="e">
        <f t="shared" si="55"/>
        <v>#DIV/0!</v>
      </c>
      <c r="J130" t="e">
        <f t="shared" si="56"/>
        <v>#DIV/0!</v>
      </c>
      <c r="K130" t="e">
        <f t="shared" si="57"/>
        <v>#DIV/0!</v>
      </c>
      <c r="L130">
        <v>4</v>
      </c>
      <c r="M130" t="e">
        <f t="shared" si="58"/>
        <v>#DIV/0!</v>
      </c>
      <c r="N130" t="e">
        <f t="shared" si="59"/>
        <v>#DIV/0!</v>
      </c>
      <c r="O130" t="e">
        <f t="shared" si="60"/>
        <v>#DIV/0!</v>
      </c>
      <c r="P130" t="e">
        <f t="shared" si="61"/>
        <v>#DIV/0!</v>
      </c>
      <c r="Q130" t="e">
        <f t="shared" ref="Q130:Q140" si="63">AVERAGE(M130:O130)</f>
        <v>#DIV/0!</v>
      </c>
    </row>
    <row r="131" spans="1:17">
      <c r="A131" s="65">
        <v>7</v>
      </c>
      <c r="B131" s="128">
        <v>10</v>
      </c>
      <c r="C131">
        <v>0</v>
      </c>
      <c r="D131">
        <v>0</v>
      </c>
      <c r="E131">
        <v>0</v>
      </c>
      <c r="I131" t="e">
        <f t="shared" si="55"/>
        <v>#DIV/0!</v>
      </c>
      <c r="J131" t="e">
        <f t="shared" si="56"/>
        <v>#DIV/0!</v>
      </c>
      <c r="K131" t="e">
        <f t="shared" si="57"/>
        <v>#DIV/0!</v>
      </c>
      <c r="L131">
        <v>4</v>
      </c>
      <c r="M131" t="e">
        <f t="shared" si="58"/>
        <v>#DIV/0!</v>
      </c>
      <c r="N131" t="e">
        <f t="shared" si="59"/>
        <v>#DIV/0!</v>
      </c>
      <c r="O131" t="e">
        <f t="shared" si="60"/>
        <v>#DIV/0!</v>
      </c>
      <c r="P131" t="e">
        <f t="shared" si="61"/>
        <v>#DIV/0!</v>
      </c>
      <c r="Q131" t="e">
        <f t="shared" si="63"/>
        <v>#DIV/0!</v>
      </c>
    </row>
    <row r="132" spans="1:17">
      <c r="A132" s="65">
        <v>8</v>
      </c>
      <c r="B132" s="128">
        <v>11.333333333333334</v>
      </c>
      <c r="C132">
        <v>0</v>
      </c>
      <c r="D132">
        <v>0</v>
      </c>
      <c r="E132">
        <v>0</v>
      </c>
      <c r="I132" t="e">
        <f t="shared" si="55"/>
        <v>#DIV/0!</v>
      </c>
      <c r="J132" t="e">
        <f t="shared" si="56"/>
        <v>#DIV/0!</v>
      </c>
      <c r="K132" t="e">
        <f t="shared" si="57"/>
        <v>#DIV/0!</v>
      </c>
      <c r="L132">
        <v>4</v>
      </c>
      <c r="M132" t="e">
        <f t="shared" si="58"/>
        <v>#DIV/0!</v>
      </c>
      <c r="N132" t="e">
        <f t="shared" si="59"/>
        <v>#DIV/0!</v>
      </c>
      <c r="O132" t="e">
        <f t="shared" si="60"/>
        <v>#DIV/0!</v>
      </c>
      <c r="P132" t="e">
        <f t="shared" si="61"/>
        <v>#DIV/0!</v>
      </c>
      <c r="Q132" t="e">
        <f t="shared" si="63"/>
        <v>#DIV/0!</v>
      </c>
    </row>
    <row r="133" spans="1:17">
      <c r="A133" s="65">
        <v>9</v>
      </c>
      <c r="B133" s="128">
        <v>12.666666666666666</v>
      </c>
      <c r="C133">
        <v>0</v>
      </c>
      <c r="D133">
        <v>0</v>
      </c>
      <c r="E133">
        <v>0</v>
      </c>
      <c r="I133" t="e">
        <f t="shared" si="55"/>
        <v>#DIV/0!</v>
      </c>
      <c r="J133" t="e">
        <f t="shared" si="56"/>
        <v>#DIV/0!</v>
      </c>
      <c r="K133" t="e">
        <f t="shared" si="57"/>
        <v>#DIV/0!</v>
      </c>
      <c r="L133">
        <v>4</v>
      </c>
      <c r="M133" t="e">
        <f t="shared" si="58"/>
        <v>#DIV/0!</v>
      </c>
      <c r="N133" t="e">
        <f t="shared" si="59"/>
        <v>#DIV/0!</v>
      </c>
      <c r="O133" t="e">
        <f t="shared" si="60"/>
        <v>#DIV/0!</v>
      </c>
      <c r="P133" t="e">
        <f t="shared" si="61"/>
        <v>#DIV/0!</v>
      </c>
      <c r="Q133" t="e">
        <f t="shared" si="63"/>
        <v>#DIV/0!</v>
      </c>
    </row>
    <row r="134" spans="1:17">
      <c r="A134" s="65">
        <v>10</v>
      </c>
      <c r="B134" s="128">
        <v>14</v>
      </c>
      <c r="C134">
        <v>0</v>
      </c>
      <c r="D134">
        <v>0</v>
      </c>
      <c r="E134">
        <v>0</v>
      </c>
      <c r="I134" t="e">
        <f t="shared" si="55"/>
        <v>#DIV/0!</v>
      </c>
      <c r="J134" t="e">
        <f t="shared" si="56"/>
        <v>#DIV/0!</v>
      </c>
      <c r="K134" t="e">
        <f t="shared" si="57"/>
        <v>#DIV/0!</v>
      </c>
      <c r="L134">
        <v>4</v>
      </c>
      <c r="M134" t="e">
        <f t="shared" si="58"/>
        <v>#DIV/0!</v>
      </c>
      <c r="N134" t="e">
        <f t="shared" si="59"/>
        <v>#DIV/0!</v>
      </c>
      <c r="O134" t="e">
        <f t="shared" si="60"/>
        <v>#DIV/0!</v>
      </c>
      <c r="P134" t="e">
        <f t="shared" si="61"/>
        <v>#DIV/0!</v>
      </c>
      <c r="Q134" t="e">
        <f t="shared" si="63"/>
        <v>#DIV/0!</v>
      </c>
    </row>
    <row r="135" spans="1:17">
      <c r="A135" s="65">
        <v>11</v>
      </c>
      <c r="B135" s="128">
        <v>15.333333333333334</v>
      </c>
      <c r="C135">
        <v>0</v>
      </c>
      <c r="D135">
        <v>0</v>
      </c>
      <c r="E135">
        <v>0</v>
      </c>
      <c r="I135" t="e">
        <f t="shared" si="55"/>
        <v>#DIV/0!</v>
      </c>
      <c r="J135" t="e">
        <f t="shared" si="56"/>
        <v>#DIV/0!</v>
      </c>
      <c r="K135" t="e">
        <f t="shared" si="57"/>
        <v>#DIV/0!</v>
      </c>
      <c r="L135">
        <v>4</v>
      </c>
      <c r="M135" t="e">
        <f t="shared" si="58"/>
        <v>#DIV/0!</v>
      </c>
      <c r="N135" t="e">
        <f t="shared" si="59"/>
        <v>#DIV/0!</v>
      </c>
      <c r="O135" t="e">
        <f t="shared" si="60"/>
        <v>#DIV/0!</v>
      </c>
      <c r="P135" t="e">
        <f t="shared" si="61"/>
        <v>#DIV/0!</v>
      </c>
      <c r="Q135" t="e">
        <f t="shared" si="63"/>
        <v>#DIV/0!</v>
      </c>
    </row>
    <row r="136" spans="1:17">
      <c r="A136" s="65">
        <v>12</v>
      </c>
      <c r="B136" s="128">
        <v>16.666666666666668</v>
      </c>
      <c r="C136">
        <v>0</v>
      </c>
      <c r="D136">
        <v>0</v>
      </c>
      <c r="E136">
        <v>0</v>
      </c>
      <c r="I136" t="e">
        <f t="shared" si="55"/>
        <v>#DIV/0!</v>
      </c>
      <c r="J136" t="e">
        <f t="shared" si="56"/>
        <v>#DIV/0!</v>
      </c>
      <c r="K136" t="e">
        <f t="shared" si="57"/>
        <v>#DIV/0!</v>
      </c>
      <c r="L136">
        <v>4</v>
      </c>
      <c r="M136" t="e">
        <f t="shared" si="58"/>
        <v>#DIV/0!</v>
      </c>
      <c r="N136" t="e">
        <f t="shared" si="59"/>
        <v>#DIV/0!</v>
      </c>
      <c r="O136" t="e">
        <f t="shared" si="60"/>
        <v>#DIV/0!</v>
      </c>
      <c r="P136" t="e">
        <f t="shared" si="61"/>
        <v>#DIV/0!</v>
      </c>
      <c r="Q136" t="e">
        <f t="shared" si="63"/>
        <v>#DIV/0!</v>
      </c>
    </row>
    <row r="137" spans="1:17">
      <c r="A137" s="65">
        <v>13</v>
      </c>
      <c r="B137" s="128">
        <v>18</v>
      </c>
      <c r="C137">
        <v>0</v>
      </c>
      <c r="D137">
        <v>0</v>
      </c>
      <c r="E137">
        <v>0</v>
      </c>
      <c r="I137" t="e">
        <f t="shared" si="55"/>
        <v>#DIV/0!</v>
      </c>
      <c r="J137" t="e">
        <f t="shared" si="56"/>
        <v>#DIV/0!</v>
      </c>
      <c r="K137" t="e">
        <f>E137/H137</f>
        <v>#DIV/0!</v>
      </c>
      <c r="L137">
        <v>4</v>
      </c>
      <c r="M137" t="e">
        <f t="shared" si="58"/>
        <v>#DIV/0!</v>
      </c>
      <c r="N137" t="e">
        <f t="shared" si="59"/>
        <v>#DIV/0!</v>
      </c>
      <c r="O137" t="e">
        <f t="shared" si="60"/>
        <v>#DIV/0!</v>
      </c>
      <c r="P137" t="e">
        <f t="shared" si="61"/>
        <v>#DIV/0!</v>
      </c>
      <c r="Q137" t="e">
        <f t="shared" si="63"/>
        <v>#DIV/0!</v>
      </c>
    </row>
    <row r="138" spans="1:17">
      <c r="A138" s="65">
        <v>14</v>
      </c>
      <c r="B138" s="128">
        <v>19.333333333333332</v>
      </c>
      <c r="C138">
        <v>0</v>
      </c>
      <c r="D138">
        <v>0</v>
      </c>
      <c r="E138">
        <v>0</v>
      </c>
      <c r="I138" t="e">
        <f t="shared" si="55"/>
        <v>#DIV/0!</v>
      </c>
      <c r="J138" t="e">
        <f t="shared" si="56"/>
        <v>#DIV/0!</v>
      </c>
      <c r="K138" t="e">
        <f t="shared" ref="K138:K141" si="64">E138/H138</f>
        <v>#DIV/0!</v>
      </c>
      <c r="L138">
        <v>4</v>
      </c>
      <c r="M138" t="e">
        <f t="shared" si="58"/>
        <v>#DIV/0!</v>
      </c>
      <c r="N138" t="e">
        <f t="shared" si="59"/>
        <v>#DIV/0!</v>
      </c>
      <c r="O138" t="e">
        <f t="shared" si="60"/>
        <v>#DIV/0!</v>
      </c>
      <c r="P138" t="e">
        <f t="shared" si="61"/>
        <v>#DIV/0!</v>
      </c>
      <c r="Q138" t="e">
        <f t="shared" si="63"/>
        <v>#DIV/0!</v>
      </c>
    </row>
    <row r="139" spans="1:17">
      <c r="A139" s="65">
        <v>15</v>
      </c>
      <c r="B139" s="128">
        <v>24.166666666666668</v>
      </c>
      <c r="C139">
        <v>0</v>
      </c>
      <c r="D139">
        <v>0</v>
      </c>
      <c r="E139">
        <v>0</v>
      </c>
      <c r="I139" t="e">
        <f t="shared" si="55"/>
        <v>#DIV/0!</v>
      </c>
      <c r="J139" t="e">
        <f t="shared" si="56"/>
        <v>#DIV/0!</v>
      </c>
      <c r="K139" t="e">
        <f t="shared" si="64"/>
        <v>#DIV/0!</v>
      </c>
      <c r="L139">
        <v>4</v>
      </c>
      <c r="M139" t="e">
        <f t="shared" si="58"/>
        <v>#DIV/0!</v>
      </c>
      <c r="N139" t="e">
        <f t="shared" si="59"/>
        <v>#DIV/0!</v>
      </c>
      <c r="O139" t="e">
        <f t="shared" si="60"/>
        <v>#DIV/0!</v>
      </c>
      <c r="P139" t="e">
        <f t="shared" si="61"/>
        <v>#DIV/0!</v>
      </c>
      <c r="Q139" t="e">
        <f t="shared" si="63"/>
        <v>#DIV/0!</v>
      </c>
    </row>
    <row r="140" spans="1:17">
      <c r="A140" s="65">
        <v>16</v>
      </c>
      <c r="B140" s="128">
        <v>30.166666666666668</v>
      </c>
      <c r="C140">
        <v>0</v>
      </c>
      <c r="D140">
        <v>0</v>
      </c>
      <c r="E140">
        <v>0</v>
      </c>
      <c r="I140" t="e">
        <f t="shared" si="55"/>
        <v>#DIV/0!</v>
      </c>
      <c r="J140" t="e">
        <f t="shared" si="56"/>
        <v>#DIV/0!</v>
      </c>
      <c r="K140" t="e">
        <f t="shared" si="64"/>
        <v>#DIV/0!</v>
      </c>
      <c r="L140">
        <v>4</v>
      </c>
      <c r="M140" t="e">
        <f t="shared" si="58"/>
        <v>#DIV/0!</v>
      </c>
      <c r="N140" t="e">
        <f t="shared" si="59"/>
        <v>#DIV/0!</v>
      </c>
      <c r="O140" t="e">
        <f t="shared" si="60"/>
        <v>#DIV/0!</v>
      </c>
      <c r="P140" t="e">
        <f t="shared" si="61"/>
        <v>#DIV/0!</v>
      </c>
      <c r="Q140" t="e">
        <f t="shared" si="63"/>
        <v>#DIV/0!</v>
      </c>
    </row>
    <row r="141" spans="1:17">
      <c r="A141" s="65">
        <v>17</v>
      </c>
      <c r="B141" s="128">
        <v>48.166666666666664</v>
      </c>
      <c r="C141">
        <v>0</v>
      </c>
      <c r="D141">
        <v>0</v>
      </c>
      <c r="E141">
        <v>0</v>
      </c>
      <c r="I141" t="e">
        <f>C141/F141</f>
        <v>#DIV/0!</v>
      </c>
      <c r="J141" t="e">
        <f t="shared" si="56"/>
        <v>#DIV/0!</v>
      </c>
      <c r="K141" t="e">
        <f t="shared" si="64"/>
        <v>#DIV/0!</v>
      </c>
      <c r="L141">
        <v>4</v>
      </c>
      <c r="M141" t="e">
        <f t="shared" si="58"/>
        <v>#DIV/0!</v>
      </c>
      <c r="N141" t="e">
        <f t="shared" si="59"/>
        <v>#DIV/0!</v>
      </c>
      <c r="O141" t="e">
        <f>((K141-$B$143)/($B$142))*N141</f>
        <v>#DIV/0!</v>
      </c>
      <c r="P141" t="e">
        <f>STDEV(M141:O141)</f>
        <v>#DIV/0!</v>
      </c>
      <c r="Q141" t="e">
        <f>AVERAGE(M141:O141)</f>
        <v>#DIV/0!</v>
      </c>
    </row>
    <row r="142" spans="1:17">
      <c r="A142" t="s">
        <v>289</v>
      </c>
      <c r="B142" s="131">
        <f>'Calibration isovaleric acid'!J2</f>
        <v>0</v>
      </c>
      <c r="C142" t="s">
        <v>277</v>
      </c>
    </row>
    <row r="143" spans="1:17">
      <c r="A143" t="s">
        <v>218</v>
      </c>
      <c r="B143" s="131">
        <f>'Calibration isovaleric acid'!K2</f>
        <v>0</v>
      </c>
      <c r="C143" t="s">
        <v>278</v>
      </c>
    </row>
    <row r="145" spans="1:17" ht="15" thickBot="1">
      <c r="A145" t="s">
        <v>308</v>
      </c>
      <c r="C145" t="s">
        <v>61</v>
      </c>
      <c r="D145">
        <v>102.13</v>
      </c>
      <c r="E145" t="s">
        <v>39</v>
      </c>
      <c r="K145" s="130"/>
      <c r="M145" t="s">
        <v>279</v>
      </c>
      <c r="O145" t="s">
        <v>280</v>
      </c>
    </row>
    <row r="146" spans="1:17" ht="15" thickTop="1">
      <c r="A146" s="30" t="s">
        <v>4</v>
      </c>
      <c r="B146" s="30" t="s">
        <v>5</v>
      </c>
      <c r="C146" s="30" t="s">
        <v>263</v>
      </c>
      <c r="D146" s="30" t="s">
        <v>264</v>
      </c>
      <c r="E146" s="30" t="s">
        <v>265</v>
      </c>
      <c r="F146" s="30" t="s">
        <v>266</v>
      </c>
      <c r="G146" s="30" t="s">
        <v>267</v>
      </c>
      <c r="H146" s="30" t="s">
        <v>268</v>
      </c>
      <c r="I146" s="30" t="s">
        <v>269</v>
      </c>
      <c r="J146" s="30" t="s">
        <v>270</v>
      </c>
      <c r="K146" s="30" t="s">
        <v>271</v>
      </c>
      <c r="L146" s="30" t="s">
        <v>19</v>
      </c>
      <c r="M146" s="30" t="s">
        <v>272</v>
      </c>
      <c r="N146" s="30" t="s">
        <v>273</v>
      </c>
      <c r="O146" s="30" t="s">
        <v>274</v>
      </c>
      <c r="P146" s="30" t="s">
        <v>275</v>
      </c>
      <c r="Q146" s="30" t="s">
        <v>276</v>
      </c>
    </row>
    <row r="147" spans="1:17">
      <c r="A147" s="64">
        <v>0</v>
      </c>
      <c r="B147" s="127">
        <v>-0.16666666666666666</v>
      </c>
      <c r="C147">
        <v>0</v>
      </c>
      <c r="D147">
        <v>0</v>
      </c>
      <c r="E147">
        <v>0</v>
      </c>
      <c r="I147" t="e">
        <f>C147/F147</f>
        <v>#DIV/0!</v>
      </c>
      <c r="J147" t="e">
        <f>D147/G147</f>
        <v>#DIV/0!</v>
      </c>
      <c r="K147" t="e">
        <f>E147/H147</f>
        <v>#DIV/0!</v>
      </c>
      <c r="L147">
        <v>4</v>
      </c>
      <c r="M147" t="e">
        <f>((I147-$B$167)/($B$166))*L147</f>
        <v>#DIV/0!</v>
      </c>
      <c r="N147" t="e">
        <f t="shared" ref="N147:O147" si="65">((J147-$B$167)/($B$166))*M147</f>
        <v>#DIV/0!</v>
      </c>
      <c r="O147" t="e">
        <f t="shared" si="65"/>
        <v>#DIV/0!</v>
      </c>
      <c r="P147" t="e">
        <f>STDEV(M147:O147)</f>
        <v>#DIV/0!</v>
      </c>
      <c r="Q147" t="e">
        <f>AVERAGE(M147:O147)</f>
        <v>#DIV/0!</v>
      </c>
    </row>
    <row r="148" spans="1:17">
      <c r="A148" s="65">
        <v>0</v>
      </c>
      <c r="B148" s="128">
        <v>0.16666666666666666</v>
      </c>
      <c r="C148">
        <v>0</v>
      </c>
      <c r="D148">
        <v>0</v>
      </c>
      <c r="E148">
        <v>0</v>
      </c>
      <c r="I148" t="e">
        <f t="shared" ref="I148:I164" si="66">C148/F148</f>
        <v>#DIV/0!</v>
      </c>
      <c r="J148" t="e">
        <f t="shared" ref="J148:J165" si="67">D148/G148</f>
        <v>#DIV/0!</v>
      </c>
      <c r="K148" t="e">
        <f t="shared" ref="K148:K160" si="68">E148/H148</f>
        <v>#DIV/0!</v>
      </c>
      <c r="L148">
        <v>4</v>
      </c>
      <c r="M148" t="e">
        <f t="shared" ref="M148:M165" si="69">((I148-$B$167)/($B$166))*L148</f>
        <v>#DIV/0!</v>
      </c>
      <c r="N148" t="e">
        <f t="shared" ref="N148:N164" si="70">((J148-$B$167)/($B$166))*M148</f>
        <v>#DIV/0!</v>
      </c>
      <c r="O148" t="e">
        <f t="shared" ref="O148:O165" si="71">((K148-$B$167)/($B$166))*N148</f>
        <v>#DIV/0!</v>
      </c>
      <c r="P148" t="e">
        <f t="shared" ref="P148:P164" si="72">STDEV(M148:O148)</f>
        <v>#DIV/0!</v>
      </c>
      <c r="Q148" t="e">
        <f t="shared" ref="Q148:Q152" si="73">AVERAGE(M148:O148)</f>
        <v>#DIV/0!</v>
      </c>
    </row>
    <row r="149" spans="1:17">
      <c r="A149" s="65">
        <v>1</v>
      </c>
      <c r="B149" s="128">
        <v>2</v>
      </c>
      <c r="C149">
        <v>0</v>
      </c>
      <c r="D149">
        <v>0</v>
      </c>
      <c r="E149">
        <v>0</v>
      </c>
      <c r="I149" t="e">
        <f t="shared" si="66"/>
        <v>#DIV/0!</v>
      </c>
      <c r="J149" t="e">
        <f t="shared" si="67"/>
        <v>#DIV/0!</v>
      </c>
      <c r="K149" t="e">
        <f t="shared" si="68"/>
        <v>#DIV/0!</v>
      </c>
      <c r="L149">
        <v>4</v>
      </c>
      <c r="M149" t="e">
        <f t="shared" si="69"/>
        <v>#DIV/0!</v>
      </c>
      <c r="N149" t="e">
        <f t="shared" si="70"/>
        <v>#DIV/0!</v>
      </c>
      <c r="O149" t="e">
        <f t="shared" si="71"/>
        <v>#DIV/0!</v>
      </c>
      <c r="P149" t="e">
        <f t="shared" si="72"/>
        <v>#DIV/0!</v>
      </c>
      <c r="Q149" t="e">
        <f t="shared" si="73"/>
        <v>#DIV/0!</v>
      </c>
    </row>
    <row r="150" spans="1:17">
      <c r="A150" s="65">
        <v>2</v>
      </c>
      <c r="B150" s="128">
        <v>3.3333333333333335</v>
      </c>
      <c r="C150">
        <v>0</v>
      </c>
      <c r="D150">
        <v>0</v>
      </c>
      <c r="E150">
        <v>0</v>
      </c>
      <c r="I150" t="e">
        <f t="shared" si="66"/>
        <v>#DIV/0!</v>
      </c>
      <c r="J150" t="e">
        <f t="shared" si="67"/>
        <v>#DIV/0!</v>
      </c>
      <c r="K150" t="e">
        <f t="shared" si="68"/>
        <v>#DIV/0!</v>
      </c>
      <c r="L150">
        <v>4</v>
      </c>
      <c r="M150" t="e">
        <f t="shared" si="69"/>
        <v>#DIV/0!</v>
      </c>
      <c r="N150" t="e">
        <f t="shared" si="70"/>
        <v>#DIV/0!</v>
      </c>
      <c r="O150" t="e">
        <f t="shared" si="71"/>
        <v>#DIV/0!</v>
      </c>
      <c r="P150" t="e">
        <f t="shared" si="72"/>
        <v>#DIV/0!</v>
      </c>
      <c r="Q150" t="e">
        <f t="shared" si="73"/>
        <v>#DIV/0!</v>
      </c>
    </row>
    <row r="151" spans="1:17">
      <c r="A151" s="65">
        <v>3</v>
      </c>
      <c r="B151" s="128">
        <v>4.666666666666667</v>
      </c>
      <c r="C151">
        <v>0</v>
      </c>
      <c r="D151">
        <v>0</v>
      </c>
      <c r="E151">
        <v>0</v>
      </c>
      <c r="I151" t="e">
        <f t="shared" si="66"/>
        <v>#DIV/0!</v>
      </c>
      <c r="J151" t="e">
        <f t="shared" si="67"/>
        <v>#DIV/0!</v>
      </c>
      <c r="K151" t="e">
        <f t="shared" si="68"/>
        <v>#DIV/0!</v>
      </c>
      <c r="L151">
        <v>4</v>
      </c>
      <c r="M151" t="e">
        <f t="shared" si="69"/>
        <v>#DIV/0!</v>
      </c>
      <c r="N151" t="e">
        <f t="shared" si="70"/>
        <v>#DIV/0!</v>
      </c>
      <c r="O151" t="e">
        <f t="shared" si="71"/>
        <v>#DIV/0!</v>
      </c>
      <c r="P151" t="e">
        <f t="shared" si="72"/>
        <v>#DIV/0!</v>
      </c>
      <c r="Q151" t="e">
        <f t="shared" si="73"/>
        <v>#DIV/0!</v>
      </c>
    </row>
    <row r="152" spans="1:17">
      <c r="A152" s="65">
        <v>4</v>
      </c>
      <c r="B152" s="128">
        <v>6</v>
      </c>
      <c r="C152">
        <v>0</v>
      </c>
      <c r="D152">
        <v>0</v>
      </c>
      <c r="E152">
        <v>0</v>
      </c>
      <c r="I152" t="e">
        <f t="shared" si="66"/>
        <v>#DIV/0!</v>
      </c>
      <c r="J152" t="e">
        <f t="shared" si="67"/>
        <v>#DIV/0!</v>
      </c>
      <c r="K152" t="e">
        <f t="shared" si="68"/>
        <v>#DIV/0!</v>
      </c>
      <c r="L152">
        <v>4</v>
      </c>
      <c r="M152" t="e">
        <f t="shared" si="69"/>
        <v>#DIV/0!</v>
      </c>
      <c r="N152" t="e">
        <f t="shared" si="70"/>
        <v>#DIV/0!</v>
      </c>
      <c r="O152" t="e">
        <f t="shared" si="71"/>
        <v>#DIV/0!</v>
      </c>
      <c r="P152" t="e">
        <f t="shared" si="72"/>
        <v>#DIV/0!</v>
      </c>
      <c r="Q152" t="e">
        <f t="shared" si="73"/>
        <v>#DIV/0!</v>
      </c>
    </row>
    <row r="153" spans="1:17">
      <c r="A153" s="65">
        <v>5</v>
      </c>
      <c r="B153" s="128">
        <v>7.333333333333333</v>
      </c>
      <c r="C153">
        <v>0</v>
      </c>
      <c r="D153">
        <v>0</v>
      </c>
      <c r="E153">
        <v>0</v>
      </c>
      <c r="I153" t="e">
        <f t="shared" si="66"/>
        <v>#DIV/0!</v>
      </c>
      <c r="J153" t="e">
        <f t="shared" si="67"/>
        <v>#DIV/0!</v>
      </c>
      <c r="K153" t="e">
        <f t="shared" si="68"/>
        <v>#DIV/0!</v>
      </c>
      <c r="L153">
        <v>4</v>
      </c>
      <c r="M153" t="e">
        <f t="shared" si="69"/>
        <v>#DIV/0!</v>
      </c>
      <c r="N153" t="e">
        <f t="shared" si="70"/>
        <v>#DIV/0!</v>
      </c>
      <c r="O153" t="e">
        <f t="shared" si="71"/>
        <v>#DIV/0!</v>
      </c>
      <c r="P153" t="e">
        <f t="shared" si="72"/>
        <v>#DIV/0!</v>
      </c>
      <c r="Q153" t="e">
        <f>AVERAGE(M153:O153)</f>
        <v>#DIV/0!</v>
      </c>
    </row>
    <row r="154" spans="1:17">
      <c r="A154" s="65">
        <v>6</v>
      </c>
      <c r="B154" s="128">
        <v>8.6666666666666661</v>
      </c>
      <c r="C154">
        <v>0</v>
      </c>
      <c r="D154">
        <v>0</v>
      </c>
      <c r="E154">
        <v>0</v>
      </c>
      <c r="I154" t="e">
        <f t="shared" si="66"/>
        <v>#DIV/0!</v>
      </c>
      <c r="J154" t="e">
        <f t="shared" si="67"/>
        <v>#DIV/0!</v>
      </c>
      <c r="K154" t="e">
        <f t="shared" si="68"/>
        <v>#DIV/0!</v>
      </c>
      <c r="L154">
        <v>4</v>
      </c>
      <c r="M154" t="e">
        <f t="shared" si="69"/>
        <v>#DIV/0!</v>
      </c>
      <c r="N154" t="e">
        <f t="shared" si="70"/>
        <v>#DIV/0!</v>
      </c>
      <c r="O154" t="e">
        <f t="shared" si="71"/>
        <v>#DIV/0!</v>
      </c>
      <c r="P154" t="e">
        <f t="shared" si="72"/>
        <v>#DIV/0!</v>
      </c>
      <c r="Q154" t="e">
        <f t="shared" ref="Q154:Q164" si="74">AVERAGE(M154:O154)</f>
        <v>#DIV/0!</v>
      </c>
    </row>
    <row r="155" spans="1:17">
      <c r="A155" s="65">
        <v>7</v>
      </c>
      <c r="B155" s="128">
        <v>10</v>
      </c>
      <c r="C155">
        <v>0</v>
      </c>
      <c r="D155">
        <v>0</v>
      </c>
      <c r="E155">
        <v>0</v>
      </c>
      <c r="I155" t="e">
        <f t="shared" si="66"/>
        <v>#DIV/0!</v>
      </c>
      <c r="J155" t="e">
        <f t="shared" si="67"/>
        <v>#DIV/0!</v>
      </c>
      <c r="K155" t="e">
        <f t="shared" si="68"/>
        <v>#DIV/0!</v>
      </c>
      <c r="L155">
        <v>4</v>
      </c>
      <c r="M155" t="e">
        <f t="shared" si="69"/>
        <v>#DIV/0!</v>
      </c>
      <c r="N155" t="e">
        <f t="shared" si="70"/>
        <v>#DIV/0!</v>
      </c>
      <c r="O155" t="e">
        <f t="shared" si="71"/>
        <v>#DIV/0!</v>
      </c>
      <c r="P155" t="e">
        <f t="shared" si="72"/>
        <v>#DIV/0!</v>
      </c>
      <c r="Q155" t="e">
        <f t="shared" si="74"/>
        <v>#DIV/0!</v>
      </c>
    </row>
    <row r="156" spans="1:17">
      <c r="A156" s="65">
        <v>8</v>
      </c>
      <c r="B156" s="128">
        <v>11.333333333333334</v>
      </c>
      <c r="C156">
        <v>0</v>
      </c>
      <c r="D156">
        <v>0</v>
      </c>
      <c r="E156">
        <v>0</v>
      </c>
      <c r="I156" t="e">
        <f t="shared" si="66"/>
        <v>#DIV/0!</v>
      </c>
      <c r="J156" t="e">
        <f t="shared" si="67"/>
        <v>#DIV/0!</v>
      </c>
      <c r="K156" t="e">
        <f t="shared" si="68"/>
        <v>#DIV/0!</v>
      </c>
      <c r="L156">
        <v>4</v>
      </c>
      <c r="M156" t="e">
        <f t="shared" si="69"/>
        <v>#DIV/0!</v>
      </c>
      <c r="N156" t="e">
        <f t="shared" si="70"/>
        <v>#DIV/0!</v>
      </c>
      <c r="O156" t="e">
        <f t="shared" si="71"/>
        <v>#DIV/0!</v>
      </c>
      <c r="P156" t="e">
        <f t="shared" si="72"/>
        <v>#DIV/0!</v>
      </c>
      <c r="Q156" t="e">
        <f t="shared" si="74"/>
        <v>#DIV/0!</v>
      </c>
    </row>
    <row r="157" spans="1:17">
      <c r="A157" s="65">
        <v>9</v>
      </c>
      <c r="B157" s="128">
        <v>12.666666666666666</v>
      </c>
      <c r="C157">
        <v>0</v>
      </c>
      <c r="D157">
        <v>0</v>
      </c>
      <c r="E157">
        <v>0</v>
      </c>
      <c r="I157" t="e">
        <f t="shared" si="66"/>
        <v>#DIV/0!</v>
      </c>
      <c r="J157" t="e">
        <f t="shared" si="67"/>
        <v>#DIV/0!</v>
      </c>
      <c r="K157" t="e">
        <f t="shared" si="68"/>
        <v>#DIV/0!</v>
      </c>
      <c r="L157">
        <v>4</v>
      </c>
      <c r="M157" t="e">
        <f t="shared" si="69"/>
        <v>#DIV/0!</v>
      </c>
      <c r="N157" t="e">
        <f t="shared" si="70"/>
        <v>#DIV/0!</v>
      </c>
      <c r="O157" t="e">
        <f t="shared" si="71"/>
        <v>#DIV/0!</v>
      </c>
      <c r="P157" t="e">
        <f t="shared" si="72"/>
        <v>#DIV/0!</v>
      </c>
      <c r="Q157" t="e">
        <f t="shared" si="74"/>
        <v>#DIV/0!</v>
      </c>
    </row>
    <row r="158" spans="1:17">
      <c r="A158" s="65">
        <v>10</v>
      </c>
      <c r="B158" s="128">
        <v>14</v>
      </c>
      <c r="C158">
        <v>0</v>
      </c>
      <c r="D158">
        <v>0</v>
      </c>
      <c r="E158">
        <v>0</v>
      </c>
      <c r="I158" t="e">
        <f t="shared" si="66"/>
        <v>#DIV/0!</v>
      </c>
      <c r="J158" t="e">
        <f t="shared" si="67"/>
        <v>#DIV/0!</v>
      </c>
      <c r="K158" t="e">
        <f t="shared" si="68"/>
        <v>#DIV/0!</v>
      </c>
      <c r="L158">
        <v>4</v>
      </c>
      <c r="M158" t="e">
        <f t="shared" si="69"/>
        <v>#DIV/0!</v>
      </c>
      <c r="N158" t="e">
        <f t="shared" si="70"/>
        <v>#DIV/0!</v>
      </c>
      <c r="O158" t="e">
        <f t="shared" si="71"/>
        <v>#DIV/0!</v>
      </c>
      <c r="P158" t="e">
        <f t="shared" si="72"/>
        <v>#DIV/0!</v>
      </c>
      <c r="Q158" t="e">
        <f t="shared" si="74"/>
        <v>#DIV/0!</v>
      </c>
    </row>
    <row r="159" spans="1:17">
      <c r="A159" s="65">
        <v>11</v>
      </c>
      <c r="B159" s="128">
        <v>15.333333333333334</v>
      </c>
      <c r="C159">
        <v>0</v>
      </c>
      <c r="D159">
        <v>0</v>
      </c>
      <c r="E159">
        <v>0</v>
      </c>
      <c r="I159" t="e">
        <f t="shared" si="66"/>
        <v>#DIV/0!</v>
      </c>
      <c r="J159" t="e">
        <f t="shared" si="67"/>
        <v>#DIV/0!</v>
      </c>
      <c r="K159" t="e">
        <f t="shared" si="68"/>
        <v>#DIV/0!</v>
      </c>
      <c r="L159">
        <v>4</v>
      </c>
      <c r="M159" t="e">
        <f t="shared" si="69"/>
        <v>#DIV/0!</v>
      </c>
      <c r="N159" t="e">
        <f t="shared" si="70"/>
        <v>#DIV/0!</v>
      </c>
      <c r="O159" t="e">
        <f t="shared" si="71"/>
        <v>#DIV/0!</v>
      </c>
      <c r="P159" t="e">
        <f t="shared" si="72"/>
        <v>#DIV/0!</v>
      </c>
      <c r="Q159" t="e">
        <f t="shared" si="74"/>
        <v>#DIV/0!</v>
      </c>
    </row>
    <row r="160" spans="1:17">
      <c r="A160" s="65">
        <v>12</v>
      </c>
      <c r="B160" s="128">
        <v>16.666666666666668</v>
      </c>
      <c r="C160">
        <v>0</v>
      </c>
      <c r="D160">
        <v>0</v>
      </c>
      <c r="E160">
        <v>0</v>
      </c>
      <c r="I160" t="e">
        <f t="shared" si="66"/>
        <v>#DIV/0!</v>
      </c>
      <c r="J160" t="e">
        <f t="shared" si="67"/>
        <v>#DIV/0!</v>
      </c>
      <c r="K160" t="e">
        <f t="shared" si="68"/>
        <v>#DIV/0!</v>
      </c>
      <c r="L160">
        <v>4</v>
      </c>
      <c r="M160" t="e">
        <f t="shared" si="69"/>
        <v>#DIV/0!</v>
      </c>
      <c r="N160" t="e">
        <f t="shared" si="70"/>
        <v>#DIV/0!</v>
      </c>
      <c r="O160" t="e">
        <f t="shared" si="71"/>
        <v>#DIV/0!</v>
      </c>
      <c r="P160" t="e">
        <f t="shared" si="72"/>
        <v>#DIV/0!</v>
      </c>
      <c r="Q160" t="e">
        <f t="shared" si="74"/>
        <v>#DIV/0!</v>
      </c>
    </row>
    <row r="161" spans="1:17">
      <c r="A161" s="65">
        <v>13</v>
      </c>
      <c r="B161" s="128">
        <v>18</v>
      </c>
      <c r="C161">
        <v>0</v>
      </c>
      <c r="D161">
        <v>0</v>
      </c>
      <c r="E161">
        <v>0</v>
      </c>
      <c r="I161" t="e">
        <f t="shared" si="66"/>
        <v>#DIV/0!</v>
      </c>
      <c r="J161" t="e">
        <f t="shared" si="67"/>
        <v>#DIV/0!</v>
      </c>
      <c r="K161" t="e">
        <f>E161/H161</f>
        <v>#DIV/0!</v>
      </c>
      <c r="L161">
        <v>4</v>
      </c>
      <c r="M161" t="e">
        <f t="shared" si="69"/>
        <v>#DIV/0!</v>
      </c>
      <c r="N161" t="e">
        <f t="shared" si="70"/>
        <v>#DIV/0!</v>
      </c>
      <c r="O161" t="e">
        <f t="shared" si="71"/>
        <v>#DIV/0!</v>
      </c>
      <c r="P161" t="e">
        <f t="shared" si="72"/>
        <v>#DIV/0!</v>
      </c>
      <c r="Q161" t="e">
        <f t="shared" si="74"/>
        <v>#DIV/0!</v>
      </c>
    </row>
    <row r="162" spans="1:17">
      <c r="A162" s="65">
        <v>14</v>
      </c>
      <c r="B162" s="128">
        <v>19.333333333333332</v>
      </c>
      <c r="C162">
        <v>0</v>
      </c>
      <c r="D162">
        <v>0</v>
      </c>
      <c r="E162">
        <v>0</v>
      </c>
      <c r="I162" t="e">
        <f t="shared" si="66"/>
        <v>#DIV/0!</v>
      </c>
      <c r="J162" t="e">
        <f t="shared" si="67"/>
        <v>#DIV/0!</v>
      </c>
      <c r="K162" t="e">
        <f t="shared" ref="K162:K165" si="75">E162/H162</f>
        <v>#DIV/0!</v>
      </c>
      <c r="L162">
        <v>4</v>
      </c>
      <c r="M162" t="e">
        <f t="shared" si="69"/>
        <v>#DIV/0!</v>
      </c>
      <c r="N162" t="e">
        <f t="shared" si="70"/>
        <v>#DIV/0!</v>
      </c>
      <c r="O162" t="e">
        <f t="shared" si="71"/>
        <v>#DIV/0!</v>
      </c>
      <c r="P162" t="e">
        <f t="shared" si="72"/>
        <v>#DIV/0!</v>
      </c>
      <c r="Q162" t="e">
        <f t="shared" si="74"/>
        <v>#DIV/0!</v>
      </c>
    </row>
    <row r="163" spans="1:17">
      <c r="A163" s="65">
        <v>15</v>
      </c>
      <c r="B163" s="128">
        <v>24.166666666666668</v>
      </c>
      <c r="C163">
        <v>0</v>
      </c>
      <c r="D163">
        <v>0</v>
      </c>
      <c r="E163">
        <v>0</v>
      </c>
      <c r="I163" t="e">
        <f t="shared" si="66"/>
        <v>#DIV/0!</v>
      </c>
      <c r="J163" t="e">
        <f t="shared" si="67"/>
        <v>#DIV/0!</v>
      </c>
      <c r="K163" t="e">
        <f t="shared" si="75"/>
        <v>#DIV/0!</v>
      </c>
      <c r="L163">
        <v>4</v>
      </c>
      <c r="M163" t="e">
        <f t="shared" si="69"/>
        <v>#DIV/0!</v>
      </c>
      <c r="N163" t="e">
        <f t="shared" si="70"/>
        <v>#DIV/0!</v>
      </c>
      <c r="O163" t="e">
        <f t="shared" si="71"/>
        <v>#DIV/0!</v>
      </c>
      <c r="P163" t="e">
        <f t="shared" si="72"/>
        <v>#DIV/0!</v>
      </c>
      <c r="Q163" t="e">
        <f t="shared" si="74"/>
        <v>#DIV/0!</v>
      </c>
    </row>
    <row r="164" spans="1:17">
      <c r="A164" s="65">
        <v>16</v>
      </c>
      <c r="B164" s="128">
        <v>30.166666666666668</v>
      </c>
      <c r="C164">
        <v>0</v>
      </c>
      <c r="D164">
        <v>0</v>
      </c>
      <c r="E164">
        <v>0</v>
      </c>
      <c r="I164" t="e">
        <f t="shared" si="66"/>
        <v>#DIV/0!</v>
      </c>
      <c r="J164" t="e">
        <f t="shared" si="67"/>
        <v>#DIV/0!</v>
      </c>
      <c r="K164" t="e">
        <f t="shared" si="75"/>
        <v>#DIV/0!</v>
      </c>
      <c r="L164">
        <v>4</v>
      </c>
      <c r="M164" t="e">
        <f t="shared" si="69"/>
        <v>#DIV/0!</v>
      </c>
      <c r="N164" t="e">
        <f t="shared" si="70"/>
        <v>#DIV/0!</v>
      </c>
      <c r="O164" t="e">
        <f t="shared" si="71"/>
        <v>#DIV/0!</v>
      </c>
      <c r="P164" t="e">
        <f t="shared" si="72"/>
        <v>#DIV/0!</v>
      </c>
      <c r="Q164" t="e">
        <f t="shared" si="74"/>
        <v>#DIV/0!</v>
      </c>
    </row>
    <row r="165" spans="1:17">
      <c r="A165" s="65">
        <v>17</v>
      </c>
      <c r="B165" s="128">
        <v>48.166666666666664</v>
      </c>
      <c r="C165">
        <v>0</v>
      </c>
      <c r="D165">
        <v>0</v>
      </c>
      <c r="E165">
        <v>0</v>
      </c>
      <c r="I165" t="e">
        <f>C165/F165</f>
        <v>#DIV/0!</v>
      </c>
      <c r="J165" t="e">
        <f t="shared" si="67"/>
        <v>#DIV/0!</v>
      </c>
      <c r="K165" t="e">
        <f t="shared" si="75"/>
        <v>#DIV/0!</v>
      </c>
      <c r="L165">
        <v>4</v>
      </c>
      <c r="M165" t="e">
        <f t="shared" si="69"/>
        <v>#DIV/0!</v>
      </c>
      <c r="N165" t="e">
        <f>((J165-$B$167)/($B$166))*M165</f>
        <v>#DIV/0!</v>
      </c>
      <c r="O165" t="e">
        <f t="shared" si="71"/>
        <v>#DIV/0!</v>
      </c>
      <c r="P165" t="e">
        <f>STDEV(M165:O165)</f>
        <v>#DIV/0!</v>
      </c>
      <c r="Q165" t="e">
        <f>AVERAGE(M165:O165)</f>
        <v>#DIV/0!</v>
      </c>
    </row>
    <row r="166" spans="1:17">
      <c r="A166" t="s">
        <v>289</v>
      </c>
      <c r="B166" s="131">
        <f>'Calibration 2-methylbutyric a'!J2</f>
        <v>0</v>
      </c>
      <c r="C166" t="s">
        <v>277</v>
      </c>
    </row>
    <row r="167" spans="1:17">
      <c r="A167" t="s">
        <v>218</v>
      </c>
      <c r="B167" s="131">
        <f>'Calibration 2-methylbutyric a'!K2</f>
        <v>0</v>
      </c>
      <c r="C167" t="s">
        <v>278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6" sqref="G16:G21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9" t="s">
        <v>4</v>
      </c>
      <c r="B1" s="139" t="s">
        <v>116</v>
      </c>
      <c r="C1" s="139" t="s">
        <v>116</v>
      </c>
      <c r="D1" s="139" t="s">
        <v>5</v>
      </c>
      <c r="E1" s="4" t="s">
        <v>7</v>
      </c>
      <c r="F1" s="4" t="s">
        <v>9</v>
      </c>
      <c r="G1" s="138" t="s">
        <v>11</v>
      </c>
      <c r="H1" s="138" t="s">
        <v>12</v>
      </c>
      <c r="I1" s="4" t="s">
        <v>13</v>
      </c>
      <c r="J1" s="4" t="s">
        <v>16</v>
      </c>
      <c r="K1" s="4" t="s">
        <v>16</v>
      </c>
    </row>
    <row r="2" spans="1:11">
      <c r="A2" s="140"/>
      <c r="B2" s="140"/>
      <c r="C2" s="140"/>
      <c r="D2" s="140"/>
      <c r="E2" s="5" t="s">
        <v>8</v>
      </c>
      <c r="F2" s="5" t="s">
        <v>10</v>
      </c>
      <c r="G2" s="138"/>
      <c r="H2" s="138"/>
      <c r="I2" s="5" t="s">
        <v>14</v>
      </c>
      <c r="J2" s="5" t="s">
        <v>17</v>
      </c>
      <c r="K2" s="5" t="s">
        <v>144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49</v>
      </c>
      <c r="F3" s="1">
        <f>E3</f>
        <v>49</v>
      </c>
      <c r="G3" s="1">
        <v>0</v>
      </c>
      <c r="H3" s="1">
        <v>0</v>
      </c>
      <c r="I3" s="1">
        <f>$F$23+G3+H3</f>
        <v>1500</v>
      </c>
      <c r="J3" s="13">
        <f>F3*1500/I3</f>
        <v>49</v>
      </c>
      <c r="K3" s="13">
        <f>$F$24-J3</f>
        <v>1526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1" si="0">C4/60</f>
        <v>0.16666666666666666</v>
      </c>
      <c r="E4" s="1">
        <v>48</v>
      </c>
      <c r="F4" s="1">
        <f>E4+F3</f>
        <v>97</v>
      </c>
      <c r="G4" s="40">
        <v>0</v>
      </c>
      <c r="H4" s="40">
        <v>0</v>
      </c>
      <c r="I4" s="1">
        <f t="shared" ref="I4:I11" si="1">$F$24-F3+G4+H4</f>
        <v>1526</v>
      </c>
      <c r="J4" s="13">
        <f>E4*K3/I4</f>
        <v>48</v>
      </c>
      <c r="K4" s="13">
        <f>K3-J4</f>
        <v>1478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47</v>
      </c>
      <c r="F5" s="1">
        <f t="shared" ref="F5:F21" si="2">E5+F4</f>
        <v>144</v>
      </c>
      <c r="G5" s="40">
        <v>0</v>
      </c>
      <c r="H5" s="40">
        <v>0</v>
      </c>
      <c r="I5" s="40">
        <f t="shared" si="1"/>
        <v>1478</v>
      </c>
      <c r="J5" s="13">
        <f t="shared" ref="J5:J13" si="3">E5*K4/I5</f>
        <v>47</v>
      </c>
      <c r="K5" s="13">
        <f>K4-J5</f>
        <v>1431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53</v>
      </c>
      <c r="F6" s="1">
        <f t="shared" si="2"/>
        <v>197</v>
      </c>
      <c r="G6" s="40">
        <v>0</v>
      </c>
      <c r="H6" s="40">
        <v>0</v>
      </c>
      <c r="I6" s="40">
        <f t="shared" si="1"/>
        <v>1431</v>
      </c>
      <c r="J6" s="13">
        <f>E6*K5/I6</f>
        <v>53</v>
      </c>
      <c r="K6" s="13">
        <f t="shared" ref="K6:K13" si="4">K5-J6</f>
        <v>1378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42</v>
      </c>
      <c r="F7" s="1">
        <f t="shared" si="2"/>
        <v>239</v>
      </c>
      <c r="G7" s="40">
        <v>0</v>
      </c>
      <c r="H7" s="40">
        <v>0</v>
      </c>
      <c r="I7" s="40">
        <f t="shared" si="1"/>
        <v>1378</v>
      </c>
      <c r="J7" s="13">
        <f>E7*K6/I7</f>
        <v>42</v>
      </c>
      <c r="K7" s="13">
        <f>K6-J7</f>
        <v>1336</v>
      </c>
    </row>
    <row r="8" spans="1:11">
      <c r="A8" s="40">
        <v>4</v>
      </c>
      <c r="B8" s="32">
        <v>80</v>
      </c>
      <c r="C8" s="32">
        <f t="shared" ref="C8:C21" si="5">C7+B8</f>
        <v>360</v>
      </c>
      <c r="D8" s="13">
        <f t="shared" si="0"/>
        <v>6</v>
      </c>
      <c r="E8" s="1">
        <v>48</v>
      </c>
      <c r="F8" s="1">
        <f t="shared" si="2"/>
        <v>287</v>
      </c>
      <c r="G8" s="40">
        <v>0</v>
      </c>
      <c r="H8" s="40">
        <v>0</v>
      </c>
      <c r="I8" s="40">
        <f t="shared" si="1"/>
        <v>1336</v>
      </c>
      <c r="J8" s="13">
        <f t="shared" si="3"/>
        <v>48</v>
      </c>
      <c r="K8" s="13">
        <f t="shared" si="4"/>
        <v>1288</v>
      </c>
    </row>
    <row r="9" spans="1:11">
      <c r="A9" s="40">
        <v>5</v>
      </c>
      <c r="B9" s="32">
        <v>80</v>
      </c>
      <c r="C9" s="32">
        <f t="shared" si="5"/>
        <v>440</v>
      </c>
      <c r="D9" s="13">
        <f t="shared" si="0"/>
        <v>7.333333333333333</v>
      </c>
      <c r="E9" s="1">
        <v>53</v>
      </c>
      <c r="F9" s="1">
        <f t="shared" si="2"/>
        <v>340</v>
      </c>
      <c r="G9" s="40">
        <v>0</v>
      </c>
      <c r="H9" s="40">
        <v>0</v>
      </c>
      <c r="I9" s="40">
        <f t="shared" si="1"/>
        <v>1288</v>
      </c>
      <c r="J9" s="13">
        <f t="shared" si="3"/>
        <v>53</v>
      </c>
      <c r="K9" s="13">
        <f t="shared" si="4"/>
        <v>1235</v>
      </c>
    </row>
    <row r="10" spans="1:11">
      <c r="A10" s="40">
        <v>6</v>
      </c>
      <c r="B10" s="32">
        <v>80</v>
      </c>
      <c r="C10" s="32">
        <f t="shared" si="5"/>
        <v>520</v>
      </c>
      <c r="D10" s="13">
        <f t="shared" si="0"/>
        <v>8.6666666666666661</v>
      </c>
      <c r="E10" s="1">
        <v>51</v>
      </c>
      <c r="F10" s="40">
        <f t="shared" si="2"/>
        <v>391</v>
      </c>
      <c r="G10" s="40">
        <v>0</v>
      </c>
      <c r="H10" s="40">
        <v>0</v>
      </c>
      <c r="I10" s="40">
        <f t="shared" si="1"/>
        <v>1235</v>
      </c>
      <c r="J10" s="13">
        <f t="shared" si="3"/>
        <v>51</v>
      </c>
      <c r="K10" s="13">
        <f t="shared" si="4"/>
        <v>1184</v>
      </c>
    </row>
    <row r="11" spans="1:11">
      <c r="A11" s="40">
        <v>7</v>
      </c>
      <c r="B11" s="32">
        <v>80</v>
      </c>
      <c r="C11" s="32">
        <f t="shared" si="5"/>
        <v>600</v>
      </c>
      <c r="D11" s="13">
        <f t="shared" si="0"/>
        <v>10</v>
      </c>
      <c r="E11" s="1">
        <v>54</v>
      </c>
      <c r="F11" s="40">
        <f t="shared" si="2"/>
        <v>445</v>
      </c>
      <c r="G11" s="40">
        <v>2</v>
      </c>
      <c r="H11" s="40">
        <v>0</v>
      </c>
      <c r="I11" s="40">
        <f t="shared" si="1"/>
        <v>1186</v>
      </c>
      <c r="J11" s="13">
        <f t="shared" si="3"/>
        <v>53.908937605396289</v>
      </c>
      <c r="K11" s="13">
        <f t="shared" si="4"/>
        <v>1130.0910623946038</v>
      </c>
    </row>
    <row r="12" spans="1:11">
      <c r="A12" s="40">
        <v>8</v>
      </c>
      <c r="B12" s="32">
        <v>80</v>
      </c>
      <c r="C12" s="32">
        <f t="shared" si="5"/>
        <v>680</v>
      </c>
      <c r="D12" s="13">
        <f t="shared" si="0"/>
        <v>11.333333333333334</v>
      </c>
      <c r="E12" s="1">
        <v>39</v>
      </c>
      <c r="F12" s="40">
        <f t="shared" si="2"/>
        <v>484</v>
      </c>
      <c r="G12" s="40">
        <v>3</v>
      </c>
      <c r="H12" s="40">
        <v>0</v>
      </c>
      <c r="I12" s="40">
        <f t="shared" ref="I12:I21" si="6">$F$24-F11+G12+H12</f>
        <v>1133</v>
      </c>
      <c r="J12" s="13">
        <f t="shared" si="3"/>
        <v>38.899868873247613</v>
      </c>
      <c r="K12" s="13">
        <f t="shared" si="4"/>
        <v>1091.1911935213561</v>
      </c>
    </row>
    <row r="13" spans="1:11">
      <c r="A13" s="40">
        <v>9</v>
      </c>
      <c r="B13" s="32">
        <v>80</v>
      </c>
      <c r="C13" s="32">
        <f t="shared" si="5"/>
        <v>760</v>
      </c>
      <c r="D13" s="13">
        <f>C13/60</f>
        <v>12.666666666666666</v>
      </c>
      <c r="E13" s="1">
        <v>38</v>
      </c>
      <c r="F13" s="40">
        <f t="shared" si="2"/>
        <v>522</v>
      </c>
      <c r="G13" s="40">
        <v>4</v>
      </c>
      <c r="H13" s="40">
        <v>0</v>
      </c>
      <c r="I13" s="40">
        <f t="shared" si="6"/>
        <v>1095</v>
      </c>
      <c r="J13" s="13">
        <f t="shared" si="3"/>
        <v>37.867822240923772</v>
      </c>
      <c r="K13" s="13">
        <f t="shared" si="4"/>
        <v>1053.3233712804324</v>
      </c>
    </row>
    <row r="14" spans="1:11">
      <c r="A14" s="40">
        <v>10</v>
      </c>
      <c r="B14" s="32">
        <v>80</v>
      </c>
      <c r="C14" s="32">
        <f t="shared" si="5"/>
        <v>840</v>
      </c>
      <c r="D14" s="13">
        <f t="shared" si="0"/>
        <v>14</v>
      </c>
      <c r="E14" s="3">
        <v>41</v>
      </c>
      <c r="F14" s="40">
        <f t="shared" si="2"/>
        <v>563</v>
      </c>
      <c r="G14" s="40">
        <v>5</v>
      </c>
      <c r="H14" s="40">
        <v>0</v>
      </c>
      <c r="I14" s="40">
        <f t="shared" si="6"/>
        <v>1058</v>
      </c>
      <c r="J14" s="13">
        <f t="shared" ref="J14:J21" si="7">E14*K13/I14</f>
        <v>40.818769586481785</v>
      </c>
      <c r="K14" s="13">
        <f t="shared" ref="K14:K21" si="8">K13-J14</f>
        <v>1012.5046016939506</v>
      </c>
    </row>
    <row r="15" spans="1:11">
      <c r="A15" s="40">
        <v>11</v>
      </c>
      <c r="B15" s="32">
        <v>80</v>
      </c>
      <c r="C15" s="32">
        <f t="shared" si="5"/>
        <v>920</v>
      </c>
      <c r="D15" s="13">
        <f t="shared" si="0"/>
        <v>15.333333333333334</v>
      </c>
      <c r="E15" s="37">
        <v>48</v>
      </c>
      <c r="F15" s="40">
        <f t="shared" si="2"/>
        <v>611</v>
      </c>
      <c r="G15" s="40">
        <v>5</v>
      </c>
      <c r="H15" s="40">
        <v>0</v>
      </c>
      <c r="I15" s="40">
        <f t="shared" si="6"/>
        <v>1017</v>
      </c>
      <c r="J15" s="13">
        <f t="shared" si="7"/>
        <v>47.787827808564039</v>
      </c>
      <c r="K15" s="13">
        <f t="shared" si="8"/>
        <v>964.71677388538649</v>
      </c>
    </row>
    <row r="16" spans="1:11">
      <c r="A16" s="40">
        <v>12</v>
      </c>
      <c r="B16" s="32">
        <v>80</v>
      </c>
      <c r="C16" s="32">
        <f t="shared" si="5"/>
        <v>1000</v>
      </c>
      <c r="D16" s="13">
        <f t="shared" si="0"/>
        <v>16.666666666666668</v>
      </c>
      <c r="E16" s="37">
        <v>52</v>
      </c>
      <c r="F16" s="40">
        <f t="shared" si="2"/>
        <v>663</v>
      </c>
      <c r="G16" s="40">
        <v>6</v>
      </c>
      <c r="H16" s="40">
        <v>0</v>
      </c>
      <c r="I16" s="40">
        <f t="shared" si="6"/>
        <v>970</v>
      </c>
      <c r="J16" s="13">
        <f t="shared" si="7"/>
        <v>51.716775507257829</v>
      </c>
      <c r="K16" s="13">
        <f t="shared" si="8"/>
        <v>912.99999837812868</v>
      </c>
    </row>
    <row r="17" spans="1:11">
      <c r="A17" s="40">
        <v>13</v>
      </c>
      <c r="B17" s="32">
        <v>80</v>
      </c>
      <c r="C17" s="32">
        <f t="shared" si="5"/>
        <v>1080</v>
      </c>
      <c r="D17" s="13">
        <f t="shared" si="0"/>
        <v>18</v>
      </c>
      <c r="E17" s="37">
        <v>50</v>
      </c>
      <c r="F17" s="40">
        <f t="shared" si="2"/>
        <v>713</v>
      </c>
      <c r="G17" s="40">
        <v>6</v>
      </c>
      <c r="H17" s="40">
        <v>0</v>
      </c>
      <c r="I17" s="40">
        <f t="shared" si="6"/>
        <v>918</v>
      </c>
      <c r="J17" s="13">
        <f t="shared" si="7"/>
        <v>49.727668756978687</v>
      </c>
      <c r="K17" s="13">
        <f t="shared" si="8"/>
        <v>863.27232962114999</v>
      </c>
    </row>
    <row r="18" spans="1:11">
      <c r="A18" s="40">
        <v>14</v>
      </c>
      <c r="B18" s="32">
        <v>80</v>
      </c>
      <c r="C18" s="32">
        <f t="shared" si="5"/>
        <v>1160</v>
      </c>
      <c r="D18" s="13">
        <f t="shared" si="0"/>
        <v>19.333333333333332</v>
      </c>
      <c r="E18" s="37">
        <v>49</v>
      </c>
      <c r="F18" s="40">
        <f t="shared" si="2"/>
        <v>762</v>
      </c>
      <c r="G18" s="40">
        <v>6</v>
      </c>
      <c r="H18" s="40">
        <v>0</v>
      </c>
      <c r="I18" s="40">
        <f t="shared" si="6"/>
        <v>868</v>
      </c>
      <c r="J18" s="13">
        <f t="shared" si="7"/>
        <v>48.733115381839113</v>
      </c>
      <c r="K18" s="13">
        <f t="shared" si="8"/>
        <v>814.53921423931092</v>
      </c>
    </row>
    <row r="19" spans="1:11">
      <c r="A19" s="40">
        <v>15</v>
      </c>
      <c r="B19" s="32">
        <v>290</v>
      </c>
      <c r="C19" s="32">
        <f t="shared" si="5"/>
        <v>1450</v>
      </c>
      <c r="D19" s="13">
        <f t="shared" si="0"/>
        <v>24.166666666666668</v>
      </c>
      <c r="E19" s="37">
        <v>50</v>
      </c>
      <c r="F19" s="40">
        <f t="shared" si="2"/>
        <v>812</v>
      </c>
      <c r="G19" s="40">
        <v>6</v>
      </c>
      <c r="H19" s="40">
        <v>6</v>
      </c>
      <c r="I19" s="40">
        <f t="shared" si="6"/>
        <v>825</v>
      </c>
      <c r="J19" s="13">
        <f t="shared" si="7"/>
        <v>49.366012984200665</v>
      </c>
      <c r="K19" s="13">
        <f t="shared" si="8"/>
        <v>765.17320125511026</v>
      </c>
    </row>
    <row r="20" spans="1:11">
      <c r="A20" s="40">
        <v>16</v>
      </c>
      <c r="B20" s="32">
        <v>360</v>
      </c>
      <c r="C20" s="32">
        <f t="shared" si="5"/>
        <v>1810</v>
      </c>
      <c r="D20" s="13">
        <f>C20/60</f>
        <v>30.166666666666668</v>
      </c>
      <c r="E20" s="32">
        <v>45</v>
      </c>
      <c r="F20" s="40">
        <f t="shared" si="2"/>
        <v>857</v>
      </c>
      <c r="G20" s="40">
        <v>6</v>
      </c>
      <c r="H20" s="32">
        <v>31</v>
      </c>
      <c r="I20" s="40">
        <f t="shared" si="6"/>
        <v>800</v>
      </c>
      <c r="J20" s="13">
        <f t="shared" si="7"/>
        <v>43.040992570599954</v>
      </c>
      <c r="K20" s="13">
        <f t="shared" si="8"/>
        <v>722.13220868451026</v>
      </c>
    </row>
    <row r="21" spans="1:11">
      <c r="A21" s="40">
        <v>17</v>
      </c>
      <c r="B21" s="32">
        <v>1080</v>
      </c>
      <c r="C21" s="32">
        <f t="shared" si="5"/>
        <v>2890</v>
      </c>
      <c r="D21" s="13">
        <f t="shared" si="0"/>
        <v>48.166666666666664</v>
      </c>
      <c r="E21" s="40">
        <v>57</v>
      </c>
      <c r="F21" s="40">
        <f t="shared" si="2"/>
        <v>914</v>
      </c>
      <c r="G21" s="40">
        <v>6</v>
      </c>
      <c r="H21" s="40">
        <v>31</v>
      </c>
      <c r="I21" s="40">
        <f t="shared" si="6"/>
        <v>755</v>
      </c>
      <c r="J21" s="13">
        <f t="shared" si="7"/>
        <v>54.518590589426601</v>
      </c>
      <c r="K21" s="13">
        <f t="shared" si="8"/>
        <v>667.61361809508367</v>
      </c>
    </row>
    <row r="23" spans="1:11">
      <c r="A23" s="135" t="s">
        <v>15</v>
      </c>
      <c r="B23" s="136"/>
      <c r="C23" s="136"/>
      <c r="D23" s="136"/>
      <c r="E23" s="137"/>
      <c r="F23" s="1">
        <v>1500</v>
      </c>
    </row>
    <row r="24" spans="1:11">
      <c r="A24" s="135" t="s">
        <v>15</v>
      </c>
      <c r="B24" s="136"/>
      <c r="C24" s="136"/>
      <c r="D24" s="136"/>
      <c r="E24" s="137"/>
      <c r="F24" s="40">
        <v>1575</v>
      </c>
    </row>
  </sheetData>
  <mergeCells count="8">
    <mergeCell ref="A24:E24"/>
    <mergeCell ref="A1:A2"/>
    <mergeCell ref="D1:D2"/>
    <mergeCell ref="G1:G2"/>
    <mergeCell ref="H1:H2"/>
    <mergeCell ref="A23:E23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R35" sqref="R35"/>
    </sheetView>
  </sheetViews>
  <sheetFormatPr baseColWidth="10" defaultColWidth="8.83203125" defaultRowHeight="14" x14ac:dyDescent="0"/>
  <cols>
    <col min="2" max="2" width="18.5" customWidth="1"/>
    <col min="3" max="3" width="13.1640625" customWidth="1"/>
    <col min="4" max="4" width="17.5" bestFit="1" customWidth="1"/>
    <col min="5" max="5" width="17.1640625" customWidth="1"/>
  </cols>
  <sheetData>
    <row r="1" spans="1:11">
      <c r="A1" t="s">
        <v>305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J1" t="s">
        <v>289</v>
      </c>
      <c r="K1" t="s">
        <v>218</v>
      </c>
    </row>
    <row r="2" spans="1:11">
      <c r="A2">
        <v>1</v>
      </c>
      <c r="B2" s="132">
        <f>B3/2</f>
        <v>7.1624999999999996E-3</v>
      </c>
      <c r="C2" s="133">
        <f>B2*20</f>
        <v>0.14324999999999999</v>
      </c>
      <c r="D2" s="58">
        <f>C2/'Results Focus GC'!$D$1*1000</f>
        <v>3.1093987410462338</v>
      </c>
      <c r="E2" s="58">
        <f t="shared" ref="E2:E8" si="0">D2/4</f>
        <v>0.77734968526155845</v>
      </c>
      <c r="F2">
        <v>0</v>
      </c>
      <c r="H2" t="e">
        <f>F2/G2</f>
        <v>#DIV/0!</v>
      </c>
    </row>
    <row r="3" spans="1:11">
      <c r="A3">
        <v>2</v>
      </c>
      <c r="B3" s="132">
        <f>B4/2</f>
        <v>1.4324999999999999E-2</v>
      </c>
      <c r="C3" s="133">
        <f t="shared" ref="C3:C6" si="1">B3*20</f>
        <v>0.28649999999999998</v>
      </c>
      <c r="D3" s="58">
        <f>C3/'Results Focus GC'!$D$1*1000</f>
        <v>6.2187974820924676</v>
      </c>
      <c r="E3" s="58">
        <f t="shared" si="0"/>
        <v>1.5546993705231169</v>
      </c>
      <c r="F3">
        <v>0</v>
      </c>
      <c r="H3" t="e">
        <f t="shared" ref="H3:H8" si="2">F3/G3</f>
        <v>#DIV/0!</v>
      </c>
    </row>
    <row r="4" spans="1:11">
      <c r="A4">
        <v>3</v>
      </c>
      <c r="B4" s="132">
        <f>B5/2</f>
        <v>2.8649999999999998E-2</v>
      </c>
      <c r="C4" s="133">
        <f t="shared" si="1"/>
        <v>0.57299999999999995</v>
      </c>
      <c r="D4" s="58">
        <f>C4/'Results Focus GC'!$D$1*1000</f>
        <v>12.437594964184935</v>
      </c>
      <c r="E4" s="58">
        <f t="shared" si="0"/>
        <v>3.1093987410462338</v>
      </c>
      <c r="F4">
        <v>0</v>
      </c>
      <c r="H4" t="e">
        <f t="shared" si="2"/>
        <v>#DIV/0!</v>
      </c>
    </row>
    <row r="5" spans="1:11">
      <c r="A5">
        <v>4</v>
      </c>
      <c r="B5" s="132">
        <f>B6/2</f>
        <v>5.7299999999999997E-2</v>
      </c>
      <c r="C5" s="133">
        <f t="shared" si="1"/>
        <v>1.1459999999999999</v>
      </c>
      <c r="D5" s="58">
        <f>C5/'Results Focus GC'!$D$1*1000</f>
        <v>24.875189928369871</v>
      </c>
      <c r="E5" s="58">
        <f t="shared" si="0"/>
        <v>6.2187974820924676</v>
      </c>
      <c r="F5">
        <v>0</v>
      </c>
      <c r="H5" t="e">
        <f>F5/G5</f>
        <v>#DIV/0!</v>
      </c>
    </row>
    <row r="6" spans="1:11">
      <c r="A6">
        <v>5</v>
      </c>
      <c r="B6" s="132">
        <f>B7/2</f>
        <v>0.11459999999999999</v>
      </c>
      <c r="C6" s="133">
        <f t="shared" si="1"/>
        <v>2.2919999999999998</v>
      </c>
      <c r="D6" s="58">
        <f>C6/'Results Focus GC'!$D$1*1000</f>
        <v>49.750379856739741</v>
      </c>
      <c r="E6" s="58">
        <f t="shared" si="0"/>
        <v>12.437594964184935</v>
      </c>
      <c r="F6">
        <v>0</v>
      </c>
      <c r="H6" t="e">
        <f t="shared" si="2"/>
        <v>#DIV/0!</v>
      </c>
    </row>
    <row r="7" spans="1:11">
      <c r="A7">
        <v>6</v>
      </c>
      <c r="B7" s="132">
        <f t="shared" ref="B7:B8" si="3">B8/2</f>
        <v>0.22919999999999999</v>
      </c>
      <c r="C7" s="133">
        <f>B7*20</f>
        <v>4.5839999999999996</v>
      </c>
      <c r="D7" s="58">
        <f>C7/'Results Focus GC'!$D$1*1000</f>
        <v>99.500759713479482</v>
      </c>
      <c r="E7" s="58">
        <f t="shared" si="0"/>
        <v>24.875189928369871</v>
      </c>
      <c r="F7">
        <v>0</v>
      </c>
      <c r="H7" t="e">
        <f t="shared" si="2"/>
        <v>#DIV/0!</v>
      </c>
    </row>
    <row r="8" spans="1:11">
      <c r="A8">
        <v>7</v>
      </c>
      <c r="B8" s="132">
        <f t="shared" si="3"/>
        <v>0.45839999999999997</v>
      </c>
      <c r="C8" s="133">
        <f>B8*20</f>
        <v>9.1679999999999993</v>
      </c>
      <c r="D8" s="58">
        <f>C8/'Results Focus GC'!$D$1*1000</f>
        <v>199.00151942695896</v>
      </c>
      <c r="E8" s="58">
        <f t="shared" si="0"/>
        <v>49.750379856739741</v>
      </c>
      <c r="F8">
        <v>0</v>
      </c>
      <c r="H8" t="e">
        <f t="shared" si="2"/>
        <v>#DIV/0!</v>
      </c>
    </row>
    <row r="9" spans="1:11">
      <c r="A9">
        <v>8</v>
      </c>
      <c r="B9" s="132">
        <v>0.91679999999999995</v>
      </c>
      <c r="C9" s="133">
        <f>B9*20</f>
        <v>18.335999999999999</v>
      </c>
      <c r="D9" s="58">
        <f>C9/'Results Focus GC'!$D$1*1000</f>
        <v>398.00303885391793</v>
      </c>
      <c r="E9" s="58">
        <f>D9/4</f>
        <v>99.500759713479482</v>
      </c>
      <c r="F9">
        <v>0</v>
      </c>
      <c r="H9" t="e">
        <f>F9/G9</f>
        <v>#DIV/0!</v>
      </c>
    </row>
    <row r="13" spans="1:11">
      <c r="A13" t="s">
        <v>290</v>
      </c>
    </row>
    <row r="14" spans="1:11">
      <c r="A14" t="s">
        <v>291</v>
      </c>
    </row>
    <row r="15" spans="1:11">
      <c r="A15" t="s">
        <v>292</v>
      </c>
    </row>
    <row r="16" spans="1:11">
      <c r="A16" t="s">
        <v>293</v>
      </c>
    </row>
    <row r="17" spans="1:1">
      <c r="A17" t="s">
        <v>294</v>
      </c>
    </row>
    <row r="18" spans="1:1">
      <c r="A18" t="s">
        <v>295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R35" sqref="R35"/>
    </sheetView>
  </sheetViews>
  <sheetFormatPr baseColWidth="10" defaultColWidth="8.83203125" defaultRowHeight="14" x14ac:dyDescent="0"/>
  <sheetData>
    <row r="1" spans="1:11">
      <c r="A1" t="s">
        <v>281</v>
      </c>
      <c r="B1" t="s">
        <v>296</v>
      </c>
      <c r="C1" t="s">
        <v>297</v>
      </c>
      <c r="D1" t="s">
        <v>284</v>
      </c>
      <c r="E1" t="s">
        <v>298</v>
      </c>
      <c r="F1" t="s">
        <v>286</v>
      </c>
      <c r="G1" t="s">
        <v>287</v>
      </c>
      <c r="H1" t="s">
        <v>288</v>
      </c>
      <c r="J1" t="s">
        <v>289</v>
      </c>
      <c r="K1" t="s">
        <v>218</v>
      </c>
    </row>
    <row r="2" spans="1:11">
      <c r="A2">
        <v>1</v>
      </c>
      <c r="B2">
        <f t="shared" ref="B2:B8" si="0">B3/2</f>
        <v>9.3703125000000002E-3</v>
      </c>
      <c r="C2" s="133">
        <f t="shared" ref="C2:C9" si="1">B2*20</f>
        <v>0.18740625</v>
      </c>
      <c r="D2">
        <f>C2/'Results Focus GC'!$D$25*1000</f>
        <v>3.1208368026644462</v>
      </c>
      <c r="E2">
        <f t="shared" ref="E2:E9" si="2">D2/4</f>
        <v>0.78020920066611155</v>
      </c>
      <c r="G2" s="58"/>
      <c r="H2" t="e">
        <f t="shared" ref="H2:H9" si="3">F2/G2</f>
        <v>#DIV/0!</v>
      </c>
    </row>
    <row r="3" spans="1:11">
      <c r="A3">
        <v>2</v>
      </c>
      <c r="B3">
        <f t="shared" si="0"/>
        <v>1.8740625E-2</v>
      </c>
      <c r="C3" s="133">
        <f t="shared" si="1"/>
        <v>0.37481249999999999</v>
      </c>
      <c r="D3">
        <f>C3/'Results Focus GC'!$D$25*1000</f>
        <v>6.2416736053288924</v>
      </c>
      <c r="E3">
        <f t="shared" si="2"/>
        <v>1.5604184013322231</v>
      </c>
      <c r="G3" s="58"/>
      <c r="H3" t="e">
        <f t="shared" si="3"/>
        <v>#DIV/0!</v>
      </c>
    </row>
    <row r="4" spans="1:11">
      <c r="A4">
        <v>3</v>
      </c>
      <c r="B4">
        <f t="shared" si="0"/>
        <v>3.7481250000000001E-2</v>
      </c>
      <c r="C4" s="133">
        <f t="shared" si="1"/>
        <v>0.74962499999999999</v>
      </c>
      <c r="D4">
        <f>C4/'Results Focus GC'!$D$25*1000</f>
        <v>12.483347210657785</v>
      </c>
      <c r="E4">
        <f t="shared" si="2"/>
        <v>3.1208368026644462</v>
      </c>
      <c r="G4" s="58"/>
      <c r="H4" t="e">
        <f t="shared" si="3"/>
        <v>#DIV/0!</v>
      </c>
    </row>
    <row r="5" spans="1:11">
      <c r="A5">
        <v>4</v>
      </c>
      <c r="B5">
        <f t="shared" si="0"/>
        <v>7.4962500000000001E-2</v>
      </c>
      <c r="C5" s="133">
        <f t="shared" si="1"/>
        <v>1.49925</v>
      </c>
      <c r="D5">
        <f>C5/'Results Focus GC'!$D$25*1000</f>
        <v>24.966694421315569</v>
      </c>
      <c r="E5">
        <f t="shared" si="2"/>
        <v>6.2416736053288924</v>
      </c>
      <c r="G5" s="58"/>
      <c r="H5" t="e">
        <f t="shared" si="3"/>
        <v>#DIV/0!</v>
      </c>
    </row>
    <row r="6" spans="1:11">
      <c r="A6">
        <v>5</v>
      </c>
      <c r="B6">
        <f t="shared" si="0"/>
        <v>0.149925</v>
      </c>
      <c r="C6" s="133">
        <f t="shared" si="1"/>
        <v>2.9984999999999999</v>
      </c>
      <c r="D6">
        <f>C6/'Results Focus GC'!$D$25*1000</f>
        <v>49.933388842631139</v>
      </c>
      <c r="E6">
        <f t="shared" si="2"/>
        <v>12.483347210657785</v>
      </c>
      <c r="G6" s="58"/>
      <c r="H6" t="e">
        <f t="shared" si="3"/>
        <v>#DIV/0!</v>
      </c>
    </row>
    <row r="7" spans="1:11">
      <c r="A7">
        <v>6</v>
      </c>
      <c r="B7">
        <f t="shared" si="0"/>
        <v>0.29985000000000001</v>
      </c>
      <c r="C7" s="133">
        <f t="shared" si="1"/>
        <v>5.9969999999999999</v>
      </c>
      <c r="D7">
        <f>C7/'Results Focus GC'!$D$25*1000</f>
        <v>99.866777685262278</v>
      </c>
      <c r="E7">
        <f t="shared" si="2"/>
        <v>24.966694421315569</v>
      </c>
      <c r="G7" s="58"/>
      <c r="H7" t="e">
        <f t="shared" si="3"/>
        <v>#DIV/0!</v>
      </c>
    </row>
    <row r="8" spans="1:11">
      <c r="A8">
        <v>7</v>
      </c>
      <c r="B8">
        <f t="shared" si="0"/>
        <v>0.59970000000000001</v>
      </c>
      <c r="C8" s="133">
        <f t="shared" si="1"/>
        <v>11.994</v>
      </c>
      <c r="D8">
        <f>C8/'Results Focus GC'!$D$25*1000</f>
        <v>199.73355537052456</v>
      </c>
      <c r="E8">
        <f t="shared" si="2"/>
        <v>49.933388842631139</v>
      </c>
      <c r="G8" s="58"/>
      <c r="H8" t="e">
        <f t="shared" si="3"/>
        <v>#DIV/0!</v>
      </c>
    </row>
    <row r="9" spans="1:11">
      <c r="A9">
        <v>8</v>
      </c>
      <c r="B9">
        <v>1.1994</v>
      </c>
      <c r="C9" s="133">
        <f t="shared" si="1"/>
        <v>23.988</v>
      </c>
      <c r="D9">
        <f>C9/'Results Focus GC'!$D$25*1000</f>
        <v>399.46711074104911</v>
      </c>
      <c r="E9">
        <f t="shared" si="2"/>
        <v>99.866777685262278</v>
      </c>
      <c r="G9" s="58"/>
      <c r="H9" t="e">
        <f t="shared" si="3"/>
        <v>#DIV/0!</v>
      </c>
    </row>
    <row r="12" spans="1:11">
      <c r="A12" t="s">
        <v>290</v>
      </c>
    </row>
    <row r="13" spans="1:11">
      <c r="A13" t="s">
        <v>291</v>
      </c>
    </row>
    <row r="14" spans="1:11">
      <c r="A14" t="s">
        <v>292</v>
      </c>
    </row>
    <row r="15" spans="1:11">
      <c r="A15" t="s">
        <v>293</v>
      </c>
    </row>
    <row r="16" spans="1:11">
      <c r="A16" t="s">
        <v>294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R35" sqref="R35"/>
    </sheetView>
  </sheetViews>
  <sheetFormatPr baseColWidth="10" defaultColWidth="8.83203125" defaultRowHeight="14" x14ac:dyDescent="0"/>
  <cols>
    <col min="6" max="6" width="9.5" bestFit="1" customWidth="1"/>
  </cols>
  <sheetData>
    <row r="1" spans="1:11">
      <c r="A1" t="s">
        <v>281</v>
      </c>
      <c r="B1" t="s">
        <v>296</v>
      </c>
      <c r="C1" t="s">
        <v>299</v>
      </c>
      <c r="D1" t="s">
        <v>284</v>
      </c>
      <c r="E1" t="s">
        <v>300</v>
      </c>
      <c r="F1" t="s">
        <v>286</v>
      </c>
      <c r="G1" t="s">
        <v>287</v>
      </c>
      <c r="H1" t="s">
        <v>288</v>
      </c>
      <c r="J1" t="s">
        <v>289</v>
      </c>
      <c r="K1" t="s">
        <v>218</v>
      </c>
    </row>
    <row r="2" spans="1:11">
      <c r="A2">
        <v>1</v>
      </c>
      <c r="B2" s="132">
        <f t="shared" ref="B2:B8" si="0">B3/2</f>
        <v>6.1624999999999996E-3</v>
      </c>
      <c r="C2" s="133">
        <f t="shared" ref="C2:C9" si="1">B2*20</f>
        <v>0.12325</v>
      </c>
      <c r="D2">
        <f>C2/'Results Focus GC'!$D$49*1000</f>
        <v>1.6637419006479481</v>
      </c>
      <c r="E2">
        <f t="shared" ref="E2:E9" si="2">D2/4</f>
        <v>0.41593547516198703</v>
      </c>
      <c r="G2" s="58"/>
      <c r="H2" t="e">
        <f>F2/G2</f>
        <v>#DIV/0!</v>
      </c>
    </row>
    <row r="3" spans="1:11">
      <c r="A3">
        <v>2</v>
      </c>
      <c r="B3" s="132">
        <f t="shared" si="0"/>
        <v>1.2324999999999999E-2</v>
      </c>
      <c r="C3" s="133">
        <f t="shared" si="1"/>
        <v>0.2465</v>
      </c>
      <c r="D3">
        <f>C3/'Results Focus GC'!$D$49*1000</f>
        <v>3.3274838012958963</v>
      </c>
      <c r="E3">
        <f t="shared" si="2"/>
        <v>0.83187095032397407</v>
      </c>
      <c r="G3" s="58"/>
      <c r="H3" t="e">
        <f t="shared" ref="H3:H8" si="3">F3/G3</f>
        <v>#DIV/0!</v>
      </c>
    </row>
    <row r="4" spans="1:11">
      <c r="A4">
        <v>3</v>
      </c>
      <c r="B4" s="132">
        <f t="shared" si="0"/>
        <v>2.4649999999999998E-2</v>
      </c>
      <c r="C4" s="133">
        <f t="shared" si="1"/>
        <v>0.49299999999999999</v>
      </c>
      <c r="D4">
        <f>C4/'Results Focus GC'!$D$49*1000</f>
        <v>6.6549676025917925</v>
      </c>
      <c r="E4">
        <f t="shared" si="2"/>
        <v>1.6637419006479481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4.9299999999999997E-2</v>
      </c>
      <c r="C5" s="133">
        <f t="shared" si="1"/>
        <v>0.98599999999999999</v>
      </c>
      <c r="D5">
        <f>C5/'Results Focus GC'!$D$49*1000</f>
        <v>13.309935205183585</v>
      </c>
      <c r="E5">
        <f t="shared" si="2"/>
        <v>3.3274838012958963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9.8599999999999993E-2</v>
      </c>
      <c r="C6" s="133">
        <f t="shared" si="1"/>
        <v>1.972</v>
      </c>
      <c r="D6">
        <f>C6/'Results Focus GC'!$D$49*1000</f>
        <v>26.61987041036717</v>
      </c>
      <c r="E6">
        <f t="shared" si="2"/>
        <v>6.6549676025917925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0.19719999999999999</v>
      </c>
      <c r="C7" s="133">
        <f t="shared" si="1"/>
        <v>3.944</v>
      </c>
      <c r="D7">
        <f>C7/'Results Focus GC'!$D$49*1000</f>
        <v>53.23974082073434</v>
      </c>
      <c r="E7">
        <f t="shared" si="2"/>
        <v>13.309935205183585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0.39439999999999997</v>
      </c>
      <c r="C8" s="133">
        <f t="shared" si="1"/>
        <v>7.8879999999999999</v>
      </c>
      <c r="D8">
        <f>C8/'Results Focus GC'!$D$49*1000</f>
        <v>106.47948164146868</v>
      </c>
      <c r="E8">
        <f t="shared" si="2"/>
        <v>26.61987041036717</v>
      </c>
      <c r="G8" s="58"/>
      <c r="H8" t="e">
        <f t="shared" si="3"/>
        <v>#DIV/0!</v>
      </c>
    </row>
    <row r="9" spans="1:11">
      <c r="A9">
        <v>8</v>
      </c>
      <c r="B9" s="132">
        <v>0.78879999999999995</v>
      </c>
      <c r="C9" s="133">
        <f t="shared" si="1"/>
        <v>15.776</v>
      </c>
      <c r="D9">
        <f>C9/'Results Focus GC'!$D$49*1000</f>
        <v>212.95896328293736</v>
      </c>
      <c r="E9">
        <f t="shared" si="2"/>
        <v>53.23974082073434</v>
      </c>
      <c r="G9" s="58"/>
      <c r="H9" t="e">
        <f>F9/G9</f>
        <v>#DIV/0!</v>
      </c>
    </row>
    <row r="13" spans="1:11">
      <c r="A13" t="s">
        <v>290</v>
      </c>
    </row>
    <row r="14" spans="1:11">
      <c r="A14" t="s">
        <v>291</v>
      </c>
    </row>
    <row r="15" spans="1:11">
      <c r="A15" t="s">
        <v>292</v>
      </c>
    </row>
    <row r="16" spans="1:11">
      <c r="A16" t="s">
        <v>293</v>
      </c>
    </row>
    <row r="17" spans="1:1">
      <c r="A17" t="s">
        <v>301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R35" sqref="R35"/>
    </sheetView>
  </sheetViews>
  <sheetFormatPr baseColWidth="10" defaultRowHeight="14" x14ac:dyDescent="0"/>
  <sheetData>
    <row r="1" spans="1:11">
      <c r="A1" t="s">
        <v>281</v>
      </c>
      <c r="B1" t="s">
        <v>296</v>
      </c>
      <c r="C1" t="s">
        <v>297</v>
      </c>
      <c r="D1" t="s">
        <v>284</v>
      </c>
      <c r="E1" t="s">
        <v>300</v>
      </c>
      <c r="F1" t="s">
        <v>286</v>
      </c>
      <c r="G1" t="s">
        <v>287</v>
      </c>
      <c r="H1" t="s">
        <v>288</v>
      </c>
      <c r="J1" t="s">
        <v>289</v>
      </c>
      <c r="K1" t="s">
        <v>218</v>
      </c>
    </row>
    <row r="2" spans="1:11">
      <c r="A2">
        <v>1</v>
      </c>
      <c r="B2" s="132">
        <f t="shared" ref="B2:B8" si="0">B3/2</f>
        <v>1.361328125E-2</v>
      </c>
      <c r="C2" s="133">
        <f t="shared" ref="C2:C9" si="1">B2*20</f>
        <v>0.27226562500000001</v>
      </c>
      <c r="D2">
        <f>C2/'Results Focus GC'!$D$73*1000</f>
        <v>3.0900649755986835</v>
      </c>
      <c r="E2">
        <f t="shared" ref="E2:E9" si="2">D2/4</f>
        <v>0.77251624389967088</v>
      </c>
      <c r="G2" s="58"/>
      <c r="H2" t="e">
        <f>F2/G2</f>
        <v>#DIV/0!</v>
      </c>
    </row>
    <row r="3" spans="1:11">
      <c r="A3">
        <v>2</v>
      </c>
      <c r="B3" s="132">
        <f t="shared" si="0"/>
        <v>2.7226562499999999E-2</v>
      </c>
      <c r="C3" s="133">
        <f t="shared" si="1"/>
        <v>0.54453125000000002</v>
      </c>
      <c r="D3">
        <f>C3/'Results Focus GC'!$D$73*1000</f>
        <v>6.1801299511973671</v>
      </c>
      <c r="E3">
        <f t="shared" si="2"/>
        <v>1.5450324877993418</v>
      </c>
      <c r="G3" s="58"/>
      <c r="H3" t="e">
        <f t="shared" ref="H3:H8" si="3">F3/G3</f>
        <v>#DIV/0!</v>
      </c>
    </row>
    <row r="4" spans="1:11">
      <c r="A4">
        <v>3</v>
      </c>
      <c r="B4" s="132">
        <f t="shared" si="0"/>
        <v>5.4453124999999998E-2</v>
      </c>
      <c r="C4" s="133">
        <f t="shared" si="1"/>
        <v>1.0890625</v>
      </c>
      <c r="D4">
        <f>C4/'Results Focus GC'!$D$73*1000</f>
        <v>12.360259902394734</v>
      </c>
      <c r="E4">
        <f t="shared" si="2"/>
        <v>3.0900649755986835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0.10890625</v>
      </c>
      <c r="C5" s="133">
        <f t="shared" si="1"/>
        <v>2.1781250000000001</v>
      </c>
      <c r="D5">
        <f>C5/'Results Focus GC'!$D$73*1000</f>
        <v>24.720519804789468</v>
      </c>
      <c r="E5">
        <f t="shared" si="2"/>
        <v>6.1801299511973671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0.21781249999999999</v>
      </c>
      <c r="C6" s="133">
        <f t="shared" si="1"/>
        <v>4.3562500000000002</v>
      </c>
      <c r="D6">
        <f>C6/'Results Focus GC'!$D$73*1000</f>
        <v>49.441039609578937</v>
      </c>
      <c r="E6">
        <f t="shared" si="2"/>
        <v>12.360259902394734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0.43562499999999998</v>
      </c>
      <c r="C7" s="133">
        <f t="shared" si="1"/>
        <v>8.7125000000000004</v>
      </c>
      <c r="D7">
        <f>C7/'Results Focus GC'!$D$73*1000</f>
        <v>98.882079219157873</v>
      </c>
      <c r="E7">
        <f t="shared" si="2"/>
        <v>24.720519804789468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0.87124999999999997</v>
      </c>
      <c r="C8" s="133">
        <f t="shared" si="1"/>
        <v>17.425000000000001</v>
      </c>
      <c r="D8">
        <f>C8/'Results Focus GC'!$D$73*1000</f>
        <v>197.76415843831575</v>
      </c>
      <c r="E8">
        <f t="shared" si="2"/>
        <v>49.441039609578937</v>
      </c>
      <c r="G8" s="58"/>
      <c r="H8" t="e">
        <f t="shared" si="3"/>
        <v>#DIV/0!</v>
      </c>
    </row>
    <row r="9" spans="1:11">
      <c r="A9">
        <v>8</v>
      </c>
      <c r="B9" s="132">
        <v>1.7424999999999999</v>
      </c>
      <c r="C9" s="133">
        <f t="shared" si="1"/>
        <v>34.85</v>
      </c>
      <c r="D9">
        <f>C9/'Results Focus GC'!$D$73*1000</f>
        <v>395.52831687663149</v>
      </c>
      <c r="E9">
        <f t="shared" si="2"/>
        <v>98.882079219157873</v>
      </c>
      <c r="G9" s="58"/>
      <c r="H9" t="e">
        <f>F9/G9</f>
        <v>#DIV/0!</v>
      </c>
    </row>
    <row r="13" spans="1:11">
      <c r="A13" t="s">
        <v>290</v>
      </c>
    </row>
    <row r="14" spans="1:11">
      <c r="A14" t="s">
        <v>291</v>
      </c>
    </row>
    <row r="15" spans="1:11">
      <c r="A15" t="s">
        <v>292</v>
      </c>
    </row>
    <row r="16" spans="1:11">
      <c r="A16" t="s">
        <v>293</v>
      </c>
    </row>
    <row r="17" spans="1:1">
      <c r="A17" t="s">
        <v>294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R35" sqref="R35"/>
    </sheetView>
  </sheetViews>
  <sheetFormatPr baseColWidth="10" defaultRowHeight="14" x14ac:dyDescent="0"/>
  <sheetData>
    <row r="1" spans="1:11">
      <c r="A1" t="s">
        <v>281</v>
      </c>
      <c r="B1" t="s">
        <v>296</v>
      </c>
      <c r="C1" t="s">
        <v>297</v>
      </c>
      <c r="D1" t="s">
        <v>284</v>
      </c>
      <c r="E1" t="s">
        <v>300</v>
      </c>
      <c r="F1" t="s">
        <v>286</v>
      </c>
      <c r="G1" t="s">
        <v>287</v>
      </c>
      <c r="H1" t="s">
        <v>288</v>
      </c>
      <c r="J1" t="s">
        <v>289</v>
      </c>
      <c r="K1" t="s">
        <v>218</v>
      </c>
    </row>
    <row r="2" spans="1:11">
      <c r="A2">
        <v>1</v>
      </c>
      <c r="B2" s="132">
        <f t="shared" ref="B2:B8" si="0">B3/2</f>
        <v>6.8828125E-3</v>
      </c>
      <c r="C2" s="133">
        <f t="shared" ref="C2:C9" si="1">B2*20</f>
        <v>0.13765625000000001</v>
      </c>
      <c r="D2">
        <f>C2/'Results Focus GC'!$D$97*1000</f>
        <v>1.5623226648507549</v>
      </c>
      <c r="E2">
        <f t="shared" ref="E2:E9" si="2">D2/4</f>
        <v>0.39058066621268872</v>
      </c>
      <c r="G2" s="58"/>
      <c r="H2" t="e">
        <f>F2/G2</f>
        <v>#DIV/0!</v>
      </c>
    </row>
    <row r="3" spans="1:11">
      <c r="A3">
        <v>2</v>
      </c>
      <c r="B3" s="132">
        <f t="shared" si="0"/>
        <v>1.3765625E-2</v>
      </c>
      <c r="C3" s="133">
        <f t="shared" si="1"/>
        <v>0.27531250000000002</v>
      </c>
      <c r="D3">
        <f>C3/'Results Focus GC'!$D$97*1000</f>
        <v>3.1246453297015098</v>
      </c>
      <c r="E3">
        <f t="shared" si="2"/>
        <v>0.78116133242537744</v>
      </c>
      <c r="G3" s="58"/>
      <c r="H3" t="e">
        <f t="shared" ref="H3:H9" si="3">F3/G3</f>
        <v>#DIV/0!</v>
      </c>
    </row>
    <row r="4" spans="1:11">
      <c r="A4">
        <v>3</v>
      </c>
      <c r="B4" s="132">
        <f t="shared" si="0"/>
        <v>2.753125E-2</v>
      </c>
      <c r="C4" s="133">
        <f t="shared" si="1"/>
        <v>0.55062500000000003</v>
      </c>
      <c r="D4">
        <f>C4/'Results Focus GC'!$D$97*1000</f>
        <v>6.2492906594030195</v>
      </c>
      <c r="E4">
        <f t="shared" si="2"/>
        <v>1.5623226648507549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5.50625E-2</v>
      </c>
      <c r="C5" s="133">
        <f t="shared" si="1"/>
        <v>1.1012500000000001</v>
      </c>
      <c r="D5">
        <f>C5/'Results Focus GC'!$D$97*1000</f>
        <v>12.498581318806039</v>
      </c>
      <c r="E5">
        <f t="shared" si="2"/>
        <v>3.1246453297015098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0.110125</v>
      </c>
      <c r="C6" s="133">
        <f t="shared" si="1"/>
        <v>2.2025000000000001</v>
      </c>
      <c r="D6">
        <f>C6/'Results Focus GC'!$D$97*1000</f>
        <v>24.997162637612078</v>
      </c>
      <c r="E6">
        <f t="shared" si="2"/>
        <v>6.2492906594030195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0.22025</v>
      </c>
      <c r="C7" s="133">
        <f t="shared" si="1"/>
        <v>4.4050000000000002</v>
      </c>
      <c r="D7">
        <f>C7/'Results Focus GC'!$D$97*1000</f>
        <v>49.994325275224156</v>
      </c>
      <c r="E7">
        <f t="shared" si="2"/>
        <v>12.498581318806039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0.4405</v>
      </c>
      <c r="C8" s="133">
        <f t="shared" si="1"/>
        <v>8.81</v>
      </c>
      <c r="D8">
        <f>C8/'Results Focus GC'!$D$97*1000</f>
        <v>99.988650550448313</v>
      </c>
      <c r="E8">
        <f t="shared" si="2"/>
        <v>24.997162637612078</v>
      </c>
      <c r="G8" s="58"/>
      <c r="H8" t="e">
        <f t="shared" si="3"/>
        <v>#DIV/0!</v>
      </c>
    </row>
    <row r="9" spans="1:11">
      <c r="A9">
        <v>8</v>
      </c>
      <c r="B9" s="132">
        <v>0.88100000000000001</v>
      </c>
      <c r="C9" s="133">
        <f t="shared" si="1"/>
        <v>17.62</v>
      </c>
      <c r="D9">
        <f>C9/'Results Focus GC'!$D$97*1000</f>
        <v>199.97730110089663</v>
      </c>
      <c r="E9">
        <f t="shared" si="2"/>
        <v>49.994325275224156</v>
      </c>
      <c r="G9" s="58"/>
      <c r="H9" t="e">
        <f t="shared" si="3"/>
        <v>#DIV/0!</v>
      </c>
    </row>
    <row r="13" spans="1:11">
      <c r="A13" t="s">
        <v>290</v>
      </c>
    </row>
    <row r="14" spans="1:11">
      <c r="A14" t="s">
        <v>291</v>
      </c>
    </row>
    <row r="15" spans="1:11">
      <c r="A15" t="s">
        <v>292</v>
      </c>
    </row>
    <row r="16" spans="1:11">
      <c r="A16" t="s">
        <v>293</v>
      </c>
    </row>
    <row r="17" spans="1:1">
      <c r="A17" t="s">
        <v>294</v>
      </c>
    </row>
    <row r="21" spans="1:1">
      <c r="A21" t="s">
        <v>302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R35" sqref="R35"/>
    </sheetView>
  </sheetViews>
  <sheetFormatPr baseColWidth="10" defaultRowHeight="14" x14ac:dyDescent="0"/>
  <sheetData>
    <row r="1" spans="1:11">
      <c r="A1" t="s">
        <v>281</v>
      </c>
      <c r="B1" t="s">
        <v>296</v>
      </c>
      <c r="C1" t="s">
        <v>297</v>
      </c>
      <c r="D1" t="s">
        <v>284</v>
      </c>
      <c r="E1" t="s">
        <v>300</v>
      </c>
      <c r="F1" t="s">
        <v>286</v>
      </c>
      <c r="G1" t="s">
        <v>287</v>
      </c>
      <c r="H1" t="s">
        <v>288</v>
      </c>
      <c r="J1" t="s">
        <v>289</v>
      </c>
      <c r="K1" t="s">
        <v>218</v>
      </c>
    </row>
    <row r="2" spans="1:11">
      <c r="A2">
        <v>1</v>
      </c>
      <c r="B2" s="132">
        <f t="shared" ref="B2:B8" si="0">B3/2</f>
        <v>7.9773437499999992E-3</v>
      </c>
      <c r="C2" s="133">
        <f t="shared" ref="C2:C9" si="1">B2*20</f>
        <v>0.15954687499999998</v>
      </c>
      <c r="D2">
        <f>C2/'Results Focus GC'!$D$121*1000</f>
        <v>1.562194017428767</v>
      </c>
      <c r="E2">
        <f t="shared" ref="E2:E9" si="2">D2/4</f>
        <v>0.39054850435719174</v>
      </c>
      <c r="G2" s="58"/>
      <c r="H2" t="e">
        <f>F2/G2</f>
        <v>#DIV/0!</v>
      </c>
    </row>
    <row r="3" spans="1:11">
      <c r="A3">
        <v>2</v>
      </c>
      <c r="B3" s="132">
        <f t="shared" si="0"/>
        <v>1.5954687499999998E-2</v>
      </c>
      <c r="C3" s="133">
        <f t="shared" si="1"/>
        <v>0.31909374999999995</v>
      </c>
      <c r="D3">
        <f>C3/'Results Focus GC'!$D$121*1000</f>
        <v>3.1243880348575339</v>
      </c>
      <c r="E3">
        <f t="shared" si="2"/>
        <v>0.78109700871438348</v>
      </c>
      <c r="G3" s="58"/>
      <c r="H3" t="e">
        <f t="shared" ref="H3:H9" si="3">F3/G3</f>
        <v>#DIV/0!</v>
      </c>
    </row>
    <row r="4" spans="1:11">
      <c r="A4">
        <v>3</v>
      </c>
      <c r="B4" s="132">
        <f t="shared" si="0"/>
        <v>3.1909374999999997E-2</v>
      </c>
      <c r="C4" s="133">
        <f t="shared" si="1"/>
        <v>0.63818749999999991</v>
      </c>
      <c r="D4">
        <f>C4/'Results Focus GC'!$D$121*1000</f>
        <v>6.2487760697150678</v>
      </c>
      <c r="E4">
        <f t="shared" si="2"/>
        <v>1.562194017428767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6.3818749999999994E-2</v>
      </c>
      <c r="C5" s="133">
        <f t="shared" si="1"/>
        <v>1.2763749999999998</v>
      </c>
      <c r="D5">
        <f>C5/'Results Focus GC'!$D$121*1000</f>
        <v>12.497552139430136</v>
      </c>
      <c r="E5">
        <f t="shared" si="2"/>
        <v>3.1243880348575339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0.12763749999999999</v>
      </c>
      <c r="C6" s="133">
        <f t="shared" si="1"/>
        <v>2.5527499999999996</v>
      </c>
      <c r="D6">
        <f>C6/'Results Focus GC'!$D$121*1000</f>
        <v>24.995104278860271</v>
      </c>
      <c r="E6">
        <f t="shared" si="2"/>
        <v>6.2487760697150678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0.25527499999999997</v>
      </c>
      <c r="C7" s="133">
        <f t="shared" si="1"/>
        <v>5.1054999999999993</v>
      </c>
      <c r="D7">
        <f>C7/'Results Focus GC'!$D$121*1000</f>
        <v>49.990208557720543</v>
      </c>
      <c r="E7">
        <f t="shared" si="2"/>
        <v>12.497552139430136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0.51054999999999995</v>
      </c>
      <c r="C8" s="133">
        <f t="shared" si="1"/>
        <v>10.210999999999999</v>
      </c>
      <c r="D8">
        <f>C8/'Results Focus GC'!$D$121*1000</f>
        <v>99.980417115441085</v>
      </c>
      <c r="E8">
        <f t="shared" si="2"/>
        <v>24.995104278860271</v>
      </c>
      <c r="G8" s="58"/>
      <c r="H8" t="e">
        <f t="shared" si="3"/>
        <v>#DIV/0!</v>
      </c>
    </row>
    <row r="9" spans="1:11">
      <c r="A9">
        <v>8</v>
      </c>
      <c r="B9" s="132">
        <v>1.0210999999999999</v>
      </c>
      <c r="C9" s="133">
        <f t="shared" si="1"/>
        <v>20.421999999999997</v>
      </c>
      <c r="D9">
        <f>C9/'Results Focus GC'!$D$121*1000</f>
        <v>199.96083423088217</v>
      </c>
      <c r="E9">
        <f t="shared" si="2"/>
        <v>49.990208557720543</v>
      </c>
      <c r="G9" s="58"/>
      <c r="H9" t="e">
        <f t="shared" si="3"/>
        <v>#DIV/0!</v>
      </c>
    </row>
    <row r="13" spans="1:11">
      <c r="A13" t="s">
        <v>290</v>
      </c>
    </row>
    <row r="14" spans="1:11">
      <c r="A14" t="s">
        <v>291</v>
      </c>
    </row>
    <row r="15" spans="1:11">
      <c r="A15" t="s">
        <v>292</v>
      </c>
    </row>
    <row r="16" spans="1:11">
      <c r="A16" t="s">
        <v>293</v>
      </c>
    </row>
    <row r="17" spans="1:1">
      <c r="A17" t="s">
        <v>294</v>
      </c>
    </row>
    <row r="20" spans="1:1">
      <c r="A20" t="s">
        <v>303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R35" sqref="R35"/>
    </sheetView>
  </sheetViews>
  <sheetFormatPr baseColWidth="10" defaultRowHeight="14" x14ac:dyDescent="0"/>
  <sheetData>
    <row r="1" spans="1:11">
      <c r="A1" t="s">
        <v>281</v>
      </c>
      <c r="B1" t="s">
        <v>296</v>
      </c>
      <c r="C1" t="s">
        <v>297</v>
      </c>
      <c r="D1" t="s">
        <v>284</v>
      </c>
      <c r="E1" t="s">
        <v>300</v>
      </c>
      <c r="F1" t="s">
        <v>286</v>
      </c>
      <c r="G1" t="s">
        <v>287</v>
      </c>
      <c r="H1" t="s">
        <v>288</v>
      </c>
      <c r="J1" t="s">
        <v>289</v>
      </c>
      <c r="K1" t="s">
        <v>218</v>
      </c>
    </row>
    <row r="2" spans="1:11">
      <c r="A2">
        <v>1</v>
      </c>
      <c r="B2" s="132">
        <f t="shared" ref="B2:B8" si="0">B3/2</f>
        <v>8.1218750000000006E-3</v>
      </c>
      <c r="C2" s="133">
        <f t="shared" ref="C2:C9" si="1">B2*20</f>
        <v>0.16243750000000001</v>
      </c>
      <c r="D2">
        <f>C2/'Results Focus GC'!$D$145*1000</f>
        <v>1.590497405267796</v>
      </c>
      <c r="E2">
        <f t="shared" ref="E2:E9" si="2">D2/4</f>
        <v>0.39762435131694901</v>
      </c>
      <c r="G2" s="58"/>
      <c r="H2" t="e">
        <f>F2/G2</f>
        <v>#DIV/0!</v>
      </c>
    </row>
    <row r="3" spans="1:11">
      <c r="A3">
        <v>2</v>
      </c>
      <c r="B3" s="132">
        <f t="shared" si="0"/>
        <v>1.6243750000000001E-2</v>
      </c>
      <c r="C3" s="133">
        <f t="shared" si="1"/>
        <v>0.32487500000000002</v>
      </c>
      <c r="D3">
        <f>C3/'Results Focus GC'!$D$145*1000</f>
        <v>3.1809948105355921</v>
      </c>
      <c r="E3">
        <f t="shared" si="2"/>
        <v>0.79524870263389802</v>
      </c>
      <c r="G3" s="58"/>
      <c r="H3" t="e">
        <f t="shared" ref="H3:H9" si="3">F3/G3</f>
        <v>#DIV/0!</v>
      </c>
    </row>
    <row r="4" spans="1:11">
      <c r="A4">
        <v>3</v>
      </c>
      <c r="B4" s="132">
        <f t="shared" si="0"/>
        <v>3.2487500000000002E-2</v>
      </c>
      <c r="C4" s="133">
        <f t="shared" si="1"/>
        <v>0.64975000000000005</v>
      </c>
      <c r="D4">
        <f>C4/'Results Focus GC'!$D$145*1000</f>
        <v>6.3619896210711842</v>
      </c>
      <c r="E4">
        <f t="shared" si="2"/>
        <v>1.590497405267796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6.4975000000000005E-2</v>
      </c>
      <c r="C5" s="133">
        <f t="shared" si="1"/>
        <v>1.2995000000000001</v>
      </c>
      <c r="D5">
        <f>C5/'Results Focus GC'!$D$145*1000</f>
        <v>12.723979242142368</v>
      </c>
      <c r="E5">
        <f t="shared" si="2"/>
        <v>3.1809948105355921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0.12995000000000001</v>
      </c>
      <c r="C6" s="133">
        <f t="shared" si="1"/>
        <v>2.5990000000000002</v>
      </c>
      <c r="D6">
        <f>C6/'Results Focus GC'!$D$145*1000</f>
        <v>25.447958484284737</v>
      </c>
      <c r="E6">
        <f t="shared" si="2"/>
        <v>6.3619896210711842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0.25990000000000002</v>
      </c>
      <c r="C7" s="133">
        <f t="shared" si="1"/>
        <v>5.1980000000000004</v>
      </c>
      <c r="D7">
        <f>C7/'Results Focus GC'!$D$145*1000</f>
        <v>50.895916968569473</v>
      </c>
      <c r="E7">
        <f t="shared" si="2"/>
        <v>12.723979242142368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0.51980000000000004</v>
      </c>
      <c r="C8" s="133">
        <f t="shared" si="1"/>
        <v>10.396000000000001</v>
      </c>
      <c r="D8">
        <f>C8/'Results Focus GC'!$D$145*1000</f>
        <v>101.79183393713895</v>
      </c>
      <c r="E8">
        <f t="shared" si="2"/>
        <v>25.447958484284737</v>
      </c>
      <c r="G8" s="58"/>
      <c r="H8" t="e">
        <f t="shared" si="3"/>
        <v>#DIV/0!</v>
      </c>
    </row>
    <row r="9" spans="1:11">
      <c r="A9">
        <v>8</v>
      </c>
      <c r="B9" s="132">
        <v>1.0396000000000001</v>
      </c>
      <c r="C9" s="133">
        <f t="shared" si="1"/>
        <v>20.792000000000002</v>
      </c>
      <c r="D9">
        <f>C9/'Results Focus GC'!$D$145*1000</f>
        <v>203.58366787427789</v>
      </c>
      <c r="E9">
        <f t="shared" si="2"/>
        <v>50.895916968569473</v>
      </c>
      <c r="G9" s="58"/>
      <c r="H9" t="e">
        <f t="shared" si="3"/>
        <v>#DIV/0!</v>
      </c>
    </row>
    <row r="13" spans="1:11">
      <c r="A13" t="s">
        <v>290</v>
      </c>
    </row>
    <row r="14" spans="1:11">
      <c r="A14" t="s">
        <v>291</v>
      </c>
    </row>
    <row r="15" spans="1:11">
      <c r="A15" t="s">
        <v>292</v>
      </c>
    </row>
    <row r="16" spans="1:11">
      <c r="A16" t="s">
        <v>293</v>
      </c>
    </row>
    <row r="17" spans="1:1">
      <c r="A17" t="s">
        <v>294</v>
      </c>
    </row>
    <row r="20" spans="1:1">
      <c r="A20" t="s">
        <v>304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48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23.6640625" bestFit="1" customWidth="1"/>
    <col min="2" max="2" width="11" bestFit="1" customWidth="1"/>
    <col min="9" max="9" width="22.33203125" customWidth="1"/>
    <col min="10" max="10" width="8.83203125" customWidth="1"/>
  </cols>
  <sheetData>
    <row r="1" spans="1:18">
      <c r="B1" s="30" t="s">
        <v>152</v>
      </c>
      <c r="C1" s="30" t="s">
        <v>78</v>
      </c>
    </row>
    <row r="2" spans="1:18">
      <c r="A2" s="30" t="s">
        <v>147</v>
      </c>
      <c r="B2" s="31">
        <f>Metabolites!H4-Metabolites!H20</f>
        <v>15.990618779681469</v>
      </c>
      <c r="C2" s="31">
        <f>Metabolites!I4+Metabolites!I20</f>
        <v>0.61359386271076222</v>
      </c>
      <c r="I2" s="76"/>
      <c r="J2" s="76" t="s">
        <v>159</v>
      </c>
      <c r="K2" s="76"/>
      <c r="L2" s="76" t="s">
        <v>160</v>
      </c>
      <c r="M2" s="76"/>
      <c r="N2" s="76" t="s">
        <v>161</v>
      </c>
      <c r="O2" s="76" t="s">
        <v>162</v>
      </c>
      <c r="P2" s="76" t="s">
        <v>163</v>
      </c>
      <c r="Q2" s="76" t="s">
        <v>164</v>
      </c>
      <c r="R2" s="58"/>
    </row>
    <row r="3" spans="1:18">
      <c r="A3" s="30" t="s">
        <v>183</v>
      </c>
      <c r="B3" s="31">
        <f>Metabolites!P20-Metabolites!P4</f>
        <v>19.45331625102531</v>
      </c>
      <c r="C3" s="31">
        <f>Metabolites!Q4+Metabolites!Q20</f>
        <v>0.8110487022441768</v>
      </c>
      <c r="I3" s="76"/>
      <c r="J3" s="76" t="s">
        <v>165</v>
      </c>
      <c r="K3" s="76"/>
      <c r="L3" s="76"/>
      <c r="M3" s="76"/>
      <c r="N3" s="76"/>
      <c r="O3" s="76"/>
      <c r="P3" s="76"/>
      <c r="Q3" s="76"/>
      <c r="R3" s="58"/>
    </row>
    <row r="4" spans="1:18">
      <c r="A4" s="30" t="s">
        <v>182</v>
      </c>
      <c r="B4" s="31">
        <f>Metabolites!T4-Metabolites!T20</f>
        <v>34.20664291638208</v>
      </c>
      <c r="C4" s="31">
        <f>Metabolites!U4+Metabolites!U20</f>
        <v>0.46997731643806406</v>
      </c>
      <c r="I4" s="76"/>
      <c r="J4" s="76"/>
      <c r="K4" s="76"/>
      <c r="L4" s="76"/>
      <c r="M4" s="76"/>
      <c r="N4" s="76"/>
      <c r="O4" s="76"/>
      <c r="P4" s="76"/>
      <c r="Q4" s="76"/>
      <c r="R4" s="58"/>
    </row>
    <row r="5" spans="1:18">
      <c r="A5" s="30" t="s">
        <v>122</v>
      </c>
      <c r="B5" s="31">
        <f>Metabolites!L20-Metabolites!L4</f>
        <v>4.7711805197169008</v>
      </c>
      <c r="C5" s="31">
        <f>Metabolites!M20+Metabolites!M4</f>
        <v>0.11238367197183352</v>
      </c>
      <c r="I5" s="76"/>
      <c r="J5" s="76"/>
      <c r="K5" s="76"/>
      <c r="L5" s="74" t="s">
        <v>126</v>
      </c>
      <c r="M5" s="74"/>
      <c r="N5" s="74" t="s">
        <v>127</v>
      </c>
      <c r="O5" s="74"/>
      <c r="P5" s="76"/>
      <c r="Q5" s="76"/>
      <c r="R5" s="58"/>
    </row>
    <row r="6" spans="1:18">
      <c r="A6" s="30" t="s">
        <v>123</v>
      </c>
      <c r="B6" s="31">
        <f>Metabolites!L43-Metabolites!L27</f>
        <v>0</v>
      </c>
      <c r="C6" s="31">
        <f>Metabolites!M43+Metabolites!M27</f>
        <v>0</v>
      </c>
      <c r="I6" s="170" t="s">
        <v>166</v>
      </c>
      <c r="J6" s="170"/>
      <c r="K6" s="170"/>
      <c r="L6" s="79" t="s">
        <v>100</v>
      </c>
      <c r="M6" s="74"/>
      <c r="N6" s="80">
        <f>B7-B4</f>
        <v>2.1704563949459725</v>
      </c>
      <c r="O6" s="79" t="s">
        <v>48</v>
      </c>
      <c r="P6" s="76"/>
      <c r="Q6" s="76"/>
      <c r="R6" s="58"/>
    </row>
    <row r="7" spans="1:18">
      <c r="A7" s="30" t="s">
        <v>79</v>
      </c>
      <c r="B7" s="31">
        <f>'H2'!G101</f>
        <v>36.377099311328053</v>
      </c>
      <c r="I7" s="170" t="s">
        <v>167</v>
      </c>
      <c r="J7" s="170"/>
      <c r="K7" s="170"/>
      <c r="L7" s="79" t="s">
        <v>100</v>
      </c>
      <c r="M7" s="74"/>
      <c r="N7" s="80">
        <f>C23-B3</f>
        <v>-42.3224605007794</v>
      </c>
      <c r="O7" s="79" t="s">
        <v>48</v>
      </c>
      <c r="P7" s="76"/>
      <c r="Q7" s="76"/>
      <c r="R7" s="58"/>
    </row>
    <row r="8" spans="1:18">
      <c r="A8" s="30" t="s">
        <v>80</v>
      </c>
      <c r="B8" s="31">
        <f>'CO2'!G101</f>
        <v>28.015821441257486</v>
      </c>
      <c r="I8" s="76" t="s">
        <v>168</v>
      </c>
      <c r="J8" s="76"/>
      <c r="K8" s="76"/>
      <c r="L8" s="80">
        <f>N6</f>
        <v>2.1704563949459725</v>
      </c>
      <c r="M8" s="79" t="s">
        <v>48</v>
      </c>
      <c r="N8" s="74" t="s">
        <v>100</v>
      </c>
      <c r="O8" s="74"/>
    </row>
    <row r="9" spans="1:18">
      <c r="A9" s="30" t="s">
        <v>124</v>
      </c>
      <c r="B9" s="31">
        <f>Calculation!G21*1.5/1000</f>
        <v>8.9999999999999993E-3</v>
      </c>
      <c r="I9" s="76" t="s">
        <v>169</v>
      </c>
      <c r="J9" s="76"/>
      <c r="K9" s="76"/>
      <c r="L9" s="80">
        <f>4*N7</f>
        <v>-169.2898420031176</v>
      </c>
      <c r="M9" s="79" t="s">
        <v>48</v>
      </c>
      <c r="N9" s="74"/>
      <c r="O9" s="74"/>
    </row>
    <row r="10" spans="1:18" ht="16">
      <c r="A10" s="30" t="s">
        <v>125</v>
      </c>
      <c r="B10" s="31">
        <f>Calculation!H21*1.5/1000</f>
        <v>4.65E-2</v>
      </c>
      <c r="I10" s="76" t="s">
        <v>170</v>
      </c>
      <c r="J10" s="58"/>
      <c r="K10" s="58"/>
      <c r="L10" s="80">
        <f>2*N7</f>
        <v>-84.644921001558799</v>
      </c>
      <c r="M10" s="79" t="s">
        <v>48</v>
      </c>
      <c r="N10" s="79"/>
      <c r="O10" s="79"/>
    </row>
    <row r="11" spans="1:18">
      <c r="I11" s="76" t="s">
        <v>171</v>
      </c>
      <c r="J11" s="58"/>
      <c r="K11" s="58"/>
      <c r="L11" s="77">
        <f>L8-L9</f>
        <v>171.46029839806357</v>
      </c>
      <c r="M11" s="79" t="s">
        <v>48</v>
      </c>
      <c r="N11" s="77" t="e">
        <f>#REF!</f>
        <v>#REF!</v>
      </c>
      <c r="O11" s="79" t="s">
        <v>48</v>
      </c>
    </row>
    <row r="12" spans="1:18">
      <c r="A12" s="30" t="s">
        <v>81</v>
      </c>
      <c r="B12" s="81">
        <f>((4*$B$6)+(2*$B$3)+(3*$B$5)+(B8))/((6*$B$2)+($B$4))</f>
        <v>0.62417036919651647</v>
      </c>
      <c r="I12" s="76" t="s">
        <v>172</v>
      </c>
      <c r="J12" s="58"/>
      <c r="K12" s="58"/>
      <c r="L12" s="77">
        <f>L8-L10</f>
        <v>86.815377396504772</v>
      </c>
      <c r="M12" s="79" t="s">
        <v>48</v>
      </c>
      <c r="N12" s="77" t="e">
        <f>#REF!</f>
        <v>#REF!</v>
      </c>
      <c r="O12" s="79" t="s">
        <v>48</v>
      </c>
    </row>
    <row r="15" spans="1:18">
      <c r="A15" t="s">
        <v>157</v>
      </c>
      <c r="I15" t="s">
        <v>158</v>
      </c>
    </row>
    <row r="17" spans="1:18">
      <c r="A17" s="58"/>
      <c r="B17" s="58"/>
      <c r="C17" s="58" t="s">
        <v>126</v>
      </c>
      <c r="D17" s="58" t="s">
        <v>127</v>
      </c>
      <c r="I17" s="58"/>
      <c r="J17" s="58"/>
      <c r="K17" s="58" t="s">
        <v>126</v>
      </c>
      <c r="L17" s="58" t="s">
        <v>127</v>
      </c>
      <c r="O17" s="58" t="s">
        <v>126</v>
      </c>
      <c r="P17" s="58" t="s">
        <v>127</v>
      </c>
    </row>
    <row r="18" spans="1:18">
      <c r="A18" s="30" t="s">
        <v>151</v>
      </c>
      <c r="B18" s="58" t="s">
        <v>128</v>
      </c>
      <c r="C18" s="77">
        <f>B2</f>
        <v>15.990618779681469</v>
      </c>
      <c r="D18" s="59" t="s">
        <v>100</v>
      </c>
      <c r="E18" s="58"/>
      <c r="I18" s="30" t="s">
        <v>151</v>
      </c>
      <c r="J18" s="58" t="s">
        <v>128</v>
      </c>
      <c r="K18" s="77">
        <v>48.582741267021902</v>
      </c>
      <c r="L18" s="77">
        <v>48.582741267021902</v>
      </c>
    </row>
    <row r="19" spans="1:18">
      <c r="A19" s="30" t="s">
        <v>129</v>
      </c>
      <c r="B19" s="58" t="s">
        <v>130</v>
      </c>
      <c r="C19" s="77">
        <f>2*C18</f>
        <v>31.981237559362938</v>
      </c>
      <c r="D19" s="59" t="s">
        <v>100</v>
      </c>
      <c r="E19" s="58"/>
      <c r="I19" s="30" t="s">
        <v>129</v>
      </c>
      <c r="J19" s="58" t="s">
        <v>130</v>
      </c>
      <c r="K19" s="77">
        <v>97.165482534043804</v>
      </c>
      <c r="L19" s="77">
        <v>97.165482534043804</v>
      </c>
      <c r="N19" t="s">
        <v>184</v>
      </c>
      <c r="O19" s="31">
        <f>C19-C20</f>
        <v>27.210057039646038</v>
      </c>
      <c r="P19" s="31">
        <f>B3</f>
        <v>19.45331625102531</v>
      </c>
    </row>
    <row r="20" spans="1:18">
      <c r="A20" s="30" t="s">
        <v>131</v>
      </c>
      <c r="B20" s="58" t="s">
        <v>132</v>
      </c>
      <c r="C20" s="77">
        <f>B5</f>
        <v>4.7711805197169008</v>
      </c>
      <c r="D20" s="59" t="s">
        <v>100</v>
      </c>
      <c r="E20" s="58"/>
      <c r="I20" s="30" t="s">
        <v>131</v>
      </c>
      <c r="J20" s="58" t="s">
        <v>132</v>
      </c>
      <c r="K20" s="77">
        <v>5.038793279026887</v>
      </c>
      <c r="L20" s="77">
        <v>5.038793279026887</v>
      </c>
      <c r="N20" t="s">
        <v>185</v>
      </c>
      <c r="P20" s="31">
        <f>O19-P19</f>
        <v>7.7567407886207285</v>
      </c>
    </row>
    <row r="21" spans="1:18">
      <c r="A21" s="30" t="s">
        <v>133</v>
      </c>
      <c r="B21" s="58" t="s">
        <v>134</v>
      </c>
      <c r="C21" s="77">
        <f>N6</f>
        <v>2.1704563949459725</v>
      </c>
      <c r="D21" s="59" t="s">
        <v>100</v>
      </c>
      <c r="E21" s="58"/>
      <c r="I21" s="30" t="s">
        <v>133</v>
      </c>
      <c r="J21" s="58" t="s">
        <v>134</v>
      </c>
      <c r="K21" s="77">
        <v>-1.2165978709537257</v>
      </c>
      <c r="L21" s="77">
        <v>-1.2165978709537257</v>
      </c>
    </row>
    <row r="22" spans="1:18">
      <c r="A22" s="30" t="s">
        <v>135</v>
      </c>
      <c r="B22" s="58" t="s">
        <v>136</v>
      </c>
      <c r="C22" s="78">
        <f>C19-C20-C21</f>
        <v>25.039600644700066</v>
      </c>
      <c r="D22" s="66" t="s">
        <v>100</v>
      </c>
      <c r="E22" s="58"/>
      <c r="I22" s="30" t="s">
        <v>135</v>
      </c>
      <c r="J22" s="58" t="s">
        <v>136</v>
      </c>
      <c r="K22" s="78">
        <v>93.343287125970633</v>
      </c>
      <c r="L22" s="78">
        <v>24.954042808693252</v>
      </c>
    </row>
    <row r="23" spans="1:18">
      <c r="A23" s="30" t="s">
        <v>137</v>
      </c>
      <c r="B23" s="58" t="s">
        <v>138</v>
      </c>
      <c r="C23" s="77">
        <f>C24-C22+C21</f>
        <v>-22.869144249754093</v>
      </c>
      <c r="D23" s="59" t="s">
        <v>100</v>
      </c>
      <c r="E23" s="58"/>
      <c r="I23" s="30" t="s">
        <v>137</v>
      </c>
      <c r="J23" s="58" t="s">
        <v>138</v>
      </c>
      <c r="K23" s="77">
        <v>-33.066171222580749</v>
      </c>
      <c r="L23" s="77">
        <v>-33.066171222580749</v>
      </c>
    </row>
    <row r="24" spans="1:18">
      <c r="A24" s="30" t="s">
        <v>141</v>
      </c>
      <c r="B24" s="58" t="s">
        <v>142</v>
      </c>
      <c r="C24" s="77">
        <f>2*C25</f>
        <v>0</v>
      </c>
      <c r="D24" s="59" t="s">
        <v>100</v>
      </c>
      <c r="E24" s="58"/>
      <c r="I24" s="30" t="s">
        <v>141</v>
      </c>
      <c r="J24" s="58" t="s">
        <v>142</v>
      </c>
      <c r="K24" s="77">
        <v>59.060518032436164</v>
      </c>
      <c r="L24" s="77">
        <v>31.998707695957705</v>
      </c>
    </row>
    <row r="25" spans="1:18">
      <c r="A25" s="30" t="s">
        <v>140</v>
      </c>
      <c r="B25" s="58" t="s">
        <v>143</v>
      </c>
      <c r="C25" s="78">
        <f>D25</f>
        <v>0</v>
      </c>
      <c r="D25" s="67">
        <f>B6</f>
        <v>0</v>
      </c>
      <c r="E25" s="58"/>
      <c r="I25" s="30" t="s">
        <v>140</v>
      </c>
      <c r="J25" s="58" t="s">
        <v>143</v>
      </c>
      <c r="K25" s="78">
        <v>29.530259016218082</v>
      </c>
      <c r="L25" s="78">
        <v>31.998707695957705</v>
      </c>
    </row>
    <row r="26" spans="1:18">
      <c r="A26" s="30" t="s">
        <v>155</v>
      </c>
      <c r="B26" s="58"/>
      <c r="C26" s="74">
        <v>0</v>
      </c>
      <c r="D26">
        <v>0</v>
      </c>
      <c r="E26" s="58"/>
      <c r="I26" s="30" t="s">
        <v>156</v>
      </c>
      <c r="J26" s="58"/>
      <c r="K26" s="74">
        <f>0</f>
        <v>0</v>
      </c>
      <c r="L26" s="77">
        <f>B7</f>
        <v>36.377099311328053</v>
      </c>
    </row>
    <row r="27" spans="1:18">
      <c r="A27" s="58"/>
      <c r="B27" s="58"/>
      <c r="C27" s="58"/>
      <c r="D27" s="58"/>
      <c r="E27" s="58"/>
    </row>
    <row r="28" spans="1:18">
      <c r="A28" s="30" t="s">
        <v>81</v>
      </c>
      <c r="B28" s="68">
        <f>((4*$B$6)+(3*$B$5)+($B$4)+($B$8))/((6*$B$2)+(2*$C$23))</f>
        <v>1.524456912156579</v>
      </c>
      <c r="C28" s="58"/>
      <c r="D28" s="58"/>
      <c r="E28" s="58"/>
      <c r="I28" s="30" t="s">
        <v>81</v>
      </c>
      <c r="J28" s="68" t="e">
        <f>((4*$B$6)+(3*$B$5)+($B$4)+(J24))/((6*$B$2)+(2*$B$3))</f>
        <v>#VALUE!</v>
      </c>
    </row>
    <row r="31" spans="1:18">
      <c r="B31" t="s">
        <v>173</v>
      </c>
      <c r="I31" s="76"/>
      <c r="J31" s="76"/>
      <c r="K31" s="76"/>
      <c r="L31" s="76"/>
      <c r="M31" s="76"/>
      <c r="N31" s="76"/>
      <c r="O31" s="76"/>
      <c r="P31" s="76"/>
      <c r="Q31" s="76"/>
      <c r="R31" s="58"/>
    </row>
    <row r="32" spans="1:18">
      <c r="I32" s="76"/>
      <c r="J32" s="76"/>
      <c r="K32" s="76"/>
      <c r="L32" s="76"/>
      <c r="M32" s="76"/>
      <c r="N32" s="76"/>
      <c r="O32" s="76"/>
      <c r="P32" s="76"/>
      <c r="Q32" s="76"/>
      <c r="R32" s="58"/>
    </row>
    <row r="33" spans="9:18">
      <c r="I33" s="76"/>
      <c r="J33" s="76"/>
      <c r="K33" s="76"/>
      <c r="L33" s="76"/>
      <c r="M33" s="76"/>
      <c r="N33" s="76"/>
      <c r="O33" s="76"/>
      <c r="P33" s="76"/>
      <c r="Q33" s="76"/>
      <c r="R33" s="58"/>
    </row>
    <row r="34" spans="9:18">
      <c r="I34" s="76"/>
      <c r="J34" s="76"/>
      <c r="K34" s="76"/>
      <c r="L34" s="76"/>
      <c r="M34" s="76"/>
      <c r="N34" s="76"/>
      <c r="O34" s="76"/>
      <c r="P34" s="76"/>
      <c r="Q34" s="76"/>
      <c r="R34" s="58"/>
    </row>
    <row r="35" spans="9:18">
      <c r="I35" s="76"/>
      <c r="J35" s="76"/>
      <c r="K35" s="76"/>
      <c r="L35" s="76"/>
      <c r="M35" s="76"/>
      <c r="N35" s="76"/>
      <c r="O35" s="76"/>
      <c r="P35" s="76"/>
      <c r="Q35" s="76"/>
      <c r="R35" s="58"/>
    </row>
    <row r="36" spans="9:18">
      <c r="I36" s="76"/>
      <c r="J36" s="76"/>
      <c r="K36" s="76"/>
      <c r="L36" s="76"/>
      <c r="M36" s="76"/>
      <c r="N36" s="76"/>
      <c r="O36" s="76"/>
      <c r="P36" s="76"/>
      <c r="Q36" s="76"/>
      <c r="R36" s="58"/>
    </row>
    <row r="37" spans="9:18">
      <c r="I37" s="76"/>
      <c r="J37" s="76"/>
      <c r="K37" s="76"/>
      <c r="L37" s="76"/>
      <c r="M37" s="76"/>
      <c r="N37" s="76"/>
      <c r="O37" s="76"/>
      <c r="P37" s="76"/>
      <c r="Q37" s="76"/>
      <c r="R37" s="58"/>
    </row>
    <row r="38" spans="9:18">
      <c r="I38" s="76"/>
      <c r="J38" s="76"/>
      <c r="K38" s="76"/>
      <c r="L38" s="76"/>
      <c r="M38" s="76"/>
      <c r="N38" s="76"/>
      <c r="O38" s="76"/>
      <c r="P38" s="76"/>
      <c r="Q38" s="76"/>
      <c r="R38" s="58"/>
    </row>
    <row r="39" spans="9:18">
      <c r="P39" s="58"/>
      <c r="Q39" s="58"/>
      <c r="R39" s="58"/>
    </row>
    <row r="40" spans="9:18">
      <c r="P40" s="58"/>
      <c r="Q40" s="58"/>
      <c r="R40" s="58"/>
    </row>
    <row r="41" spans="9:18">
      <c r="P41" s="58"/>
      <c r="Q41" s="58"/>
      <c r="R41" s="58"/>
    </row>
    <row r="42" spans="9:18">
      <c r="P42" s="58"/>
      <c r="Q42" s="58"/>
      <c r="R42" s="58"/>
    </row>
    <row r="43" spans="9:18">
      <c r="P43" s="58"/>
      <c r="Q43" s="58"/>
      <c r="R43" s="58"/>
    </row>
    <row r="44" spans="9:18">
      <c r="P44" s="58"/>
      <c r="Q44" s="58"/>
      <c r="R44" s="58"/>
    </row>
    <row r="45" spans="9:18">
      <c r="P45" s="58"/>
      <c r="Q45" s="58"/>
      <c r="R45" s="58"/>
    </row>
    <row r="46" spans="9:18">
      <c r="P46" s="58"/>
      <c r="Q46" s="58"/>
      <c r="R46" s="58"/>
    </row>
    <row r="47" spans="9:18">
      <c r="P47" s="58"/>
      <c r="Q47" s="58"/>
      <c r="R47" s="58"/>
    </row>
    <row r="48" spans="9:18">
      <c r="P48" s="58"/>
      <c r="Q48" s="58"/>
      <c r="R48" s="58"/>
    </row>
  </sheetData>
  <mergeCells count="2">
    <mergeCell ref="I6:K6"/>
    <mergeCell ref="I7:K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D20" sqref="D20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9" t="s">
        <v>4</v>
      </c>
      <c r="B1" s="139" t="s">
        <v>116</v>
      </c>
      <c r="C1" s="139" t="s">
        <v>116</v>
      </c>
      <c r="D1" s="139" t="s">
        <v>5</v>
      </c>
      <c r="E1" s="144" t="s">
        <v>18</v>
      </c>
      <c r="F1" s="144"/>
      <c r="G1" s="144"/>
      <c r="H1" s="144"/>
      <c r="I1" s="144" t="s">
        <v>20</v>
      </c>
      <c r="J1" s="144"/>
      <c r="K1" s="144"/>
      <c r="L1" s="144"/>
      <c r="M1" s="144" t="s">
        <v>21</v>
      </c>
      <c r="N1" s="144"/>
      <c r="O1" s="144"/>
      <c r="P1" s="144"/>
      <c r="Q1" s="38" t="s">
        <v>22</v>
      </c>
      <c r="R1" s="38" t="s">
        <v>22</v>
      </c>
      <c r="S1" s="38" t="s">
        <v>22</v>
      </c>
    </row>
    <row r="2" spans="1:19">
      <c r="A2" s="140"/>
      <c r="B2" s="140"/>
      <c r="C2" s="140"/>
      <c r="D2" s="140"/>
      <c r="E2" s="41" t="s">
        <v>19</v>
      </c>
      <c r="F2" s="41" t="s">
        <v>68</v>
      </c>
      <c r="G2" s="41" t="s">
        <v>117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40" t="s">
        <v>6</v>
      </c>
      <c r="B3" s="32">
        <v>-10</v>
      </c>
      <c r="C3" s="32">
        <f>B3</f>
        <v>-10</v>
      </c>
      <c r="D3" s="13">
        <f>C3/60</f>
        <v>-0.16666666666666666</v>
      </c>
      <c r="Q3" s="141"/>
      <c r="R3" s="142"/>
      <c r="S3" s="143"/>
    </row>
    <row r="4" spans="1:19">
      <c r="A4" s="40">
        <v>0</v>
      </c>
      <c r="B4" s="32">
        <v>10</v>
      </c>
      <c r="C4" s="32">
        <f>B4</f>
        <v>10</v>
      </c>
      <c r="D4" s="13">
        <f t="shared" ref="D4:D21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40">
        <v>4</v>
      </c>
      <c r="B8" s="32">
        <v>80</v>
      </c>
      <c r="C8" s="32">
        <f t="shared" ref="C8:C21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40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40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40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40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40">
        <v>9</v>
      </c>
      <c r="B13" s="32">
        <v>80</v>
      </c>
      <c r="C13" s="32">
        <f t="shared" si="2"/>
        <v>760</v>
      </c>
      <c r="D13" s="13">
        <f>C13/60</f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40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40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40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40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40">
        <v>14</v>
      </c>
      <c r="B18" s="32">
        <v>80</v>
      </c>
      <c r="C18" s="32">
        <f t="shared" si="2"/>
        <v>1160</v>
      </c>
      <c r="D18" s="13">
        <f t="shared" si="0"/>
        <v>19.333333333333332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40">
        <v>15</v>
      </c>
      <c r="B19" s="32">
        <v>290</v>
      </c>
      <c r="C19" s="32">
        <f t="shared" si="2"/>
        <v>1450</v>
      </c>
      <c r="D19" s="13">
        <f t="shared" si="0"/>
        <v>24.166666666666668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40">
        <v>16</v>
      </c>
      <c r="B20" s="32">
        <v>360</v>
      </c>
      <c r="C20" s="32">
        <f t="shared" si="2"/>
        <v>1810</v>
      </c>
      <c r="D20" s="13">
        <f>C20/60</f>
        <v>30.166666666666668</v>
      </c>
      <c r="Q20" s="45" t="e">
        <f>AVERAGE('Flow cytometer'!P20,'Flow cytometer'!L20,'Flow cytometer'!H20)*Calculation!K21/Calculation!M19</f>
        <v>#DIV/0!</v>
      </c>
      <c r="R20" s="45" t="e">
        <f>STDEV('Flow cytometer'!P20,'Flow cytometer'!L20,'Flow cytometer'!H20)*Calculation!K21/Calculation!M19</f>
        <v>#DIV/0!</v>
      </c>
      <c r="S20" s="46" t="e">
        <f t="shared" ref="S20:S21" si="3">LOG(Q20)</f>
        <v>#DIV/0!</v>
      </c>
    </row>
    <row r="21" spans="1:19">
      <c r="A21" s="40">
        <v>17</v>
      </c>
      <c r="B21" s="32">
        <v>1080</v>
      </c>
      <c r="C21" s="32">
        <f t="shared" si="2"/>
        <v>2890</v>
      </c>
      <c r="D21" s="13">
        <f t="shared" si="0"/>
        <v>48.166666666666664</v>
      </c>
      <c r="Q21" s="45" t="e">
        <f>AVERAGE('Flow cytometer'!P21,'Flow cytometer'!L21,'Flow cytometer'!H21)*Calculation!K21/Calculation!M20</f>
        <v>#DIV/0!</v>
      </c>
      <c r="R21" s="45" t="e">
        <f>STDEV('Flow cytometer'!P21,'Flow cytometer'!L21,'Flow cytometer'!H21)*Calculation!K21/Calculation!M20</f>
        <v>#DIV/0!</v>
      </c>
      <c r="S21" s="46" t="e">
        <f t="shared" si="3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1"/>
  <sheetViews>
    <sheetView topLeftCell="D1" workbookViewId="0">
      <selection activeCell="N22" sqref="N22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9" t="s">
        <v>4</v>
      </c>
      <c r="B1" s="139" t="s">
        <v>116</v>
      </c>
      <c r="C1" s="139" t="s">
        <v>116</v>
      </c>
      <c r="D1" s="139" t="s">
        <v>5</v>
      </c>
      <c r="E1" s="138" t="s">
        <v>118</v>
      </c>
      <c r="F1" s="138"/>
      <c r="G1" s="138"/>
      <c r="H1" s="138"/>
      <c r="I1" s="138" t="s">
        <v>119</v>
      </c>
      <c r="J1" s="138"/>
      <c r="K1" s="138"/>
      <c r="L1" s="138"/>
      <c r="M1" s="138" t="s">
        <v>120</v>
      </c>
      <c r="N1" s="138"/>
      <c r="O1" s="138"/>
      <c r="P1" s="138"/>
      <c r="Q1" s="24" t="s">
        <v>121</v>
      </c>
      <c r="R1" s="24" t="s">
        <v>121</v>
      </c>
      <c r="S1" s="24" t="s">
        <v>121</v>
      </c>
      <c r="T1" s="56" t="s">
        <v>121</v>
      </c>
      <c r="U1" s="72" t="s">
        <v>118</v>
      </c>
      <c r="V1" s="72" t="s">
        <v>119</v>
      </c>
      <c r="W1" s="72" t="s">
        <v>120</v>
      </c>
      <c r="X1" s="72" t="s">
        <v>121</v>
      </c>
    </row>
    <row r="2" spans="1:24">
      <c r="A2" s="140"/>
      <c r="B2" s="140"/>
      <c r="C2" s="140"/>
      <c r="D2" s="140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7" t="s">
        <v>139</v>
      </c>
      <c r="U2" s="73" t="s">
        <v>153</v>
      </c>
      <c r="V2" s="73" t="s">
        <v>153</v>
      </c>
      <c r="W2" s="73" t="s">
        <v>153</v>
      </c>
      <c r="X2" s="73" t="s">
        <v>154</v>
      </c>
    </row>
    <row r="3" spans="1:24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43" t="s">
        <v>100</v>
      </c>
      <c r="F3" s="43" t="s">
        <v>100</v>
      </c>
      <c r="G3" s="43" t="s">
        <v>100</v>
      </c>
      <c r="H3" s="44" t="s">
        <v>100</v>
      </c>
      <c r="I3" s="43" t="s">
        <v>100</v>
      </c>
      <c r="J3" s="43" t="s">
        <v>100</v>
      </c>
      <c r="K3" s="43" t="s">
        <v>100</v>
      </c>
      <c r="L3" s="44" t="s">
        <v>100</v>
      </c>
      <c r="M3" s="43" t="s">
        <v>100</v>
      </c>
      <c r="N3" s="43" t="s">
        <v>100</v>
      </c>
      <c r="O3" s="43" t="s">
        <v>100</v>
      </c>
      <c r="P3" s="44" t="s">
        <v>100</v>
      </c>
      <c r="Q3" s="145" t="s">
        <v>100</v>
      </c>
      <c r="R3" s="146"/>
      <c r="S3" s="147"/>
      <c r="T3" s="71"/>
      <c r="U3" s="44" t="s">
        <v>100</v>
      </c>
      <c r="V3" s="44" t="s">
        <v>100</v>
      </c>
      <c r="W3" s="44" t="s">
        <v>100</v>
      </c>
      <c r="X3" s="44" t="s">
        <v>100</v>
      </c>
    </row>
    <row r="4" spans="1:24">
      <c r="A4" s="62">
        <v>0</v>
      </c>
      <c r="B4" s="63">
        <v>10</v>
      </c>
      <c r="C4" s="63">
        <v>10</v>
      </c>
      <c r="D4" s="13">
        <f t="shared" ref="D4:D21" si="0">C4/60</f>
        <v>0.16666666666666666</v>
      </c>
      <c r="E4" s="32">
        <v>1</v>
      </c>
      <c r="F4" s="32">
        <v>11155</v>
      </c>
      <c r="G4" s="32">
        <v>7</v>
      </c>
      <c r="H4" s="44">
        <f>('Flow cytometer'!F4/'Flow cytometer'!G4)*POWER(10,'Flow cytometer'!E4+2)*10.2</f>
        <v>16254428.571428571</v>
      </c>
      <c r="I4" s="32">
        <v>1</v>
      </c>
      <c r="J4" s="32">
        <v>12080</v>
      </c>
      <c r="K4" s="32">
        <v>7</v>
      </c>
      <c r="L4" s="44">
        <f>('Flow cytometer'!J4/'Flow cytometer'!K4)*POWER(10,'Flow cytometer'!I4+2)*10.2</f>
        <v>17602285.714285713</v>
      </c>
      <c r="M4" s="32">
        <v>1</v>
      </c>
      <c r="N4" s="32">
        <v>12223</v>
      </c>
      <c r="O4" s="32">
        <v>7</v>
      </c>
      <c r="P4" s="44">
        <f>('Flow cytometer'!N4/'Flow cytometer'!O4)*POWER(10,'Flow cytometer'!M4+2)*10.2</f>
        <v>17810657.142857142</v>
      </c>
      <c r="Q4" s="47">
        <f>AVERAGE(H4,L4,P4)*Calculation!I4/Calculation!K3</f>
        <v>17222457.142857142</v>
      </c>
      <c r="R4" s="48">
        <f>STDEV(H4,L4,P4)*Calculation!I4/Calculation!K3</f>
        <v>844786.45194377645</v>
      </c>
      <c r="S4" s="49">
        <f>LOG(Q4)</f>
        <v>7.2360951127074591</v>
      </c>
      <c r="T4" s="70">
        <f>LN(Q4)</f>
        <v>16.661724738007266</v>
      </c>
      <c r="U4" s="49">
        <f>LOG(H4)</f>
        <v>7.2109717063675172</v>
      </c>
      <c r="V4" s="49">
        <f>LOG(L4)</f>
        <v>7.2455690660327736</v>
      </c>
      <c r="W4" s="49">
        <f>LOG(P4)</f>
        <v>7.2506799435088176</v>
      </c>
      <c r="X4" s="49">
        <f xml:space="preserve"> STDEV(U4:W4)*Calculation!I4/Calculation!K3</f>
        <v>2.1601861267230352E-2</v>
      </c>
    </row>
    <row r="5" spans="1:24">
      <c r="A5" s="62">
        <v>1</v>
      </c>
      <c r="B5" s="63">
        <v>110</v>
      </c>
      <c r="C5" s="63">
        <v>120</v>
      </c>
      <c r="D5" s="13">
        <f t="shared" si="0"/>
        <v>2</v>
      </c>
      <c r="E5" s="32">
        <v>1</v>
      </c>
      <c r="F5" s="32">
        <v>15884</v>
      </c>
      <c r="G5" s="32">
        <v>7</v>
      </c>
      <c r="H5" s="44">
        <f>('Flow cytometer'!F5/'Flow cytometer'!G5)*POWER(10,'Flow cytometer'!E5+2)*10.2</f>
        <v>23145257.142857142</v>
      </c>
      <c r="I5" s="32">
        <v>1</v>
      </c>
      <c r="J5" s="32">
        <v>17289</v>
      </c>
      <c r="K5" s="32">
        <v>7</v>
      </c>
      <c r="L5" s="44">
        <f>('Flow cytometer'!J5/'Flow cytometer'!K5)*POWER(10,'Flow cytometer'!I5+2)*10.2</f>
        <v>25192542.857142854</v>
      </c>
      <c r="M5" s="32">
        <v>1</v>
      </c>
      <c r="N5" s="32">
        <v>17192</v>
      </c>
      <c r="O5" s="32">
        <v>7</v>
      </c>
      <c r="P5" s="44">
        <f>('Flow cytometer'!N5/'Flow cytometer'!O5)*POWER(10,'Flow cytometer'!M5+2)*10.2</f>
        <v>25051200</v>
      </c>
      <c r="Q5" s="47">
        <f>AVERAGE(H5,L5,P5)*Calculation!I5/Calculation!K4</f>
        <v>24463000</v>
      </c>
      <c r="R5" s="48">
        <f>STDEV(H5,L5,P5)*Calculation!I5/Calculation!K4</f>
        <v>1143384.9434812369</v>
      </c>
      <c r="S5" s="49">
        <f t="shared" ref="S5:S19" si="1">LOG(Q5)</f>
        <v>7.3885097153148793</v>
      </c>
      <c r="T5" s="49">
        <f t="shared" ref="T5:T19" si="2">LN(Q5)</f>
        <v>17.012672329925721</v>
      </c>
      <c r="U5" s="49">
        <f t="shared" ref="U5:U20" si="3">LOG(H5)</f>
        <v>7.3644620101395057</v>
      </c>
      <c r="V5" s="49">
        <f t="shared" ref="V5:V20" si="4">LOG(L5)</f>
        <v>7.4012720060486794</v>
      </c>
      <c r="W5" s="49">
        <f t="shared" ref="W5:W20" si="5">LOG(P5)</f>
        <v>7.3988285342310478</v>
      </c>
      <c r="X5" s="49">
        <f xml:space="preserve"> STDEV(U5:W5)*Calculation!I5/Calculation!K4</f>
        <v>2.0583182178222924E-2</v>
      </c>
    </row>
    <row r="6" spans="1:24">
      <c r="A6" s="62">
        <v>2</v>
      </c>
      <c r="B6" s="63">
        <v>80</v>
      </c>
      <c r="C6" s="63">
        <v>200</v>
      </c>
      <c r="D6" s="13">
        <f t="shared" si="0"/>
        <v>3.3333333333333335</v>
      </c>
      <c r="E6" s="32">
        <v>1</v>
      </c>
      <c r="F6" s="32">
        <v>24614</v>
      </c>
      <c r="G6" s="32">
        <v>7</v>
      </c>
      <c r="H6" s="44">
        <f>('Flow cytometer'!F6/'Flow cytometer'!G6)*POWER(10,'Flow cytometer'!E6+2)*10.2</f>
        <v>35866114.285714284</v>
      </c>
      <c r="I6" s="32">
        <v>1</v>
      </c>
      <c r="J6" s="32">
        <v>25584</v>
      </c>
      <c r="K6" s="32">
        <v>7</v>
      </c>
      <c r="L6" s="44">
        <f>('Flow cytometer'!J6/'Flow cytometer'!K6)*POWER(10,'Flow cytometer'!I6+2)*10.2</f>
        <v>37279542.857142851</v>
      </c>
      <c r="M6" s="32">
        <v>1</v>
      </c>
      <c r="N6" s="32">
        <v>25926</v>
      </c>
      <c r="O6" s="32">
        <v>7</v>
      </c>
      <c r="P6" s="44">
        <f>('Flow cytometer'!N6/'Flow cytometer'!O6)*POWER(10,'Flow cytometer'!M6+2)*10.2</f>
        <v>37777885.714285716</v>
      </c>
      <c r="Q6" s="47">
        <f>AVERAGE(H6,L6,P6)*Calculation!I6/Calculation!K5</f>
        <v>36974514.285714284</v>
      </c>
      <c r="R6" s="48">
        <f>STDEV(H6,L6,P6)*Calculation!I6/Calculation!K5</f>
        <v>991715.34263433097</v>
      </c>
      <c r="S6" s="49">
        <f t="shared" si="1"/>
        <v>7.5679024776136332</v>
      </c>
      <c r="T6" s="49">
        <f t="shared" si="2"/>
        <v>17.425739430185857</v>
      </c>
      <c r="U6" s="49">
        <f t="shared" si="3"/>
        <v>7.5546843280090297</v>
      </c>
      <c r="V6" s="49">
        <f t="shared" si="4"/>
        <v>7.5714705781498202</v>
      </c>
      <c r="W6" s="49">
        <f t="shared" si="5"/>
        <v>7.5772376484425346</v>
      </c>
      <c r="X6" s="49">
        <f xml:space="preserve"> STDEV(U6:W6)*Calculation!I6/Calculation!K5</f>
        <v>1.1716722779334436E-2</v>
      </c>
    </row>
    <row r="7" spans="1:24">
      <c r="A7" s="62">
        <v>3</v>
      </c>
      <c r="B7" s="63">
        <v>80</v>
      </c>
      <c r="C7" s="63">
        <v>280</v>
      </c>
      <c r="D7" s="13">
        <f t="shared" si="0"/>
        <v>4.666666666666667</v>
      </c>
      <c r="E7" s="32">
        <v>2</v>
      </c>
      <c r="F7" s="32">
        <v>5315</v>
      </c>
      <c r="G7" s="32">
        <v>7</v>
      </c>
      <c r="H7" s="44">
        <f>('Flow cytometer'!F7/'Flow cytometer'!G7)*POWER(10,'Flow cytometer'!E7+2)*10.2</f>
        <v>77447142.857142866</v>
      </c>
      <c r="I7" s="32">
        <v>2</v>
      </c>
      <c r="J7" s="32">
        <v>5098</v>
      </c>
      <c r="K7" s="32">
        <v>7</v>
      </c>
      <c r="L7" s="44">
        <f>('Flow cytometer'!J7/'Flow cytometer'!K7)*POWER(10,'Flow cytometer'!I7+2)*10.2</f>
        <v>74285142.857142866</v>
      </c>
      <c r="M7" s="32">
        <v>2</v>
      </c>
      <c r="N7" s="32">
        <v>5070</v>
      </c>
      <c r="O7" s="32">
        <v>7</v>
      </c>
      <c r="P7" s="44">
        <f>('Flow cytometer'!N7/'Flow cytometer'!O7)*POWER(10,'Flow cytometer'!M7+2)*10.2</f>
        <v>73877142.857142866</v>
      </c>
      <c r="Q7" s="47">
        <f>AVERAGE(H7,L7,P7)*Calculation!I7/Calculation!K6</f>
        <v>75203142.857142866</v>
      </c>
      <c r="R7" s="48">
        <f>STDEV(H7,L7,P7)*Calculation!I7/Calculation!K6</f>
        <v>1954038.8941881377</v>
      </c>
      <c r="S7" s="49">
        <f t="shared" si="1"/>
        <v>7.8762359908176123</v>
      </c>
      <c r="T7" s="49">
        <f t="shared" si="2"/>
        <v>18.135703581359824</v>
      </c>
      <c r="U7" s="49">
        <f t="shared" si="3"/>
        <v>7.8890054006069761</v>
      </c>
      <c r="V7" s="49">
        <f t="shared" si="4"/>
        <v>7.8709019628809092</v>
      </c>
      <c r="W7" s="49">
        <f t="shared" si="5"/>
        <v>7.8685100910809966</v>
      </c>
      <c r="X7" s="49">
        <f xml:space="preserve"> STDEV(U7:W7)*Calculation!I7/Calculation!K6</f>
        <v>1.120649529495063E-2</v>
      </c>
    </row>
    <row r="8" spans="1:24">
      <c r="A8" s="62">
        <v>4</v>
      </c>
      <c r="B8" s="63">
        <v>80</v>
      </c>
      <c r="C8" s="63">
        <v>360</v>
      </c>
      <c r="D8" s="13">
        <f t="shared" si="0"/>
        <v>6</v>
      </c>
      <c r="E8" s="32">
        <v>2</v>
      </c>
      <c r="F8" s="32">
        <v>8370</v>
      </c>
      <c r="G8" s="32">
        <v>7</v>
      </c>
      <c r="H8" s="44">
        <f>('Flow cytometer'!F8/'Flow cytometer'!G8)*POWER(10,'Flow cytometer'!E8+2)*10.2</f>
        <v>121962857.14285715</v>
      </c>
      <c r="I8" s="32">
        <v>2</v>
      </c>
      <c r="J8" s="32">
        <v>8496</v>
      </c>
      <c r="K8" s="32">
        <v>7</v>
      </c>
      <c r="L8" s="44">
        <f>('Flow cytometer'!J8/'Flow cytometer'!K8)*POWER(10,'Flow cytometer'!I8+2)*10.2</f>
        <v>123798857.14285715</v>
      </c>
      <c r="M8" s="32">
        <v>2</v>
      </c>
      <c r="N8" s="32">
        <v>7689</v>
      </c>
      <c r="O8" s="32">
        <v>7</v>
      </c>
      <c r="P8" s="44">
        <f>('Flow cytometer'!N8/'Flow cytometer'!O8)*POWER(10,'Flow cytometer'!M8+2)*10.2</f>
        <v>112039714.28571427</v>
      </c>
      <c r="Q8" s="47">
        <f>AVERAGE(H8,L8,P8)*Calculation!I8/Calculation!K7</f>
        <v>119267142.85714285</v>
      </c>
      <c r="R8" s="48">
        <f>STDEV(H8,L8,P8)*Calculation!I8/Calculation!K7</f>
        <v>6326098.0719813937</v>
      </c>
      <c r="S8" s="49">
        <f t="shared" si="1"/>
        <v>8.0765208154956216</v>
      </c>
      <c r="T8" s="49">
        <f t="shared" si="2"/>
        <v>18.59687643301633</v>
      </c>
      <c r="U8" s="49">
        <f t="shared" si="3"/>
        <v>8.0862275897409202</v>
      </c>
      <c r="V8" s="49">
        <f t="shared" si="4"/>
        <v>8.0927166354850542</v>
      </c>
      <c r="W8" s="49">
        <f t="shared" si="5"/>
        <v>8.049371992651567</v>
      </c>
      <c r="X8" s="49">
        <f xml:space="preserve"> STDEV(U8:W8)*Calculation!I8/Calculation!K7</f>
        <v>2.3378055286403278E-2</v>
      </c>
    </row>
    <row r="9" spans="1:24">
      <c r="A9" s="62">
        <v>5</v>
      </c>
      <c r="B9" s="63">
        <v>80</v>
      </c>
      <c r="C9" s="63">
        <v>440</v>
      </c>
      <c r="D9" s="13">
        <f t="shared" si="0"/>
        <v>7.333333333333333</v>
      </c>
      <c r="E9" s="32">
        <v>2</v>
      </c>
      <c r="F9" s="32">
        <v>14880</v>
      </c>
      <c r="G9" s="32">
        <v>7</v>
      </c>
      <c r="H9" s="44">
        <f>('Flow cytometer'!F9/'Flow cytometer'!G9)*POWER(10,'Flow cytometer'!E9+2)*10.2</f>
        <v>216822857.14285713</v>
      </c>
      <c r="I9" s="32">
        <v>2</v>
      </c>
      <c r="J9" s="32">
        <v>14579</v>
      </c>
      <c r="K9" s="32">
        <v>7</v>
      </c>
      <c r="L9" s="44">
        <f>('Flow cytometer'!J9/'Flow cytometer'!K9)*POWER(10,'Flow cytometer'!I9+2)*10.2</f>
        <v>212436857.14285713</v>
      </c>
      <c r="M9" s="32">
        <v>2</v>
      </c>
      <c r="N9" s="32">
        <v>13934</v>
      </c>
      <c r="O9" s="32">
        <v>7</v>
      </c>
      <c r="P9" s="44">
        <f>('Flow cytometer'!N9/'Flow cytometer'!O9)*POWER(10,'Flow cytometer'!M9+2)*10.2</f>
        <v>203038285.71428573</v>
      </c>
      <c r="Q9" s="47">
        <f>AVERAGE(H9,L9,P9)*Calculation!I9/Calculation!K8</f>
        <v>210766000</v>
      </c>
      <c r="R9" s="48">
        <f>STDEV(H9,L9,P9)*Calculation!I9/Calculation!K8</f>
        <v>7042543.9339221949</v>
      </c>
      <c r="S9" s="49">
        <f t="shared" si="1"/>
        <v>8.3238005533938288</v>
      </c>
      <c r="T9" s="49">
        <f t="shared" si="2"/>
        <v>19.166259071300217</v>
      </c>
      <c r="U9" s="49">
        <f t="shared" si="3"/>
        <v>8.33610506295752</v>
      </c>
      <c r="V9" s="49">
        <f t="shared" si="4"/>
        <v>8.3272298677065653</v>
      </c>
      <c r="W9" s="49">
        <f t="shared" si="5"/>
        <v>8.3075779379462116</v>
      </c>
      <c r="X9" s="49">
        <f xml:space="preserve"> STDEV(U9:W9)*Calculation!I9/Calculation!K8</f>
        <v>1.4598882922215088E-2</v>
      </c>
    </row>
    <row r="10" spans="1:24">
      <c r="A10" s="62">
        <v>6</v>
      </c>
      <c r="B10" s="63">
        <v>80</v>
      </c>
      <c r="C10" s="63">
        <v>520</v>
      </c>
      <c r="D10" s="13">
        <f t="shared" si="0"/>
        <v>8.6666666666666661</v>
      </c>
      <c r="E10" s="32">
        <v>2</v>
      </c>
      <c r="F10" s="32">
        <v>27331</v>
      </c>
      <c r="G10" s="32">
        <v>7</v>
      </c>
      <c r="H10" s="44">
        <f>('Flow cytometer'!F10/'Flow cytometer'!G10)*POWER(10,'Flow cytometer'!E10+2)*10.2</f>
        <v>398251714.28571427</v>
      </c>
      <c r="I10" s="32">
        <v>2</v>
      </c>
      <c r="J10" s="32">
        <v>27217</v>
      </c>
      <c r="K10" s="32">
        <v>7</v>
      </c>
      <c r="L10" s="44">
        <f>('Flow cytometer'!J10/'Flow cytometer'!K10)*POWER(10,'Flow cytometer'!I10+2)*10.2</f>
        <v>396590571.42857146</v>
      </c>
      <c r="M10" s="32">
        <v>2</v>
      </c>
      <c r="N10" s="32">
        <v>27144</v>
      </c>
      <c r="O10" s="32">
        <v>7</v>
      </c>
      <c r="P10" s="44">
        <f>('Flow cytometer'!N10/'Flow cytometer'!O10)*POWER(10,'Flow cytometer'!M10+2)*10.2</f>
        <v>395526857.14285713</v>
      </c>
      <c r="Q10" s="47">
        <f>AVERAGE(H10,L10,P10)*Calculation!I10/Calculation!K9</f>
        <v>396789714.28571433</v>
      </c>
      <c r="R10" s="48">
        <f>STDEV(H10,L10,P10)*Calculation!I10/Calculation!K9</f>
        <v>1373300.7756526398</v>
      </c>
      <c r="S10" s="49">
        <f t="shared" si="1"/>
        <v>8.59856040570277</v>
      </c>
      <c r="T10" s="49">
        <f t="shared" si="2"/>
        <v>19.798917011380034</v>
      </c>
      <c r="U10" s="49">
        <f t="shared" si="3"/>
        <v>8.6001576539100153</v>
      </c>
      <c r="V10" s="49">
        <f t="shared" si="4"/>
        <v>8.5983423850452336</v>
      </c>
      <c r="W10" s="49">
        <f t="shared" si="5"/>
        <v>8.5971759783847226</v>
      </c>
      <c r="X10" s="49">
        <f xml:space="preserve"> STDEV(U10:W10)*Calculation!I10/Calculation!K9</f>
        <v>1.5025586226644566E-3</v>
      </c>
    </row>
    <row r="11" spans="1:24">
      <c r="A11" s="62">
        <v>7</v>
      </c>
      <c r="B11" s="63">
        <v>80</v>
      </c>
      <c r="C11" s="63">
        <v>600</v>
      </c>
      <c r="D11" s="13">
        <f t="shared" si="0"/>
        <v>10</v>
      </c>
      <c r="E11" s="32">
        <v>3</v>
      </c>
      <c r="F11" s="32">
        <v>5428</v>
      </c>
      <c r="G11" s="32">
        <v>7</v>
      </c>
      <c r="H11" s="44">
        <f>('Flow cytometer'!F11/'Flow cytometer'!G11)*POWER(10,'Flow cytometer'!E11+2)*10.2</f>
        <v>790937142.85714293</v>
      </c>
      <c r="I11" s="32">
        <v>3</v>
      </c>
      <c r="J11" s="32">
        <v>5206</v>
      </c>
      <c r="K11" s="32">
        <v>7</v>
      </c>
      <c r="L11" s="44">
        <f>('Flow cytometer'!J11/'Flow cytometer'!K11)*POWER(10,'Flow cytometer'!I11+2)*10.2</f>
        <v>758588571.42857134</v>
      </c>
      <c r="M11" s="32">
        <v>3</v>
      </c>
      <c r="N11" s="32">
        <v>5323</v>
      </c>
      <c r="O11" s="32">
        <v>7</v>
      </c>
      <c r="P11" s="44">
        <f>('Flow cytometer'!N11/'Flow cytometer'!O11)*POWER(10,'Flow cytometer'!M11+2)*10.2</f>
        <v>775637142.85714293</v>
      </c>
      <c r="Q11" s="47">
        <f>AVERAGE(H11,L11,P11)*Calculation!I11/Calculation!K10</f>
        <v>776363499.03474903</v>
      </c>
      <c r="R11" s="48">
        <f>STDEV(H11,L11,P11)*Calculation!I11/Calculation!K10</f>
        <v>16209494.97542912</v>
      </c>
      <c r="S11" s="49">
        <f t="shared" si="1"/>
        <v>8.8900651087095834</v>
      </c>
      <c r="T11" s="49">
        <f t="shared" si="2"/>
        <v>20.470131395061177</v>
      </c>
      <c r="U11" s="49">
        <f t="shared" si="3"/>
        <v>8.8981419707353595</v>
      </c>
      <c r="V11" s="49">
        <f t="shared" si="4"/>
        <v>8.8800062955208769</v>
      </c>
      <c r="W11" s="49">
        <f t="shared" si="5"/>
        <v>8.8896585979204161</v>
      </c>
      <c r="X11" s="49">
        <f xml:space="preserve"> STDEV(U11:W11)*Calculation!I11/Calculation!K10</f>
        <v>9.0894419146316328E-3</v>
      </c>
    </row>
    <row r="12" spans="1:24">
      <c r="A12" s="62">
        <v>8</v>
      </c>
      <c r="B12" s="63">
        <v>80</v>
      </c>
      <c r="C12" s="63">
        <v>680</v>
      </c>
      <c r="D12" s="13">
        <f t="shared" si="0"/>
        <v>11.333333333333334</v>
      </c>
      <c r="E12" s="32">
        <v>3</v>
      </c>
      <c r="F12" s="32">
        <v>8497</v>
      </c>
      <c r="G12" s="32">
        <v>7</v>
      </c>
      <c r="H12" s="44">
        <f>('Flow cytometer'!F12/'Flow cytometer'!G12)*POWER(10,'Flow cytometer'!E12+2)*10.2</f>
        <v>1238134285.7142856</v>
      </c>
      <c r="I12" s="32">
        <v>3</v>
      </c>
      <c r="J12" s="32">
        <v>8215</v>
      </c>
      <c r="K12" s="32">
        <v>7</v>
      </c>
      <c r="L12" s="44">
        <f>('Flow cytometer'!J12/'Flow cytometer'!K12)*POWER(10,'Flow cytometer'!I12+2)*10.2</f>
        <v>1197042857.1428571</v>
      </c>
      <c r="M12" s="32">
        <v>3</v>
      </c>
      <c r="N12" s="32">
        <v>8305</v>
      </c>
      <c r="O12" s="32">
        <v>7</v>
      </c>
      <c r="P12" s="44">
        <f>('Flow cytometer'!N12/'Flow cytometer'!O12)*POWER(10,'Flow cytometer'!M12+2)*10.2</f>
        <v>1210157142.8571427</v>
      </c>
      <c r="Q12" s="47">
        <f>AVERAGE(H12,L12,P12)*Calculation!I12/Calculation!K11</f>
        <v>1218239214.8595777</v>
      </c>
      <c r="R12" s="48">
        <f>STDEV(H12,L12,P12)*Calculation!I12/Calculation!K11</f>
        <v>21042954.738630999</v>
      </c>
      <c r="S12" s="49">
        <f t="shared" si="1"/>
        <v>9.085732575236829</v>
      </c>
      <c r="T12" s="49">
        <f t="shared" si="2"/>
        <v>20.920672386670724</v>
      </c>
      <c r="U12" s="49">
        <f t="shared" si="3"/>
        <v>9.0927677500007267</v>
      </c>
      <c r="V12" s="49">
        <f t="shared" si="4"/>
        <v>9.0781096995187411</v>
      </c>
      <c r="W12" s="49">
        <f t="shared" si="5"/>
        <v>9.082841768535074</v>
      </c>
      <c r="X12" s="49">
        <f xml:space="preserve"> STDEV(U12:W12)*Calculation!I12/Calculation!K11</f>
        <v>7.5000764264258578E-3</v>
      </c>
    </row>
    <row r="13" spans="1:24">
      <c r="A13" s="62">
        <v>9</v>
      </c>
      <c r="B13" s="63">
        <v>80</v>
      </c>
      <c r="C13" s="63">
        <v>760</v>
      </c>
      <c r="D13" s="13">
        <f>C13/60</f>
        <v>12.666666666666666</v>
      </c>
      <c r="E13" s="32">
        <v>3</v>
      </c>
      <c r="F13" s="32">
        <v>11074</v>
      </c>
      <c r="G13" s="32">
        <v>7</v>
      </c>
      <c r="H13" s="44">
        <f>('Flow cytometer'!F13/'Flow cytometer'!G13)*POWER(10,'Flow cytometer'!E13+2)*10.2</f>
        <v>1613640000</v>
      </c>
      <c r="I13" s="32">
        <v>3</v>
      </c>
      <c r="J13" s="32">
        <v>11986</v>
      </c>
      <c r="K13" s="32">
        <v>7</v>
      </c>
      <c r="L13" s="44">
        <f>('Flow cytometer'!J13/'Flow cytometer'!K13)*POWER(10,'Flow cytometer'!I13+2)*10.2</f>
        <v>1746531428.5714285</v>
      </c>
      <c r="M13" s="32">
        <v>3</v>
      </c>
      <c r="N13" s="32">
        <v>11693</v>
      </c>
      <c r="O13" s="32">
        <v>7</v>
      </c>
      <c r="P13" s="44">
        <f>('Flow cytometer'!N13/'Flow cytometer'!O13)*POWER(10,'Flow cytometer'!M13+2)*10.2</f>
        <v>1703837142.8571427</v>
      </c>
      <c r="Q13" s="47">
        <f>AVERAGE(H13,L13,P13)*Calculation!I13/Calculation!K12</f>
        <v>1693894836.7119985</v>
      </c>
      <c r="R13" s="48">
        <f>STDEV(H13,L13,P13)*Calculation!I13/Calculation!K12</f>
        <v>68082792.164930329</v>
      </c>
      <c r="S13" s="49">
        <f t="shared" si="1"/>
        <v>9.2288864442158296</v>
      </c>
      <c r="T13" s="49">
        <f t="shared" si="2"/>
        <v>21.250296351386194</v>
      </c>
      <c r="U13" s="49">
        <f t="shared" si="3"/>
        <v>9.2078066509235761</v>
      </c>
      <c r="V13" s="49">
        <f t="shared" si="4"/>
        <v>9.2421764051081272</v>
      </c>
      <c r="W13" s="49">
        <f t="shared" si="5"/>
        <v>9.2314280814291827</v>
      </c>
      <c r="X13" s="49">
        <f xml:space="preserve"> STDEV(U13:W13)*Calculation!I13/Calculation!K12</f>
        <v>1.764345611580824E-2</v>
      </c>
    </row>
    <row r="14" spans="1:24">
      <c r="A14" s="62">
        <v>10</v>
      </c>
      <c r="B14" s="63">
        <v>80</v>
      </c>
      <c r="C14" s="63">
        <v>840</v>
      </c>
      <c r="D14" s="13">
        <f t="shared" si="0"/>
        <v>14</v>
      </c>
      <c r="E14" s="32">
        <v>3</v>
      </c>
      <c r="F14" s="32">
        <v>12299</v>
      </c>
      <c r="G14" s="32">
        <v>7</v>
      </c>
      <c r="H14" s="44">
        <f>('Flow cytometer'!F14/'Flow cytometer'!G14)*POWER(10,'Flow cytometer'!E14+2)*10.2</f>
        <v>1792139999.9999998</v>
      </c>
      <c r="I14" s="32">
        <v>3</v>
      </c>
      <c r="J14" s="32">
        <v>13408</v>
      </c>
      <c r="K14" s="32">
        <v>7</v>
      </c>
      <c r="L14" s="44">
        <f>('Flow cytometer'!J14/'Flow cytometer'!K14)*POWER(10,'Flow cytometer'!I14+2)*10.2</f>
        <v>1953737142.8571427</v>
      </c>
      <c r="M14" s="32">
        <v>3</v>
      </c>
      <c r="N14" s="32">
        <v>12442</v>
      </c>
      <c r="O14" s="32">
        <v>7</v>
      </c>
      <c r="P14" s="44">
        <f>('Flow cytometer'!N14/'Flow cytometer'!O14)*POWER(10,'Flow cytometer'!M14+2)*10.2</f>
        <v>1812977142.8571427</v>
      </c>
      <c r="Q14" s="47">
        <f>AVERAGE(H14,L14,P14)*Calculation!I14/Calculation!K13</f>
        <v>1861178309.4164691</v>
      </c>
      <c r="R14" s="48">
        <f>STDEV(H14,L14,P14)*Calculation!I14/Calculation!K13</f>
        <v>88292875.209789366</v>
      </c>
      <c r="S14" s="49">
        <f t="shared" si="1"/>
        <v>9.2697879825268057</v>
      </c>
      <c r="T14" s="49">
        <f t="shared" si="2"/>
        <v>21.344475623781573</v>
      </c>
      <c r="U14" s="49">
        <f t="shared" si="3"/>
        <v>9.2533719332572133</v>
      </c>
      <c r="V14" s="49">
        <f t="shared" si="4"/>
        <v>9.2908661330338624</v>
      </c>
      <c r="W14" s="49">
        <f t="shared" si="5"/>
        <v>9.2583923287543115</v>
      </c>
      <c r="X14" s="49">
        <f xml:space="preserve"> STDEV(U14:W14)*Calculation!I14/Calculation!K13</f>
        <v>2.0443774877807713E-2</v>
      </c>
    </row>
    <row r="15" spans="1:24">
      <c r="A15" s="62">
        <v>11</v>
      </c>
      <c r="B15" s="63">
        <v>80</v>
      </c>
      <c r="C15" s="63">
        <v>920</v>
      </c>
      <c r="D15" s="13">
        <f t="shared" si="0"/>
        <v>15.333333333333334</v>
      </c>
      <c r="E15" s="32">
        <v>3</v>
      </c>
      <c r="F15" s="32">
        <v>13494</v>
      </c>
      <c r="G15" s="32">
        <v>7</v>
      </c>
      <c r="H15" s="44">
        <f>('Flow cytometer'!F15/'Flow cytometer'!G15)*POWER(10,'Flow cytometer'!E15+2)*10.2</f>
        <v>1966268571.4285712</v>
      </c>
      <c r="I15" s="32">
        <v>3</v>
      </c>
      <c r="J15" s="32">
        <v>13071</v>
      </c>
      <c r="K15" s="32">
        <v>7</v>
      </c>
      <c r="L15" s="44">
        <f>('Flow cytometer'!J15/'Flow cytometer'!K15)*POWER(10,'Flow cytometer'!I15+2)*10.2</f>
        <v>1904631428.5714285</v>
      </c>
      <c r="M15" s="32">
        <v>3</v>
      </c>
      <c r="N15" s="32">
        <v>13126</v>
      </c>
      <c r="O15" s="32">
        <v>7</v>
      </c>
      <c r="P15" s="44">
        <f>('Flow cytometer'!N15/'Flow cytometer'!O15)*POWER(10,'Flow cytometer'!M15+2)*10.2</f>
        <v>1912645714.2857139</v>
      </c>
      <c r="Q15" s="47">
        <f>AVERAGE(H15,L15,P15)*Calculation!I15/Calculation!K14</f>
        <v>1936407986.5540144</v>
      </c>
      <c r="R15" s="48">
        <f>STDEV(H15,L15,P15)*Calculation!I15/Calculation!K14</f>
        <v>33661918.432679288</v>
      </c>
      <c r="S15" s="49">
        <f t="shared" si="1"/>
        <v>9.28699686518409</v>
      </c>
      <c r="T15" s="49">
        <f t="shared" si="2"/>
        <v>21.384100540455318</v>
      </c>
      <c r="U15" s="49">
        <f t="shared" si="3"/>
        <v>9.2936428375669369</v>
      </c>
      <c r="V15" s="49">
        <f t="shared" si="4"/>
        <v>9.2798109464030762</v>
      </c>
      <c r="W15" s="49">
        <f t="shared" si="5"/>
        <v>9.2816345316685656</v>
      </c>
      <c r="X15" s="49">
        <f xml:space="preserve"> STDEV(U15:W15)*Calculation!I15/Calculation!K14</f>
        <v>7.5483070724746614E-3</v>
      </c>
    </row>
    <row r="16" spans="1:24">
      <c r="A16" s="62">
        <v>12</v>
      </c>
      <c r="B16" s="63">
        <v>80</v>
      </c>
      <c r="C16" s="63">
        <v>1000</v>
      </c>
      <c r="D16" s="13">
        <f t="shared" si="0"/>
        <v>16.666666666666668</v>
      </c>
      <c r="E16" s="32">
        <v>3</v>
      </c>
      <c r="F16" s="32">
        <v>13845</v>
      </c>
      <c r="G16" s="32">
        <v>7</v>
      </c>
      <c r="H16" s="44">
        <f>('Flow cytometer'!F16/'Flow cytometer'!G16)*POWER(10,'Flow cytometer'!E16+2)*10.2</f>
        <v>2017414285.7142856</v>
      </c>
      <c r="I16" s="32">
        <v>3</v>
      </c>
      <c r="J16" s="32">
        <v>13465</v>
      </c>
      <c r="K16" s="32">
        <v>7</v>
      </c>
      <c r="L16" s="44">
        <f>('Flow cytometer'!J16/'Flow cytometer'!K16)*POWER(10,'Flow cytometer'!I16+2)*10.2</f>
        <v>1962042857.1428571</v>
      </c>
      <c r="M16" s="32">
        <v>3</v>
      </c>
      <c r="N16" s="32">
        <v>13865</v>
      </c>
      <c r="O16" s="32">
        <v>7</v>
      </c>
      <c r="P16" s="44">
        <f>('Flow cytometer'!N16/'Flow cytometer'!O16)*POWER(10,'Flow cytometer'!M16+2)*10.2</f>
        <v>2020328571.4285712</v>
      </c>
      <c r="Q16" s="47">
        <f>AVERAGE(H16,L16,P16)*Calculation!I16/Calculation!K15</f>
        <v>2010881086.3448176</v>
      </c>
      <c r="R16" s="48">
        <f>STDEV(H16,L16,P16)*Calculation!I16/Calculation!K15</f>
        <v>33022191.555116482</v>
      </c>
      <c r="S16" s="49">
        <f t="shared" si="1"/>
        <v>9.3033863893082227</v>
      </c>
      <c r="T16" s="49">
        <f t="shared" si="2"/>
        <v>21.421838814384813</v>
      </c>
      <c r="U16" s="49">
        <f t="shared" si="3"/>
        <v>9.3047950918292539</v>
      </c>
      <c r="V16" s="49">
        <f t="shared" si="4"/>
        <v>9.2927084894951903</v>
      </c>
      <c r="W16" s="49">
        <f t="shared" si="5"/>
        <v>9.3054220056615407</v>
      </c>
      <c r="X16" s="49">
        <f xml:space="preserve"> STDEV(U16:W16)*Calculation!I16/Calculation!K15</f>
        <v>7.2052809101614901E-3</v>
      </c>
    </row>
    <row r="17" spans="1:24">
      <c r="A17" s="62">
        <v>13</v>
      </c>
      <c r="B17" s="63">
        <v>80</v>
      </c>
      <c r="C17" s="63">
        <v>1080</v>
      </c>
      <c r="D17" s="13">
        <f t="shared" si="0"/>
        <v>18</v>
      </c>
      <c r="E17" s="32">
        <v>3</v>
      </c>
      <c r="F17" s="32">
        <v>14589</v>
      </c>
      <c r="G17" s="32">
        <v>7</v>
      </c>
      <c r="H17" s="44">
        <f>('Flow cytometer'!F17/'Flow cytometer'!G17)*POWER(10,'Flow cytometer'!E17+2)*10.2</f>
        <v>2125825714.2857144</v>
      </c>
      <c r="I17" s="32">
        <v>3</v>
      </c>
      <c r="J17" s="32">
        <v>14095</v>
      </c>
      <c r="K17" s="32">
        <v>7</v>
      </c>
      <c r="L17" s="44">
        <f>('Flow cytometer'!J17/'Flow cytometer'!K17)*POWER(10,'Flow cytometer'!I17+2)*10.2</f>
        <v>2053842857.1428571</v>
      </c>
      <c r="M17" s="32">
        <v>3</v>
      </c>
      <c r="N17" s="32">
        <v>14043</v>
      </c>
      <c r="O17" s="32">
        <v>7</v>
      </c>
      <c r="P17" s="44">
        <f>('Flow cytometer'!N17/'Flow cytometer'!O17)*POWER(10,'Flow cytometer'!M17+2)*10.2</f>
        <v>2046265714.2857139</v>
      </c>
      <c r="Q17" s="47">
        <f>AVERAGE(H17,L17,P17)*Calculation!I17/Calculation!K16</f>
        <v>2086676774.165271</v>
      </c>
      <c r="R17" s="48">
        <f>STDEV(H17,L17,P17)*Calculation!I17/Calculation!K16</f>
        <v>44150871.426006913</v>
      </c>
      <c r="S17" s="49">
        <f t="shared" si="1"/>
        <v>9.3194551821426383</v>
      </c>
      <c r="T17" s="49">
        <f t="shared" si="2"/>
        <v>21.458838577227748</v>
      </c>
      <c r="U17" s="49">
        <f t="shared" si="3"/>
        <v>9.3275276560355014</v>
      </c>
      <c r="V17" s="49">
        <f t="shared" si="4"/>
        <v>9.3125672119552814</v>
      </c>
      <c r="W17" s="49">
        <f t="shared" si="5"/>
        <v>9.3109620275947655</v>
      </c>
      <c r="X17" s="49">
        <f xml:space="preserve"> STDEV(U17:W17)*Calculation!I17/Calculation!K16</f>
        <v>9.1861481910305142E-3</v>
      </c>
    </row>
    <row r="18" spans="1:24">
      <c r="A18" s="62">
        <v>14</v>
      </c>
      <c r="B18" s="63">
        <v>80</v>
      </c>
      <c r="C18" s="63">
        <v>1160</v>
      </c>
      <c r="D18" s="13">
        <f t="shared" si="0"/>
        <v>19.333333333333332</v>
      </c>
      <c r="E18" s="32">
        <v>3</v>
      </c>
      <c r="F18" s="32">
        <v>13372</v>
      </c>
      <c r="G18" s="32">
        <v>7</v>
      </c>
      <c r="H18" s="44">
        <f>('Flow cytometer'!F18/'Flow cytometer'!G18)*POWER(10,'Flow cytometer'!E18+2)*10.2</f>
        <v>1948491428.5714285</v>
      </c>
      <c r="I18" s="32">
        <v>3</v>
      </c>
      <c r="J18" s="32">
        <v>13345</v>
      </c>
      <c r="K18" s="32">
        <v>7</v>
      </c>
      <c r="L18" s="44">
        <f>('Flow cytometer'!J18/'Flow cytometer'!K18)*POWER(10,'Flow cytometer'!I18+2)*10.2</f>
        <v>1944557142.8571427</v>
      </c>
      <c r="M18" s="32">
        <v>3</v>
      </c>
      <c r="N18" s="32">
        <v>12329</v>
      </c>
      <c r="O18" s="32">
        <v>7</v>
      </c>
      <c r="P18" s="44">
        <f>('Flow cytometer'!N18/'Flow cytometer'!O18)*POWER(10,'Flow cytometer'!M18+2)*10.2</f>
        <v>1796511428.5714285</v>
      </c>
      <c r="Q18" s="47">
        <f>AVERAGE(H18,L18,P18)*Calculation!I18/Calculation!K17</f>
        <v>1906906202.7302918</v>
      </c>
      <c r="R18" s="48">
        <f>STDEV(H18,L18,P18)*Calculation!I18/Calculation!K17</f>
        <v>87106737.822532609</v>
      </c>
      <c r="S18" s="49">
        <f t="shared" si="1"/>
        <v>9.2803293314107194</v>
      </c>
      <c r="T18" s="49">
        <f t="shared" si="2"/>
        <v>21.368747976581719</v>
      </c>
      <c r="U18" s="49">
        <f t="shared" si="3"/>
        <v>9.2896984996681908</v>
      </c>
      <c r="V18" s="49">
        <f t="shared" si="4"/>
        <v>9.288820709871187</v>
      </c>
      <c r="W18" s="49">
        <f t="shared" si="5"/>
        <v>9.2544299843292688</v>
      </c>
      <c r="X18" s="49">
        <f xml:space="preserve"> STDEV(U18:W18)*Calculation!I18/Calculation!K17</f>
        <v>2.0223831430739508E-2</v>
      </c>
    </row>
    <row r="19" spans="1:24">
      <c r="A19" s="62">
        <v>15</v>
      </c>
      <c r="B19" s="63">
        <v>290</v>
      </c>
      <c r="C19" s="63">
        <v>1450</v>
      </c>
      <c r="D19" s="13">
        <f t="shared" si="0"/>
        <v>24.166666666666668</v>
      </c>
      <c r="E19" s="32">
        <v>3</v>
      </c>
      <c r="F19" s="32">
        <v>13650</v>
      </c>
      <c r="G19" s="32">
        <v>7</v>
      </c>
      <c r="H19" s="44">
        <f>('Flow cytometer'!F19/'Flow cytometer'!G19)*POWER(10,'Flow cytometer'!E19+2)*10.2</f>
        <v>1988999999.9999998</v>
      </c>
      <c r="I19" s="32">
        <v>3</v>
      </c>
      <c r="J19" s="32">
        <v>13904</v>
      </c>
      <c r="K19" s="32">
        <v>7</v>
      </c>
      <c r="L19" s="44">
        <f>('Flow cytometer'!J19/'Flow cytometer'!K19)*POWER(10,'Flow cytometer'!I19+2)*10.2</f>
        <v>2026011428.5714285</v>
      </c>
      <c r="M19" s="32">
        <v>3</v>
      </c>
      <c r="N19" s="32">
        <v>14218</v>
      </c>
      <c r="O19" s="32">
        <v>7</v>
      </c>
      <c r="P19" s="44">
        <f>('Flow cytometer'!N19/'Flow cytometer'!O19)*POWER(10,'Flow cytometer'!M19+2)*10.2</f>
        <v>2071765714.2857139</v>
      </c>
      <c r="Q19" s="47">
        <f>AVERAGE(H19,L19,P19)*Calculation!I19/Calculation!K18</f>
        <v>2054982356.9254634</v>
      </c>
      <c r="R19" s="48">
        <f>STDEV(H19,L19,P19)*Calculation!I19/Calculation!K18</f>
        <v>41992197.642845415</v>
      </c>
      <c r="S19" s="49">
        <f t="shared" si="1"/>
        <v>9.3128080975878511</v>
      </c>
      <c r="T19" s="49">
        <f t="shared" si="2"/>
        <v>21.443533099420023</v>
      </c>
      <c r="U19" s="49">
        <f t="shared" si="3"/>
        <v>9.2986347831244363</v>
      </c>
      <c r="V19" s="49">
        <f t="shared" si="4"/>
        <v>9.3066418908522515</v>
      </c>
      <c r="W19" s="49">
        <f t="shared" si="5"/>
        <v>9.3163406416398793</v>
      </c>
      <c r="X19" s="49">
        <f xml:space="preserve"> STDEV(U19:W19)*Calculation!I19/Calculation!K18</f>
        <v>8.9802548271247454E-3</v>
      </c>
    </row>
    <row r="20" spans="1:24">
      <c r="A20" s="62">
        <v>16</v>
      </c>
      <c r="B20" s="63">
        <v>360</v>
      </c>
      <c r="C20" s="63">
        <v>1810</v>
      </c>
      <c r="D20" s="13">
        <f>C20/60</f>
        <v>30.166666666666668</v>
      </c>
      <c r="E20" s="32">
        <v>3</v>
      </c>
      <c r="F20" s="32">
        <v>16026</v>
      </c>
      <c r="G20" s="32">
        <v>7</v>
      </c>
      <c r="H20" s="44">
        <f>('Flow cytometer'!F20/'Flow cytometer'!G20)*POWER(10,'Flow cytometer'!E20+2)*10.2</f>
        <v>2335217142.8571429</v>
      </c>
      <c r="I20" s="32">
        <v>3</v>
      </c>
      <c r="J20" s="32">
        <v>14536</v>
      </c>
      <c r="K20" s="32">
        <v>7</v>
      </c>
      <c r="L20" s="44">
        <f>('Flow cytometer'!J20/'Flow cytometer'!K20)*POWER(10,'Flow cytometer'!I20+2)*10.2</f>
        <v>2118102857.1428568</v>
      </c>
      <c r="M20" s="32">
        <v>3</v>
      </c>
      <c r="N20" s="32">
        <v>16084</v>
      </c>
      <c r="O20" s="32">
        <v>7</v>
      </c>
      <c r="P20" s="44">
        <f>('Flow cytometer'!N20/'Flow cytometer'!O20)*POWER(10,'Flow cytometer'!M20+2)*10.2</f>
        <v>2343668571.4285712</v>
      </c>
      <c r="Q20" s="47">
        <f>AVERAGE(H20,L20,P20)*Calculation!I21/Calculation!K19</f>
        <v>2235540207.5464845</v>
      </c>
      <c r="R20" s="48">
        <f>STDEV(H20,L20,P20)*Calculation!I21/Calculation!K19</f>
        <v>126160612.86465231</v>
      </c>
      <c r="S20" s="49">
        <f t="shared" ref="S20:S21" si="6">LOG(Q20)</f>
        <v>9.3493824853239502</v>
      </c>
      <c r="T20" s="49">
        <f t="shared" ref="T20:T21" si="7">LN(Q20)</f>
        <v>21.527748739406551</v>
      </c>
      <c r="U20" s="49">
        <f t="shared" si="3"/>
        <v>9.3683272701526779</v>
      </c>
      <c r="V20" s="49">
        <f t="shared" si="4"/>
        <v>9.3259470460476379</v>
      </c>
      <c r="W20" s="49">
        <f t="shared" si="5"/>
        <v>9.3698961961785336</v>
      </c>
      <c r="X20" s="49">
        <f xml:space="preserve"> STDEV(U20:W20)*Calculation!I21/Calculation!K19</f>
        <v>2.4601989261365195E-2</v>
      </c>
    </row>
    <row r="21" spans="1:24">
      <c r="A21" s="62">
        <v>17</v>
      </c>
      <c r="B21" s="63">
        <v>1080</v>
      </c>
      <c r="C21" s="63">
        <v>2890</v>
      </c>
      <c r="D21" s="13">
        <f t="shared" si="0"/>
        <v>48.166666666666664</v>
      </c>
      <c r="E21" s="32">
        <v>3</v>
      </c>
      <c r="F21" s="32">
        <v>16571</v>
      </c>
      <c r="G21" s="32">
        <v>7</v>
      </c>
      <c r="H21" s="44">
        <f>('Flow cytometer'!F21/'Flow cytometer'!G21)*POWER(10,'Flow cytometer'!E21+2)*10.2</f>
        <v>2414631428.5714283</v>
      </c>
      <c r="I21" s="32">
        <v>3</v>
      </c>
      <c r="J21" s="32">
        <v>14967</v>
      </c>
      <c r="K21" s="32">
        <v>7</v>
      </c>
      <c r="L21" s="44">
        <f>('Flow cytometer'!J21/'Flow cytometer'!K21)*POWER(10,'Flow cytometer'!I21+2)*10.2</f>
        <v>2180905714.2857141</v>
      </c>
      <c r="M21" s="32">
        <v>3</v>
      </c>
      <c r="N21" s="32">
        <v>15014</v>
      </c>
      <c r="O21" s="32">
        <v>7</v>
      </c>
      <c r="P21" s="44">
        <f>('Flow cytometer'!N21/'Flow cytometer'!O21)*POWER(10,'Flow cytometer'!M21+2)*10.2</f>
        <v>2187754285.7142854</v>
      </c>
      <c r="Q21" s="47">
        <f>AVERAGE(H21,L21,P21)*Calculation!I21/Calculation!K20</f>
        <v>2364010803.4607329</v>
      </c>
      <c r="R21" s="48">
        <f>STDEV(H21,L21,P21)*Calculation!I21/Calculation!K20</f>
        <v>139062557.54300782</v>
      </c>
      <c r="S21" s="49">
        <f t="shared" si="6"/>
        <v>9.3736494569269251</v>
      </c>
      <c r="T21" s="49">
        <f t="shared" si="7"/>
        <v>21.58362550647167</v>
      </c>
      <c r="U21" s="49">
        <f t="shared" ref="U21" si="8">LOG(H21)</f>
        <v>9.3828508490612386</v>
      </c>
      <c r="V21" s="49">
        <f t="shared" ref="V21" si="9">LOG(L21)</f>
        <v>9.3386368904065051</v>
      </c>
      <c r="W21" s="49">
        <f t="shared" ref="W21" si="10">LOG(P21)</f>
        <v>9.3399985432780266</v>
      </c>
      <c r="X21" s="49">
        <f xml:space="preserve"> STDEV(U21:W21)*Calculation!I21/Calculation!K20</f>
        <v>2.6287470591226023E-2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workbookViewId="0">
      <selection activeCell="H26" sqref="H26"/>
    </sheetView>
  </sheetViews>
  <sheetFormatPr baseColWidth="10" defaultRowHeight="14" x14ac:dyDescent="0"/>
  <cols>
    <col min="7" max="7" width="11" bestFit="1" customWidth="1"/>
  </cols>
  <sheetData>
    <row r="1" spans="1:22">
      <c r="A1" s="86"/>
      <c r="B1" s="153" t="s">
        <v>4</v>
      </c>
      <c r="C1" s="155" t="s">
        <v>186</v>
      </c>
      <c r="D1" s="156" t="s">
        <v>18</v>
      </c>
      <c r="E1" s="156"/>
      <c r="F1" s="156"/>
      <c r="G1" s="156"/>
      <c r="H1" s="156" t="s">
        <v>20</v>
      </c>
      <c r="I1" s="156"/>
      <c r="J1" s="156"/>
      <c r="K1" s="156"/>
      <c r="L1" s="156" t="s">
        <v>21</v>
      </c>
      <c r="M1" s="156"/>
      <c r="N1" s="156"/>
      <c r="O1" s="156"/>
      <c r="P1" s="118" t="s">
        <v>22</v>
      </c>
      <c r="Q1" s="118" t="s">
        <v>22</v>
      </c>
      <c r="R1" s="118" t="s">
        <v>22</v>
      </c>
      <c r="S1" s="148" t="s">
        <v>237</v>
      </c>
      <c r="T1" s="86"/>
      <c r="U1" s="86"/>
      <c r="V1" s="86"/>
    </row>
    <row r="2" spans="1:22">
      <c r="A2" s="86"/>
      <c r="B2" s="154"/>
      <c r="C2" s="154"/>
      <c r="D2" s="120" t="s">
        <v>19</v>
      </c>
      <c r="E2" s="120" t="s">
        <v>68</v>
      </c>
      <c r="F2" s="120" t="s">
        <v>69</v>
      </c>
      <c r="G2" s="120" t="s">
        <v>70</v>
      </c>
      <c r="H2" s="120" t="s">
        <v>19</v>
      </c>
      <c r="I2" s="120" t="s">
        <v>68</v>
      </c>
      <c r="J2" s="120" t="s">
        <v>69</v>
      </c>
      <c r="K2" s="120" t="s">
        <v>70</v>
      </c>
      <c r="L2" s="120" t="s">
        <v>19</v>
      </c>
      <c r="M2" s="120" t="s">
        <v>68</v>
      </c>
      <c r="N2" s="120" t="s">
        <v>69</v>
      </c>
      <c r="O2" s="120" t="s">
        <v>71</v>
      </c>
      <c r="P2" s="119" t="s">
        <v>70</v>
      </c>
      <c r="Q2" s="119" t="s">
        <v>23</v>
      </c>
      <c r="R2" s="119" t="s">
        <v>72</v>
      </c>
      <c r="S2" s="149"/>
      <c r="T2" s="86"/>
      <c r="U2" s="86"/>
      <c r="V2" s="86"/>
    </row>
    <row r="3" spans="1:22">
      <c r="A3" s="86"/>
      <c r="B3" s="87"/>
      <c r="C3" s="87"/>
      <c r="D3" s="88"/>
      <c r="E3" s="88"/>
      <c r="F3" s="88"/>
      <c r="G3" s="89"/>
      <c r="H3" s="88"/>
      <c r="I3" s="88"/>
      <c r="J3" s="88"/>
      <c r="K3" s="89"/>
      <c r="L3" s="88"/>
      <c r="M3" s="88"/>
      <c r="N3" s="88"/>
      <c r="O3" s="89"/>
      <c r="P3" s="150"/>
      <c r="Q3" s="151"/>
      <c r="R3" s="152"/>
      <c r="S3" s="86"/>
      <c r="T3" s="86"/>
      <c r="U3" s="86"/>
      <c r="V3" s="86"/>
    </row>
    <row r="4" spans="1:22">
      <c r="A4" s="86"/>
      <c r="B4" s="90" t="s">
        <v>187</v>
      </c>
      <c r="C4" s="91">
        <v>500</v>
      </c>
      <c r="D4" s="91">
        <v>2</v>
      </c>
      <c r="E4" s="91">
        <v>11777</v>
      </c>
      <c r="F4" s="91">
        <v>6</v>
      </c>
      <c r="G4" s="89">
        <f>(E4/F4)*(10.2)*POWER(10,D4+2)</f>
        <v>200208999.99999997</v>
      </c>
      <c r="H4" s="91">
        <v>2</v>
      </c>
      <c r="I4" s="91">
        <v>12350</v>
      </c>
      <c r="J4" s="91">
        <v>6</v>
      </c>
      <c r="K4" s="89">
        <f>(I4/J4)*(10.2)*POWER(10,H4+2)</f>
        <v>209950000</v>
      </c>
      <c r="L4" s="91">
        <v>2</v>
      </c>
      <c r="M4" s="91">
        <v>12193</v>
      </c>
      <c r="N4" s="91">
        <v>6</v>
      </c>
      <c r="O4" s="89">
        <f t="shared" ref="O4:O19" si="0">(M4/N4)*(10.2)*POWER(10,L4+2)</f>
        <v>207281000</v>
      </c>
      <c r="P4" s="92">
        <f t="shared" ref="P4:P19" si="1">AVERAGE(O4,K4,G4)</f>
        <v>205813333.33333334</v>
      </c>
      <c r="Q4" s="92">
        <f t="shared" ref="Q4:Q19" si="2">STDEV(O4,K4,G4)</f>
        <v>5033617.4202389978</v>
      </c>
      <c r="R4" s="93">
        <f>LOG(P4)</f>
        <v>8.313473506507659</v>
      </c>
      <c r="S4" s="100"/>
      <c r="T4" s="86"/>
      <c r="U4" s="86"/>
      <c r="V4" s="86"/>
    </row>
    <row r="5" spans="1:22">
      <c r="A5" s="86"/>
      <c r="B5" s="90" t="s">
        <v>188</v>
      </c>
      <c r="C5" s="91">
        <v>500</v>
      </c>
      <c r="D5" s="91">
        <v>1</v>
      </c>
      <c r="E5" s="91">
        <v>10368</v>
      </c>
      <c r="F5" s="91">
        <v>6</v>
      </c>
      <c r="G5" s="89">
        <f t="shared" ref="G5:G19" si="3">(E5/F5)*(10.2)*POWER(10,D5+2)</f>
        <v>17625600</v>
      </c>
      <c r="H5" s="91">
        <v>1</v>
      </c>
      <c r="I5" s="91">
        <v>11649</v>
      </c>
      <c r="J5" s="91">
        <v>6</v>
      </c>
      <c r="K5" s="89">
        <f t="shared" ref="K5:K19" si="4">(I5/J5)*(10.2)*POWER(10,H5+2)</f>
        <v>19803300</v>
      </c>
      <c r="L5" s="91">
        <v>1</v>
      </c>
      <c r="M5" s="91">
        <v>11377</v>
      </c>
      <c r="N5" s="91">
        <v>6</v>
      </c>
      <c r="O5" s="89">
        <f t="shared" si="0"/>
        <v>19340899.999999996</v>
      </c>
      <c r="P5" s="92">
        <f t="shared" si="1"/>
        <v>18923266.666666668</v>
      </c>
      <c r="Q5" s="92">
        <f t="shared" si="2"/>
        <v>1147348.0393208207</v>
      </c>
      <c r="R5" s="93">
        <f t="shared" ref="R5:R19" si="5">LOG(P5)</f>
        <v>7.2769961094890272</v>
      </c>
      <c r="S5" s="86"/>
      <c r="T5" s="86"/>
      <c r="U5" s="86"/>
      <c r="V5" s="86"/>
    </row>
    <row r="6" spans="1:22">
      <c r="A6" s="86"/>
      <c r="B6" s="90" t="s">
        <v>189</v>
      </c>
      <c r="C6" s="91">
        <v>500</v>
      </c>
      <c r="D6" s="91">
        <v>1</v>
      </c>
      <c r="E6" s="91">
        <v>1368</v>
      </c>
      <c r="F6" s="91">
        <v>6</v>
      </c>
      <c r="G6" s="89">
        <f t="shared" si="3"/>
        <v>2325600</v>
      </c>
      <c r="H6" s="91">
        <v>1</v>
      </c>
      <c r="I6" s="91">
        <v>1169</v>
      </c>
      <c r="J6" s="91">
        <v>6</v>
      </c>
      <c r="K6" s="89">
        <f t="shared" si="4"/>
        <v>1987300</v>
      </c>
      <c r="L6" s="91">
        <v>1</v>
      </c>
      <c r="M6" s="91">
        <v>1324</v>
      </c>
      <c r="N6" s="91">
        <v>6</v>
      </c>
      <c r="O6" s="89">
        <f t="shared" si="0"/>
        <v>2250799.9999999995</v>
      </c>
      <c r="P6" s="92">
        <f t="shared" si="1"/>
        <v>2187900</v>
      </c>
      <c r="Q6" s="92">
        <f t="shared" si="2"/>
        <v>177704.89582451005</v>
      </c>
      <c r="R6" s="93">
        <f t="shared" si="5"/>
        <v>6.3400274682826607</v>
      </c>
      <c r="S6" s="86"/>
      <c r="T6" s="86"/>
      <c r="U6" s="86"/>
      <c r="V6" s="86"/>
    </row>
    <row r="7" spans="1:22">
      <c r="A7" s="86"/>
      <c r="B7" s="90" t="s">
        <v>190</v>
      </c>
      <c r="C7" s="91">
        <v>500</v>
      </c>
      <c r="D7" s="91">
        <v>1</v>
      </c>
      <c r="E7" s="91">
        <v>1657</v>
      </c>
      <c r="F7" s="91">
        <v>67</v>
      </c>
      <c r="G7" s="89">
        <f>(E7/F7)*(10.2)*POWER(10,D7+2)</f>
        <v>252259.70149253728</v>
      </c>
      <c r="H7" s="91">
        <v>1</v>
      </c>
      <c r="I7" s="91">
        <v>1712</v>
      </c>
      <c r="J7" s="91">
        <v>67</v>
      </c>
      <c r="K7" s="89">
        <f t="shared" si="4"/>
        <v>260632.83582089547</v>
      </c>
      <c r="L7" s="91">
        <v>1</v>
      </c>
      <c r="M7" s="91">
        <v>1701</v>
      </c>
      <c r="N7" s="91">
        <v>67</v>
      </c>
      <c r="O7" s="89">
        <f t="shared" si="0"/>
        <v>258958.20895522388</v>
      </c>
      <c r="P7" s="92">
        <f t="shared" si="1"/>
        <v>257283.58208955219</v>
      </c>
      <c r="Q7" s="92">
        <f t="shared" si="2"/>
        <v>4430.6462253947329</v>
      </c>
      <c r="R7" s="93">
        <f t="shared" si="5"/>
        <v>5.410412073674765</v>
      </c>
      <c r="S7" s="100"/>
      <c r="T7" s="86"/>
      <c r="U7" s="86"/>
      <c r="V7" s="86"/>
    </row>
    <row r="8" spans="1:22">
      <c r="A8" s="86"/>
      <c r="B8" s="90" t="s">
        <v>191</v>
      </c>
      <c r="C8" s="91">
        <v>500</v>
      </c>
      <c r="D8" s="91">
        <v>1</v>
      </c>
      <c r="E8" s="91">
        <v>1582</v>
      </c>
      <c r="F8" s="91">
        <v>334</v>
      </c>
      <c r="G8" s="89">
        <f t="shared" si="3"/>
        <v>48312.574850299396</v>
      </c>
      <c r="H8" s="91">
        <v>1</v>
      </c>
      <c r="I8" s="91">
        <v>1222</v>
      </c>
      <c r="J8" s="91">
        <v>334</v>
      </c>
      <c r="K8" s="89">
        <f t="shared" si="4"/>
        <v>37318.562874251496</v>
      </c>
      <c r="L8" s="91">
        <v>1</v>
      </c>
      <c r="M8" s="91">
        <v>1331</v>
      </c>
      <c r="N8" s="91">
        <v>334</v>
      </c>
      <c r="O8" s="89">
        <f t="shared" si="0"/>
        <v>40647.305389221554</v>
      </c>
      <c r="P8" s="92">
        <f t="shared" si="1"/>
        <v>42092.814371257482</v>
      </c>
      <c r="Q8" s="92">
        <f t="shared" si="2"/>
        <v>5637.7475107733544</v>
      </c>
      <c r="R8" s="93">
        <f t="shared" si="5"/>
        <v>4.6242079641192557</v>
      </c>
      <c r="S8" s="100"/>
      <c r="T8" s="86"/>
      <c r="U8" s="86"/>
      <c r="V8" s="86"/>
    </row>
    <row r="9" spans="1:22">
      <c r="A9" s="86"/>
      <c r="B9" s="90" t="s">
        <v>192</v>
      </c>
      <c r="C9" s="91">
        <v>900</v>
      </c>
      <c r="D9" s="91">
        <v>2</v>
      </c>
      <c r="E9" s="91">
        <v>14797</v>
      </c>
      <c r="F9" s="91">
        <v>6</v>
      </c>
      <c r="G9" s="89">
        <f t="shared" si="3"/>
        <v>251548999.99999997</v>
      </c>
      <c r="H9" s="91">
        <v>2</v>
      </c>
      <c r="I9" s="91">
        <v>12831</v>
      </c>
      <c r="J9" s="91">
        <v>6</v>
      </c>
      <c r="K9" s="89">
        <f t="shared" si="4"/>
        <v>218126999.99999997</v>
      </c>
      <c r="L9" s="91">
        <v>2</v>
      </c>
      <c r="M9" s="91">
        <v>13557</v>
      </c>
      <c r="N9" s="91">
        <v>6</v>
      </c>
      <c r="O9" s="89">
        <f t="shared" si="0"/>
        <v>230468999.99999997</v>
      </c>
      <c r="P9" s="92">
        <f t="shared" si="1"/>
        <v>233381666.66666663</v>
      </c>
      <c r="Q9" s="92">
        <f t="shared" si="2"/>
        <v>16900302.995311458</v>
      </c>
      <c r="R9" s="93">
        <f t="shared" si="5"/>
        <v>8.3680667369783137</v>
      </c>
      <c r="S9" s="86"/>
      <c r="T9" s="86"/>
      <c r="U9" s="86"/>
      <c r="V9" s="86"/>
    </row>
    <row r="10" spans="1:22">
      <c r="A10" s="86"/>
      <c r="B10" s="90" t="s">
        <v>193</v>
      </c>
      <c r="C10" s="91">
        <v>900</v>
      </c>
      <c r="D10" s="91">
        <v>2</v>
      </c>
      <c r="E10" s="91">
        <v>6167</v>
      </c>
      <c r="F10" s="91">
        <v>6</v>
      </c>
      <c r="G10" s="89">
        <f t="shared" si="3"/>
        <v>104838999.99999999</v>
      </c>
      <c r="H10" s="91">
        <v>2</v>
      </c>
      <c r="I10" s="91">
        <v>6132</v>
      </c>
      <c r="J10" s="91">
        <v>6</v>
      </c>
      <c r="K10" s="89">
        <f t="shared" si="4"/>
        <v>104244000</v>
      </c>
      <c r="L10" s="91">
        <v>2</v>
      </c>
      <c r="M10" s="91">
        <v>5412</v>
      </c>
      <c r="N10" s="91">
        <v>6</v>
      </c>
      <c r="O10" s="89">
        <f t="shared" si="0"/>
        <v>92004000</v>
      </c>
      <c r="P10" s="92">
        <f t="shared" si="1"/>
        <v>100362333.33333333</v>
      </c>
      <c r="Q10" s="92">
        <f t="shared" si="2"/>
        <v>7244639.9726510411</v>
      </c>
      <c r="R10" s="93">
        <f t="shared" si="5"/>
        <v>8.0015707497132311</v>
      </c>
      <c r="S10" s="86"/>
      <c r="T10" s="86"/>
      <c r="U10" s="86"/>
      <c r="V10" s="86"/>
    </row>
    <row r="11" spans="1:22">
      <c r="A11" s="86"/>
      <c r="B11" s="90" t="s">
        <v>194</v>
      </c>
      <c r="C11" s="91">
        <v>900</v>
      </c>
      <c r="D11" s="91">
        <v>2</v>
      </c>
      <c r="E11" s="91">
        <v>2783</v>
      </c>
      <c r="F11" s="91">
        <v>6</v>
      </c>
      <c r="G11" s="89">
        <f t="shared" si="3"/>
        <v>47310999.999999993</v>
      </c>
      <c r="H11" s="91">
        <v>2</v>
      </c>
      <c r="I11" s="91">
        <v>2791</v>
      </c>
      <c r="J11" s="91">
        <v>6</v>
      </c>
      <c r="K11" s="89">
        <f t="shared" si="4"/>
        <v>47447000</v>
      </c>
      <c r="L11" s="91">
        <v>2</v>
      </c>
      <c r="M11" s="91">
        <v>2844</v>
      </c>
      <c r="N11" s="91">
        <v>6</v>
      </c>
      <c r="O11" s="89">
        <f t="shared" si="0"/>
        <v>48347999.999999993</v>
      </c>
      <c r="P11" s="92">
        <f t="shared" si="1"/>
        <v>47702000</v>
      </c>
      <c r="Q11" s="92">
        <f t="shared" si="2"/>
        <v>563569.87144452473</v>
      </c>
      <c r="R11" s="93">
        <f t="shared" si="5"/>
        <v>7.6785365880706147</v>
      </c>
      <c r="S11" s="86"/>
      <c r="T11" s="86"/>
      <c r="U11" s="86"/>
      <c r="V11" s="86"/>
    </row>
    <row r="12" spans="1:22">
      <c r="A12" s="86"/>
      <c r="B12" s="90" t="s">
        <v>195</v>
      </c>
      <c r="C12" s="91">
        <v>900</v>
      </c>
      <c r="D12" s="91">
        <v>1</v>
      </c>
      <c r="E12" s="91">
        <v>14347</v>
      </c>
      <c r="F12" s="91">
        <v>6</v>
      </c>
      <c r="G12" s="89">
        <f t="shared" si="3"/>
        <v>24389899.999999996</v>
      </c>
      <c r="H12" s="91">
        <v>1</v>
      </c>
      <c r="I12" s="91">
        <v>13548</v>
      </c>
      <c r="J12" s="91">
        <v>6</v>
      </c>
      <c r="K12" s="89">
        <f t="shared" si="4"/>
        <v>23031600</v>
      </c>
      <c r="L12" s="91">
        <v>1</v>
      </c>
      <c r="M12" s="91">
        <v>14200</v>
      </c>
      <c r="N12" s="91">
        <v>6</v>
      </c>
      <c r="O12" s="89">
        <f t="shared" si="0"/>
        <v>24139999.999999996</v>
      </c>
      <c r="P12" s="92">
        <f t="shared" si="1"/>
        <v>23853833.333333332</v>
      </c>
      <c r="Q12" s="92">
        <f t="shared" si="2"/>
        <v>722954.52369656716</v>
      </c>
      <c r="R12" s="93">
        <f t="shared" si="5"/>
        <v>7.3775581805140655</v>
      </c>
      <c r="S12" s="86"/>
      <c r="T12" s="86"/>
      <c r="U12" s="86"/>
      <c r="V12" s="86"/>
    </row>
    <row r="13" spans="1:22">
      <c r="A13" s="86"/>
      <c r="B13" s="90" t="s">
        <v>196</v>
      </c>
      <c r="C13" s="91">
        <v>900</v>
      </c>
      <c r="D13" s="91">
        <v>1</v>
      </c>
      <c r="E13" s="91">
        <v>5210</v>
      </c>
      <c r="F13" s="91">
        <v>6</v>
      </c>
      <c r="G13" s="89">
        <f t="shared" si="3"/>
        <v>8857000</v>
      </c>
      <c r="H13" s="91">
        <v>1</v>
      </c>
      <c r="I13" s="91">
        <v>5214</v>
      </c>
      <c r="J13" s="91">
        <v>6</v>
      </c>
      <c r="K13" s="89">
        <f t="shared" si="4"/>
        <v>8863800</v>
      </c>
      <c r="L13" s="91">
        <v>1</v>
      </c>
      <c r="M13" s="91">
        <v>5752</v>
      </c>
      <c r="N13" s="91">
        <v>6</v>
      </c>
      <c r="O13" s="89">
        <f t="shared" si="0"/>
        <v>9778400</v>
      </c>
      <c r="P13" s="92">
        <f t="shared" si="1"/>
        <v>9166400</v>
      </c>
      <c r="Q13" s="92">
        <f t="shared" si="2"/>
        <v>530018.4525089669</v>
      </c>
      <c r="R13" s="93">
        <f t="shared" si="5"/>
        <v>6.9621988049055377</v>
      </c>
      <c r="S13" s="86"/>
      <c r="T13" s="86"/>
      <c r="U13" s="86"/>
      <c r="V13" s="86"/>
    </row>
    <row r="14" spans="1:22">
      <c r="A14" s="86"/>
      <c r="B14" s="90" t="s">
        <v>197</v>
      </c>
      <c r="C14" s="91">
        <v>900</v>
      </c>
      <c r="D14" s="91">
        <v>1</v>
      </c>
      <c r="E14" s="91">
        <v>2620</v>
      </c>
      <c r="F14" s="91">
        <v>6</v>
      </c>
      <c r="G14" s="89">
        <f t="shared" si="3"/>
        <v>4454000</v>
      </c>
      <c r="H14" s="91">
        <v>1</v>
      </c>
      <c r="I14" s="91">
        <v>2454</v>
      </c>
      <c r="J14" s="91">
        <v>6</v>
      </c>
      <c r="K14" s="89">
        <f t="shared" si="4"/>
        <v>4171799.9999999991</v>
      </c>
      <c r="L14" s="91">
        <v>1</v>
      </c>
      <c r="M14" s="91">
        <v>2673</v>
      </c>
      <c r="N14" s="91">
        <v>6</v>
      </c>
      <c r="O14" s="89">
        <f t="shared" si="0"/>
        <v>4544099.9999999991</v>
      </c>
      <c r="P14" s="92">
        <f t="shared" si="1"/>
        <v>4389966.666666666</v>
      </c>
      <c r="Q14" s="92">
        <f t="shared" si="2"/>
        <v>194234.45454741904</v>
      </c>
      <c r="R14" s="93">
        <f t="shared" si="5"/>
        <v>6.642461222625335</v>
      </c>
      <c r="S14" s="86"/>
      <c r="T14" s="86"/>
      <c r="U14" s="86"/>
      <c r="V14" s="86"/>
    </row>
    <row r="15" spans="1:22">
      <c r="A15" s="86"/>
      <c r="B15" s="90" t="s">
        <v>198</v>
      </c>
      <c r="C15" s="91">
        <v>900</v>
      </c>
      <c r="D15" s="91">
        <v>1</v>
      </c>
      <c r="E15" s="91">
        <v>1562</v>
      </c>
      <c r="F15" s="91">
        <v>6</v>
      </c>
      <c r="G15" s="89">
        <f t="shared" si="3"/>
        <v>2655399.9999999995</v>
      </c>
      <c r="H15" s="91">
        <v>1</v>
      </c>
      <c r="I15" s="91">
        <v>1614</v>
      </c>
      <c r="J15" s="91">
        <v>6</v>
      </c>
      <c r="K15" s="89">
        <f t="shared" si="4"/>
        <v>2743799.9999999995</v>
      </c>
      <c r="L15" s="91">
        <v>1</v>
      </c>
      <c r="M15" s="91">
        <v>1660</v>
      </c>
      <c r="N15" s="91">
        <v>6</v>
      </c>
      <c r="O15" s="89">
        <f t="shared" si="0"/>
        <v>2822000</v>
      </c>
      <c r="P15" s="92">
        <f t="shared" si="1"/>
        <v>2740400</v>
      </c>
      <c r="Q15" s="92">
        <f t="shared" si="2"/>
        <v>83352.024570492809</v>
      </c>
      <c r="R15" s="93">
        <f t="shared" si="5"/>
        <v>6.4378139588473458</v>
      </c>
      <c r="S15" s="86"/>
      <c r="T15" s="86"/>
      <c r="U15" s="86"/>
      <c r="V15" s="86"/>
    </row>
    <row r="16" spans="1:22">
      <c r="A16" s="86"/>
      <c r="B16" s="90" t="s">
        <v>199</v>
      </c>
      <c r="C16" s="91">
        <v>900</v>
      </c>
      <c r="D16" s="91">
        <v>1</v>
      </c>
      <c r="E16" s="91">
        <v>2084</v>
      </c>
      <c r="F16" s="91">
        <v>13</v>
      </c>
      <c r="G16" s="89">
        <f t="shared" si="3"/>
        <v>1635138.4615384615</v>
      </c>
      <c r="H16" s="91">
        <v>1</v>
      </c>
      <c r="I16" s="91">
        <v>2144</v>
      </c>
      <c r="J16" s="91">
        <v>13</v>
      </c>
      <c r="K16" s="89">
        <f t="shared" si="4"/>
        <v>1682215.3846153847</v>
      </c>
      <c r="L16" s="91">
        <v>1</v>
      </c>
      <c r="M16" s="91">
        <v>1740</v>
      </c>
      <c r="N16" s="91">
        <v>13</v>
      </c>
      <c r="O16" s="89">
        <f t="shared" si="0"/>
        <v>1365230.769230769</v>
      </c>
      <c r="P16" s="92">
        <f t="shared" si="1"/>
        <v>1560861.5384615387</v>
      </c>
      <c r="Q16" s="92">
        <f t="shared" si="2"/>
        <v>171048.55326475156</v>
      </c>
      <c r="R16" s="93">
        <f t="shared" si="5"/>
        <v>6.1933643792000312</v>
      </c>
      <c r="S16" s="86"/>
      <c r="T16" s="86"/>
      <c r="U16" s="86"/>
      <c r="V16" s="86"/>
    </row>
    <row r="17" spans="1:22">
      <c r="A17" s="86"/>
      <c r="B17" s="90" t="s">
        <v>200</v>
      </c>
      <c r="C17" s="91">
        <v>900</v>
      </c>
      <c r="D17" s="91">
        <v>1</v>
      </c>
      <c r="E17" s="91">
        <v>2200</v>
      </c>
      <c r="F17" s="91">
        <v>26</v>
      </c>
      <c r="G17" s="89">
        <f t="shared" si="3"/>
        <v>863076.92307692301</v>
      </c>
      <c r="H17" s="91">
        <v>1</v>
      </c>
      <c r="I17" s="91">
        <v>2389</v>
      </c>
      <c r="J17" s="91">
        <v>26</v>
      </c>
      <c r="K17" s="89">
        <f t="shared" si="4"/>
        <v>937223.07692307688</v>
      </c>
      <c r="L17" s="91">
        <v>1</v>
      </c>
      <c r="M17" s="91">
        <v>2163</v>
      </c>
      <c r="N17" s="91">
        <v>26</v>
      </c>
      <c r="O17" s="89">
        <f t="shared" si="0"/>
        <v>848561.53846153838</v>
      </c>
      <c r="P17" s="92">
        <f t="shared" si="1"/>
        <v>882953.84615384601</v>
      </c>
      <c r="Q17" s="92">
        <f t="shared" si="2"/>
        <v>47555.611170987548</v>
      </c>
      <c r="R17" s="93">
        <f t="shared" si="5"/>
        <v>5.9459380026890356</v>
      </c>
      <c r="S17" s="86"/>
      <c r="T17" s="86"/>
      <c r="U17" s="86"/>
      <c r="V17" s="86"/>
    </row>
    <row r="18" spans="1:22">
      <c r="A18" s="86"/>
      <c r="B18" s="90" t="s">
        <v>201</v>
      </c>
      <c r="C18" s="91">
        <v>900</v>
      </c>
      <c r="D18" s="91">
        <v>1</v>
      </c>
      <c r="E18" s="91">
        <v>2258</v>
      </c>
      <c r="F18" s="91">
        <v>53</v>
      </c>
      <c r="G18" s="89">
        <f t="shared" si="3"/>
        <v>434558.49056603765</v>
      </c>
      <c r="H18" s="91">
        <v>1</v>
      </c>
      <c r="I18" s="91">
        <v>2364</v>
      </c>
      <c r="J18" s="91">
        <v>53</v>
      </c>
      <c r="K18" s="89">
        <f t="shared" si="4"/>
        <v>454958.49056603771</v>
      </c>
      <c r="L18" s="91">
        <v>1</v>
      </c>
      <c r="M18" s="91">
        <v>2494</v>
      </c>
      <c r="N18" s="91">
        <v>53</v>
      </c>
      <c r="O18" s="89">
        <f t="shared" si="0"/>
        <v>479977.35849056597</v>
      </c>
      <c r="P18" s="92">
        <f t="shared" si="1"/>
        <v>456498.11320754705</v>
      </c>
      <c r="Q18" s="92">
        <f t="shared" si="2"/>
        <v>22748.543234570494</v>
      </c>
      <c r="R18" s="93">
        <f t="shared" si="5"/>
        <v>5.6594389868533534</v>
      </c>
      <c r="S18" s="86"/>
      <c r="T18" s="86"/>
      <c r="U18" s="86"/>
      <c r="V18" s="86"/>
    </row>
    <row r="19" spans="1:22">
      <c r="A19" s="86"/>
      <c r="B19" s="90" t="s">
        <v>202</v>
      </c>
      <c r="C19" s="91">
        <v>900</v>
      </c>
      <c r="D19" s="91">
        <v>1</v>
      </c>
      <c r="E19" s="91">
        <v>2389</v>
      </c>
      <c r="F19" s="91">
        <v>107</v>
      </c>
      <c r="G19" s="89">
        <f t="shared" si="3"/>
        <v>227736.44859813081</v>
      </c>
      <c r="H19" s="91">
        <v>1</v>
      </c>
      <c r="I19" s="91">
        <v>2798</v>
      </c>
      <c r="J19" s="91">
        <v>107</v>
      </c>
      <c r="K19" s="89">
        <f t="shared" si="4"/>
        <v>266725.23364485975</v>
      </c>
      <c r="L19" s="91">
        <v>1</v>
      </c>
      <c r="M19" s="91">
        <v>7437</v>
      </c>
      <c r="N19" s="91">
        <v>394</v>
      </c>
      <c r="O19" s="89">
        <f t="shared" si="0"/>
        <v>192531.47208121826</v>
      </c>
      <c r="P19" s="92">
        <f t="shared" si="1"/>
        <v>228997.71810806962</v>
      </c>
      <c r="Q19" s="92">
        <f t="shared" si="2"/>
        <v>37112.958172626859</v>
      </c>
      <c r="R19" s="93">
        <f t="shared" si="5"/>
        <v>5.359831154750319</v>
      </c>
      <c r="S19" s="86"/>
      <c r="T19" s="86"/>
      <c r="U19" s="86"/>
      <c r="V19" s="86"/>
    </row>
    <row r="20" spans="1:22" ht="15" thickBo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ht="43" thickBot="1">
      <c r="A21" s="86"/>
      <c r="B21" s="94" t="s">
        <v>4</v>
      </c>
      <c r="C21" s="94" t="s">
        <v>203</v>
      </c>
      <c r="D21" s="94" t="s">
        <v>204</v>
      </c>
      <c r="E21" s="94" t="s">
        <v>205</v>
      </c>
      <c r="F21" s="94" t="s">
        <v>206</v>
      </c>
      <c r="G21" s="95" t="s">
        <v>207</v>
      </c>
      <c r="H21" s="96" t="s">
        <v>208</v>
      </c>
      <c r="I21" s="96" t="s">
        <v>209</v>
      </c>
      <c r="J21" s="96" t="s">
        <v>210</v>
      </c>
      <c r="K21" s="96" t="s">
        <v>211</v>
      </c>
      <c r="L21" s="96" t="s">
        <v>212</v>
      </c>
      <c r="M21" s="100" t="s">
        <v>237</v>
      </c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90" t="s">
        <v>187</v>
      </c>
      <c r="C23" s="97">
        <v>12.024166107177734</v>
      </c>
      <c r="D23" s="97">
        <v>11.937971115112305</v>
      </c>
      <c r="E23" s="97">
        <v>12.113894462585449</v>
      </c>
      <c r="F23" s="98">
        <f>AVERAGE(C23:E23)</f>
        <v>12.025343894958496</v>
      </c>
      <c r="G23" s="122">
        <f>1000/1000*200/4*1000/900</f>
        <v>55.555555555555557</v>
      </c>
      <c r="H23" s="99">
        <f>LOG(G23)/LOG(2)</f>
        <v>5.7958592832197748</v>
      </c>
      <c r="I23" s="97">
        <f>C23-H23</f>
        <v>6.2283068239579595</v>
      </c>
      <c r="J23" s="97">
        <f>D23-H23</f>
        <v>6.1421118318925298</v>
      </c>
      <c r="K23" s="97">
        <f>E23-H23</f>
        <v>6.3180351793656744</v>
      </c>
      <c r="L23" s="98">
        <f>AVERAGE(I23:K23)</f>
        <v>6.2294846117387221</v>
      </c>
      <c r="M23" s="100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90" t="s">
        <v>188</v>
      </c>
      <c r="C24" s="97">
        <v>17.587196350097656</v>
      </c>
      <c r="D24" s="97">
        <v>17.463251113891602</v>
      </c>
      <c r="E24" s="97">
        <v>17.496953964233398</v>
      </c>
      <c r="F24" s="98">
        <f t="shared" ref="F24:F38" si="6">AVERAGE(C24:E24)</f>
        <v>17.515800476074219</v>
      </c>
      <c r="G24" s="122">
        <f t="shared" ref="G24:G27" si="7">1000/1000*200/4*1000/900</f>
        <v>55.555555555555557</v>
      </c>
      <c r="H24" s="99">
        <f t="shared" ref="H24:H38" si="8">LOG(G24)/LOG(2)</f>
        <v>5.7958592832197748</v>
      </c>
      <c r="I24" s="97">
        <f>C24-H24</f>
        <v>11.791337066877881</v>
      </c>
      <c r="J24" s="97">
        <f t="shared" ref="J24:J38" si="9">D24-H24</f>
        <v>11.667391830671827</v>
      </c>
      <c r="K24" s="97">
        <f t="shared" ref="K24:K38" si="10">E24-H24</f>
        <v>11.701094681013624</v>
      </c>
      <c r="L24" s="98">
        <f t="shared" ref="L24:L38" si="11">AVERAGE(I24:K24)</f>
        <v>11.719941192854444</v>
      </c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90" t="s">
        <v>189</v>
      </c>
      <c r="C25" s="97">
        <v>20.035877227783203</v>
      </c>
      <c r="D25" s="97">
        <v>19.974271774291992</v>
      </c>
      <c r="E25" s="97">
        <v>19.944717407226562</v>
      </c>
      <c r="F25" s="98">
        <f t="shared" si="6"/>
        <v>19.984955469767254</v>
      </c>
      <c r="G25" s="122">
        <f t="shared" si="7"/>
        <v>55.555555555555557</v>
      </c>
      <c r="H25" s="99">
        <f t="shared" si="8"/>
        <v>5.7958592832197748</v>
      </c>
      <c r="I25" s="97">
        <f>C25-H25</f>
        <v>14.240017944563428</v>
      </c>
      <c r="J25" s="97">
        <f t="shared" si="9"/>
        <v>14.178412491072217</v>
      </c>
      <c r="K25" s="97">
        <f t="shared" si="10"/>
        <v>14.148858124006788</v>
      </c>
      <c r="L25" s="98">
        <f t="shared" si="11"/>
        <v>14.189096186547479</v>
      </c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90" t="s">
        <v>190</v>
      </c>
      <c r="C26" s="97">
        <v>24.500289916992188</v>
      </c>
      <c r="D26" s="97">
        <v>24.458871841430664</v>
      </c>
      <c r="E26" s="97">
        <v>24.548263549804688</v>
      </c>
      <c r="F26" s="98">
        <f t="shared" si="6"/>
        <v>24.502475102742512</v>
      </c>
      <c r="G26" s="122">
        <f t="shared" si="7"/>
        <v>55.555555555555557</v>
      </c>
      <c r="H26" s="99">
        <f t="shared" si="8"/>
        <v>5.7958592832197748</v>
      </c>
      <c r="I26" s="97">
        <f>C26-H26</f>
        <v>18.704430633772411</v>
      </c>
      <c r="J26" s="97">
        <f t="shared" si="9"/>
        <v>18.663012558210887</v>
      </c>
      <c r="K26" s="97">
        <f t="shared" si="10"/>
        <v>18.752404266584911</v>
      </c>
      <c r="L26" s="98">
        <f t="shared" si="11"/>
        <v>18.706615819522735</v>
      </c>
      <c r="M26" s="100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90" t="s">
        <v>191</v>
      </c>
      <c r="C27" s="97">
        <v>27.966335296630859</v>
      </c>
      <c r="D27" s="97">
        <v>27.953102111816406</v>
      </c>
      <c r="E27" s="97">
        <v>27.858415603637695</v>
      </c>
      <c r="F27" s="98">
        <f>AVERAGE(C27:E27)</f>
        <v>27.92595100402832</v>
      </c>
      <c r="G27" s="122">
        <f t="shared" si="7"/>
        <v>55.555555555555557</v>
      </c>
      <c r="H27" s="99">
        <f t="shared" si="8"/>
        <v>5.7958592832197748</v>
      </c>
      <c r="I27" s="97">
        <f>C27-H27</f>
        <v>22.170476013411083</v>
      </c>
      <c r="J27" s="97">
        <f>D27-H27</f>
        <v>22.15724282859663</v>
      </c>
      <c r="K27" s="97">
        <f>E27-H27</f>
        <v>22.062556320417919</v>
      </c>
      <c r="L27" s="98">
        <f t="shared" si="11"/>
        <v>22.130091720808547</v>
      </c>
      <c r="M27" s="100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90" t="s">
        <v>192</v>
      </c>
      <c r="C28" s="97">
        <v>13.96388053894043</v>
      </c>
      <c r="D28" s="97">
        <v>13.646139144897461</v>
      </c>
      <c r="E28" s="97">
        <v>13.680848121643066</v>
      </c>
      <c r="F28" s="98">
        <f t="shared" si="6"/>
        <v>13.763622601826986</v>
      </c>
      <c r="G28" s="86">
        <f>1000/1000*200/4*1000/500</f>
        <v>100</v>
      </c>
      <c r="H28" s="99">
        <f t="shared" si="8"/>
        <v>6.6438561897747244</v>
      </c>
      <c r="I28" s="97">
        <f t="shared" ref="I28:I38" si="12">C28-H28</f>
        <v>7.3200243491657053</v>
      </c>
      <c r="J28" s="97">
        <f t="shared" si="9"/>
        <v>7.0022829551227366</v>
      </c>
      <c r="K28" s="97">
        <f t="shared" si="10"/>
        <v>7.036991931868342</v>
      </c>
      <c r="L28" s="98">
        <f t="shared" si="11"/>
        <v>7.119766412052261</v>
      </c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90" t="s">
        <v>193</v>
      </c>
      <c r="C29" s="97">
        <v>15.15186882019043</v>
      </c>
      <c r="D29" s="97">
        <v>15.517631530761719</v>
      </c>
      <c r="E29" s="97">
        <v>15.663459777832031</v>
      </c>
      <c r="F29" s="98">
        <f t="shared" si="6"/>
        <v>15.44432004292806</v>
      </c>
      <c r="G29" s="86">
        <f t="shared" ref="G29:G38" si="13">1000/1000*200/4*1000/500</f>
        <v>100</v>
      </c>
      <c r="H29" s="99">
        <f t="shared" si="8"/>
        <v>6.6438561897747244</v>
      </c>
      <c r="I29" s="97">
        <f t="shared" si="12"/>
        <v>8.5080126304157062</v>
      </c>
      <c r="J29" s="97">
        <f t="shared" si="9"/>
        <v>8.8737753409869953</v>
      </c>
      <c r="K29" s="97">
        <f t="shared" si="10"/>
        <v>9.0196035880573078</v>
      </c>
      <c r="L29" s="98">
        <f t="shared" si="11"/>
        <v>8.800463853153337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90" t="s">
        <v>194</v>
      </c>
      <c r="C30" s="97">
        <v>16.251581192016602</v>
      </c>
      <c r="D30" s="97">
        <v>16.335042953491211</v>
      </c>
      <c r="E30" s="97">
        <v>16.212072372436523</v>
      </c>
      <c r="F30" s="98">
        <f t="shared" si="6"/>
        <v>16.266232172648113</v>
      </c>
      <c r="G30" s="86">
        <f t="shared" si="13"/>
        <v>100</v>
      </c>
      <c r="H30" s="99">
        <f t="shared" si="8"/>
        <v>6.6438561897747244</v>
      </c>
      <c r="I30" s="97">
        <f t="shared" si="12"/>
        <v>9.6077250022418781</v>
      </c>
      <c r="J30" s="97">
        <f t="shared" si="9"/>
        <v>9.6911867637164875</v>
      </c>
      <c r="K30" s="97">
        <f t="shared" si="10"/>
        <v>9.5682161826618</v>
      </c>
      <c r="L30" s="98">
        <f t="shared" si="11"/>
        <v>9.6223759828733879</v>
      </c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90" t="s">
        <v>195</v>
      </c>
      <c r="C31" s="97">
        <v>18.410284042358398</v>
      </c>
      <c r="D31" s="97">
        <v>18.640316009521484</v>
      </c>
      <c r="E31" s="97">
        <v>18.454940795898438</v>
      </c>
      <c r="F31" s="98">
        <f t="shared" si="6"/>
        <v>18.501846949259441</v>
      </c>
      <c r="G31" s="86">
        <f t="shared" si="13"/>
        <v>100</v>
      </c>
      <c r="H31" s="99">
        <f t="shared" si="8"/>
        <v>6.6438561897747244</v>
      </c>
      <c r="I31" s="97">
        <f t="shared" si="12"/>
        <v>11.766427852583675</v>
      </c>
      <c r="J31" s="97">
        <f t="shared" si="9"/>
        <v>11.996459819746761</v>
      </c>
      <c r="K31" s="97">
        <f t="shared" si="10"/>
        <v>11.811084606123714</v>
      </c>
      <c r="L31" s="98">
        <f t="shared" si="11"/>
        <v>11.857990759484716</v>
      </c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90" t="s">
        <v>196</v>
      </c>
      <c r="C32" s="97">
        <v>18.648725509643555</v>
      </c>
      <c r="D32" s="97">
        <v>18.836643218994141</v>
      </c>
      <c r="E32" s="97">
        <v>18.618749618530273</v>
      </c>
      <c r="F32" s="98">
        <f t="shared" si="6"/>
        <v>18.701372782389324</v>
      </c>
      <c r="G32" s="86">
        <f t="shared" si="13"/>
        <v>100</v>
      </c>
      <c r="H32" s="99">
        <f t="shared" si="8"/>
        <v>6.6438561897747244</v>
      </c>
      <c r="I32" s="97">
        <f t="shared" si="12"/>
        <v>12.004869319868831</v>
      </c>
      <c r="J32" s="97">
        <f t="shared" si="9"/>
        <v>12.192787029219417</v>
      </c>
      <c r="K32" s="97">
        <f t="shared" si="10"/>
        <v>11.97489342875555</v>
      </c>
      <c r="L32" s="98">
        <f t="shared" si="11"/>
        <v>12.057516592614599</v>
      </c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90" t="s">
        <v>197</v>
      </c>
      <c r="C33" s="97">
        <v>19.173038482666016</v>
      </c>
      <c r="D33" s="97">
        <v>19.267778396606445</v>
      </c>
      <c r="E33" s="97">
        <v>19.15654182434082</v>
      </c>
      <c r="F33" s="98">
        <f t="shared" si="6"/>
        <v>19.199119567871094</v>
      </c>
      <c r="G33" s="86">
        <f t="shared" si="13"/>
        <v>100</v>
      </c>
      <c r="H33" s="99">
        <f t="shared" si="8"/>
        <v>6.6438561897747244</v>
      </c>
      <c r="I33" s="97">
        <f t="shared" si="12"/>
        <v>12.529182292891292</v>
      </c>
      <c r="J33" s="97">
        <f t="shared" si="9"/>
        <v>12.623922206831722</v>
      </c>
      <c r="K33" s="97">
        <f t="shared" si="10"/>
        <v>12.512685634566097</v>
      </c>
      <c r="L33" s="98">
        <f t="shared" si="11"/>
        <v>12.55526337809637</v>
      </c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90" t="s">
        <v>198</v>
      </c>
      <c r="C34" s="97">
        <v>20.283313751220703</v>
      </c>
      <c r="D34" s="97">
        <v>20.449991226196289</v>
      </c>
      <c r="E34" s="97">
        <v>20.311237335205078</v>
      </c>
      <c r="F34" s="98">
        <f t="shared" si="6"/>
        <v>20.348180770874023</v>
      </c>
      <c r="G34" s="86">
        <f t="shared" si="13"/>
        <v>100</v>
      </c>
      <c r="H34" s="99">
        <f t="shared" si="8"/>
        <v>6.6438561897747244</v>
      </c>
      <c r="I34" s="97">
        <f t="shared" si="12"/>
        <v>13.63945756144598</v>
      </c>
      <c r="J34" s="97">
        <f t="shared" si="9"/>
        <v>13.806135036421566</v>
      </c>
      <c r="K34" s="97">
        <f t="shared" si="10"/>
        <v>13.667381145430355</v>
      </c>
      <c r="L34" s="98">
        <f t="shared" si="11"/>
        <v>13.7043245810993</v>
      </c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90" t="s">
        <v>199</v>
      </c>
      <c r="C35" s="97">
        <v>21.243825912475586</v>
      </c>
      <c r="D35" s="97">
        <v>21.539775848388672</v>
      </c>
      <c r="E35" s="97">
        <v>21.392797470092773</v>
      </c>
      <c r="F35" s="98">
        <f t="shared" si="6"/>
        <v>21.392133076985676</v>
      </c>
      <c r="G35" s="86">
        <f t="shared" si="13"/>
        <v>100</v>
      </c>
      <c r="H35" s="99">
        <f t="shared" si="8"/>
        <v>6.6438561897747244</v>
      </c>
      <c r="I35" s="97">
        <f t="shared" si="12"/>
        <v>14.599969722700862</v>
      </c>
      <c r="J35" s="97">
        <f t="shared" si="9"/>
        <v>14.895919658613948</v>
      </c>
      <c r="K35" s="97">
        <f t="shared" si="10"/>
        <v>14.74894128031805</v>
      </c>
      <c r="L35" s="98">
        <f t="shared" si="11"/>
        <v>14.748276887210954</v>
      </c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90" t="s">
        <v>200</v>
      </c>
      <c r="C36" s="97">
        <v>22.513101577758789</v>
      </c>
      <c r="D36" s="97">
        <v>22.496644973754883</v>
      </c>
      <c r="E36" s="97">
        <v>22.572574615478516</v>
      </c>
      <c r="F36" s="98">
        <f t="shared" si="6"/>
        <v>22.527440388997395</v>
      </c>
      <c r="G36" s="86">
        <f t="shared" si="13"/>
        <v>100</v>
      </c>
      <c r="H36" s="99">
        <f t="shared" si="8"/>
        <v>6.6438561897747244</v>
      </c>
      <c r="I36" s="97">
        <f t="shared" si="12"/>
        <v>15.869245387984066</v>
      </c>
      <c r="J36" s="97">
        <f t="shared" si="9"/>
        <v>15.852788783980159</v>
      </c>
      <c r="K36" s="97">
        <f t="shared" si="10"/>
        <v>15.928718425703792</v>
      </c>
      <c r="L36" s="98">
        <f t="shared" si="11"/>
        <v>15.883584199222673</v>
      </c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90" t="s">
        <v>201</v>
      </c>
      <c r="C37" s="97">
        <v>25.11761474609375</v>
      </c>
      <c r="D37" s="97">
        <v>25.00200080871582</v>
      </c>
      <c r="E37" s="97">
        <v>25.069990158081055</v>
      </c>
      <c r="F37" s="98">
        <f t="shared" si="6"/>
        <v>25.063201904296875</v>
      </c>
      <c r="G37" s="86">
        <f t="shared" si="13"/>
        <v>100</v>
      </c>
      <c r="H37" s="99">
        <f t="shared" si="8"/>
        <v>6.6438561897747244</v>
      </c>
      <c r="I37" s="97">
        <f t="shared" si="12"/>
        <v>18.473758556319027</v>
      </c>
      <c r="J37" s="97">
        <f t="shared" si="9"/>
        <v>18.358144618941097</v>
      </c>
      <c r="K37" s="97">
        <f t="shared" si="10"/>
        <v>18.426133968306331</v>
      </c>
      <c r="L37" s="98">
        <f t="shared" si="11"/>
        <v>18.419345714522152</v>
      </c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90" t="s">
        <v>202</v>
      </c>
      <c r="C38" s="97">
        <v>25.78911018371582</v>
      </c>
      <c r="D38" s="97">
        <v>25.811565399169922</v>
      </c>
      <c r="E38" s="97">
        <v>25.885698318481445</v>
      </c>
      <c r="F38" s="98">
        <f t="shared" si="6"/>
        <v>25.82879130045573</v>
      </c>
      <c r="G38" s="86">
        <f t="shared" si="13"/>
        <v>100</v>
      </c>
      <c r="H38" s="99">
        <f t="shared" si="8"/>
        <v>6.6438561897747244</v>
      </c>
      <c r="I38" s="97">
        <f t="shared" si="12"/>
        <v>19.145253993941097</v>
      </c>
      <c r="J38" s="97">
        <f t="shared" si="9"/>
        <v>19.167709209395198</v>
      </c>
      <c r="K38" s="97">
        <f t="shared" si="10"/>
        <v>19.241842128706722</v>
      </c>
      <c r="L38" s="98">
        <f t="shared" si="11"/>
        <v>19.184935110681007</v>
      </c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99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90" t="s">
        <v>235</v>
      </c>
      <c r="C40" s="97">
        <v>10.746070861816406</v>
      </c>
      <c r="D40" s="97">
        <v>10.822755813598633</v>
      </c>
      <c r="E40" s="97">
        <v>10.731834411621094</v>
      </c>
      <c r="F40" s="98">
        <f>AVERAGE(C40:E40)</f>
        <v>10.766887029012045</v>
      </c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100" t="s">
        <v>213</v>
      </c>
      <c r="C42" s="86" t="s">
        <v>214</v>
      </c>
      <c r="D42" s="86"/>
      <c r="E42" s="86"/>
      <c r="F42" t="s">
        <v>215</v>
      </c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 t="s">
        <v>216</v>
      </c>
      <c r="C43" s="86" t="s">
        <v>214</v>
      </c>
      <c r="D43" s="86"/>
      <c r="E43" s="86"/>
      <c r="F43">
        <v>0.34642903804779052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101" t="s">
        <v>217</v>
      </c>
      <c r="D44" s="102">
        <v>-3.9893000000000001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101" t="s">
        <v>218</v>
      </c>
      <c r="D45" s="102">
        <v>40.134999999999998</v>
      </c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100" t="s">
        <v>219</v>
      </c>
      <c r="C48" s="86"/>
      <c r="D48" s="86">
        <f>-1+ POWER(10,-(1/D44))</f>
        <v>0.78102716558460528</v>
      </c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100" t="s">
        <v>241</v>
      </c>
      <c r="C50" s="121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37" workbookViewId="0">
      <selection activeCell="A51" sqref="A51:H65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3" t="s">
        <v>239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 spans="1:29">
      <c r="A2" s="139" t="s">
        <v>4</v>
      </c>
      <c r="B2" s="139" t="s">
        <v>116</v>
      </c>
      <c r="C2" s="139" t="s">
        <v>116</v>
      </c>
      <c r="D2" s="139" t="s">
        <v>5</v>
      </c>
      <c r="E2" s="153" t="s">
        <v>220</v>
      </c>
      <c r="F2" s="153" t="s">
        <v>221</v>
      </c>
      <c r="G2" s="153" t="s">
        <v>222</v>
      </c>
      <c r="H2" s="155" t="s">
        <v>223</v>
      </c>
      <c r="I2" s="155" t="s">
        <v>224</v>
      </c>
      <c r="J2" s="155" t="s">
        <v>225</v>
      </c>
      <c r="K2" s="153" t="s">
        <v>226</v>
      </c>
      <c r="L2" s="153" t="s">
        <v>227</v>
      </c>
      <c r="M2" s="153" t="s">
        <v>228</v>
      </c>
      <c r="N2" s="153" t="s">
        <v>229</v>
      </c>
      <c r="O2" s="153" t="s">
        <v>230</v>
      </c>
      <c r="P2" s="155" t="s">
        <v>231</v>
      </c>
      <c r="Q2" s="155" t="s">
        <v>232</v>
      </c>
      <c r="R2" s="155" t="s">
        <v>236</v>
      </c>
      <c r="S2" s="155" t="s">
        <v>233</v>
      </c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 spans="1:29">
      <c r="A3" s="140"/>
      <c r="B3" s="140"/>
      <c r="C3" s="140"/>
      <c r="D3" s="140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spans="1:29">
      <c r="A4" s="62">
        <v>0</v>
      </c>
      <c r="B4" s="63">
        <v>10</v>
      </c>
      <c r="C4" s="63">
        <v>10</v>
      </c>
      <c r="D4" s="13">
        <f t="shared" ref="D4:D21" si="0">C4/60</f>
        <v>0.16666666666666666</v>
      </c>
      <c r="E4" s="123">
        <v>25.165122985839844</v>
      </c>
      <c r="F4" s="123">
        <v>25.459089279174805</v>
      </c>
      <c r="G4" s="124">
        <v>24.902292251586914</v>
      </c>
      <c r="H4" s="125">
        <f t="shared" ref="H4:H21" si="1">(E4-$H$64)+$H$67</f>
        <v>25.257733190161552</v>
      </c>
      <c r="I4" s="125">
        <f t="shared" ref="I4:I21" si="2">(F4-$H$64)+$H$67</f>
        <v>25.551699483496513</v>
      </c>
      <c r="J4" s="125">
        <f t="shared" ref="J4:J21" si="3">(G4-$H$64)+$H$67</f>
        <v>24.994902455908623</v>
      </c>
      <c r="K4" s="98">
        <f>((H4-'CalibrationB. hydrogenotrophica'!$D$45)/('CalibrationB. hydrogenotrophica'!$D$44))+$B$24</f>
        <v>7.3825050738331095</v>
      </c>
      <c r="L4" s="98">
        <f>((I4-'CalibrationB. hydrogenotrophica'!$D$45)/('CalibrationB. hydrogenotrophica'!$D$44))+$B$24</f>
        <v>7.308816383252065</v>
      </c>
      <c r="M4" s="98">
        <f>((J4-'CalibrationB. hydrogenotrophica'!$D$45)/('CalibrationB. hydrogenotrophica'!$D$44))+$B$24</f>
        <v>7.4483889968905199</v>
      </c>
      <c r="N4" s="109">
        <f t="shared" ref="N4:N21" si="4">AVERAGE(K4:M4)</f>
        <v>7.3799034846585654</v>
      </c>
      <c r="O4" s="109">
        <f t="shared" ref="O4:O21" si="5">STDEV(K4:M4)</f>
        <v>6.9822666943781142E-2</v>
      </c>
      <c r="P4" s="110">
        <f>(AVERAGE(POWER(10,K4),POWER(10,L4),POWER(10,M4)))*Calculation!$I4/Calculation!$K3</f>
        <v>24189461.061251555</v>
      </c>
      <c r="Q4" s="110">
        <f>(STDEV(POWER(10,K4),POWER(10,L4),POWER(10,M4)))*Calculation!$I4/Calculation!$K3</f>
        <v>3859210.8073228034</v>
      </c>
      <c r="R4" s="109">
        <f t="shared" ref="R4:R21" si="6">LOG(P4)</f>
        <v>7.3836261924324909</v>
      </c>
      <c r="S4" s="109">
        <f>O4*Calculation!$I4/Calculation!$K3</f>
        <v>6.9822666943781142E-2</v>
      </c>
      <c r="T4" s="86"/>
      <c r="U4" s="86"/>
      <c r="V4" s="86"/>
      <c r="W4" s="86"/>
      <c r="X4" s="86"/>
      <c r="Y4" s="86"/>
      <c r="Z4" s="86"/>
      <c r="AA4" s="86"/>
      <c r="AB4" s="86"/>
      <c r="AC4" s="86"/>
    </row>
    <row r="5" spans="1:29">
      <c r="A5" s="62">
        <v>1</v>
      </c>
      <c r="B5" s="63">
        <v>110</v>
      </c>
      <c r="C5" s="63">
        <v>120</v>
      </c>
      <c r="D5" s="13">
        <f t="shared" si="0"/>
        <v>2</v>
      </c>
      <c r="E5" s="123">
        <v>23.956680297851562</v>
      </c>
      <c r="F5" s="123">
        <v>23.788370132446289</v>
      </c>
      <c r="G5" s="124">
        <v>23.36212158203125</v>
      </c>
      <c r="H5" s="125">
        <f t="shared" si="1"/>
        <v>24.049290502173271</v>
      </c>
      <c r="I5" s="125">
        <f t="shared" si="2"/>
        <v>23.880980336767998</v>
      </c>
      <c r="J5" s="125">
        <f t="shared" si="3"/>
        <v>23.454731786352959</v>
      </c>
      <c r="K5" s="98">
        <f>((H5-'CalibrationB. hydrogenotrophica'!$D$45)/('CalibrationB. hydrogenotrophica'!$D$44))+$B$24</f>
        <v>7.6854260594667494</v>
      </c>
      <c r="L5" s="98">
        <f>((I5-'CalibrationB. hydrogenotrophica'!$D$45)/('CalibrationB. hydrogenotrophica'!$D$44))+$B$24</f>
        <v>7.7276164601398687</v>
      </c>
      <c r="M5" s="98">
        <f>((J5-'CalibrationB. hydrogenotrophica'!$D$45)/('CalibrationB. hydrogenotrophica'!$D$44))+$B$24</f>
        <v>7.8344644160256234</v>
      </c>
      <c r="N5" s="109">
        <f t="shared" si="4"/>
        <v>7.7491689785440805</v>
      </c>
      <c r="O5" s="109">
        <f t="shared" si="5"/>
        <v>7.6821163871783602E-2</v>
      </c>
      <c r="P5" s="110">
        <f>(AVERAGE(POWER(10,K5),POWER(10,L5),POWER(10,M5)))*Calculation!$I5/Calculation!$K4</f>
        <v>56726960.562368259</v>
      </c>
      <c r="Q5" s="110">
        <f>(STDEV(POWER(10,K5),POWER(10,L5),POWER(10,M5)))*Calculation!$I5/Calculation!$K4</f>
        <v>10328736.72509804</v>
      </c>
      <c r="R5" s="109">
        <f t="shared" si="6"/>
        <v>7.7537895146354918</v>
      </c>
      <c r="S5" s="109">
        <f>O5*Calculation!$I5/Calculation!$K4</f>
        <v>7.6821163871783602E-2</v>
      </c>
      <c r="T5" s="86"/>
      <c r="U5" s="86"/>
      <c r="V5" s="86"/>
      <c r="W5" s="86"/>
      <c r="X5" s="86"/>
      <c r="Y5" s="86"/>
      <c r="Z5" s="86"/>
      <c r="AA5" s="86"/>
      <c r="AB5" s="86"/>
      <c r="AC5" s="86"/>
    </row>
    <row r="6" spans="1:29">
      <c r="A6" s="62">
        <v>2</v>
      </c>
      <c r="B6" s="63">
        <v>80</v>
      </c>
      <c r="C6" s="63">
        <v>200</v>
      </c>
      <c r="D6" s="13">
        <f t="shared" si="0"/>
        <v>3.3333333333333335</v>
      </c>
      <c r="E6" s="123">
        <v>23.260400772094727</v>
      </c>
      <c r="F6" s="123">
        <v>22.527971267700195</v>
      </c>
      <c r="G6" s="124">
        <v>22.58323860168457</v>
      </c>
      <c r="H6" s="125">
        <f t="shared" si="1"/>
        <v>23.353010976416435</v>
      </c>
      <c r="I6" s="125">
        <f t="shared" si="2"/>
        <v>22.620581472021904</v>
      </c>
      <c r="J6" s="125">
        <f t="shared" si="3"/>
        <v>22.675848806006279</v>
      </c>
      <c r="K6" s="98">
        <f>((H6-'CalibrationB. hydrogenotrophica'!$D$45)/('CalibrationB. hydrogenotrophica'!$D$44))+$B$24</f>
        <v>7.8599628267584638</v>
      </c>
      <c r="L6" s="98">
        <f>((I6-'CalibrationB. hydrogenotrophica'!$D$45)/('CalibrationB. hydrogenotrophica'!$D$44))+$B$24</f>
        <v>8.0435613288501919</v>
      </c>
      <c r="M6" s="98">
        <f>((J6-'CalibrationB. hydrogenotrophica'!$D$45)/('CalibrationB. hydrogenotrophica'!$D$44))+$B$24</f>
        <v>8.0297074361912362</v>
      </c>
      <c r="N6" s="109">
        <f t="shared" si="4"/>
        <v>7.9777438639332976</v>
      </c>
      <c r="O6" s="109">
        <f t="shared" si="5"/>
        <v>0.10223630531242851</v>
      </c>
      <c r="P6" s="110">
        <f>(AVERAGE(POWER(10,K6),POWER(10,L6),POWER(10,M6)))*Calculation!$I6/Calculation!$K5</f>
        <v>96689274.778836727</v>
      </c>
      <c r="Q6" s="110">
        <f>(STDEV(POWER(10,K6),POWER(10,L6),POWER(10,M6)))*Calculation!$I6/Calculation!$K5</f>
        <v>21074320.827410072</v>
      </c>
      <c r="R6" s="109">
        <f t="shared" si="6"/>
        <v>7.9853783028038183</v>
      </c>
      <c r="S6" s="109">
        <f>O6*Calculation!$I6/Calculation!$K5</f>
        <v>0.10223630531242853</v>
      </c>
      <c r="T6" s="86"/>
      <c r="U6" s="86"/>
      <c r="V6" s="86"/>
      <c r="W6" s="86"/>
      <c r="X6" s="86"/>
      <c r="Y6" s="86"/>
      <c r="Z6" s="86"/>
      <c r="AA6" s="86"/>
      <c r="AB6" s="86"/>
      <c r="AC6" s="86"/>
    </row>
    <row r="7" spans="1:29">
      <c r="A7" s="62">
        <v>3</v>
      </c>
      <c r="B7" s="63">
        <v>80</v>
      </c>
      <c r="C7" s="63">
        <v>280</v>
      </c>
      <c r="D7" s="13">
        <f t="shared" si="0"/>
        <v>4.666666666666667</v>
      </c>
      <c r="E7" s="123">
        <v>22.520978927612305</v>
      </c>
      <c r="F7" s="123">
        <v>21.766960144042969</v>
      </c>
      <c r="G7" s="124">
        <v>22.151042938232422</v>
      </c>
      <c r="H7" s="125">
        <f t="shared" si="1"/>
        <v>22.613589131934013</v>
      </c>
      <c r="I7" s="125">
        <f t="shared" si="2"/>
        <v>21.859570348364677</v>
      </c>
      <c r="J7" s="125">
        <f t="shared" si="3"/>
        <v>22.24365314255413</v>
      </c>
      <c r="K7" s="98">
        <f>((H7-'CalibrationB. hydrogenotrophica'!$D$45)/('CalibrationB. hydrogenotrophica'!$D$44))+$B$24</f>
        <v>8.0453141025417896</v>
      </c>
      <c r="L7" s="98">
        <f>((I7-'CalibrationB. hydrogenotrophica'!$D$45)/('CalibrationB. hydrogenotrophica'!$D$44))+$B$24</f>
        <v>8.2343244009824534</v>
      </c>
      <c r="M7" s="98">
        <f>((J7-'CalibrationB. hydrogenotrophica'!$D$45)/('CalibrationB. hydrogenotrophica'!$D$44))+$B$24</f>
        <v>8.1380461581354737</v>
      </c>
      <c r="N7" s="109">
        <f t="shared" si="4"/>
        <v>8.1392282205532389</v>
      </c>
      <c r="O7" s="109">
        <f t="shared" si="5"/>
        <v>9.4510693484001193E-2</v>
      </c>
      <c r="P7" s="110">
        <f>(AVERAGE(POWER(10,K7),POWER(10,L7),POWER(10,M7)))*Calculation!$I7/Calculation!$K6</f>
        <v>139980112.62158403</v>
      </c>
      <c r="Q7" s="110">
        <f>(STDEV(POWER(10,K7),POWER(10,L7),POWER(10,M7)))*Calculation!$I7/Calculation!$K6</f>
        <v>30344218.816344373</v>
      </c>
      <c r="R7" s="109">
        <f t="shared" si="6"/>
        <v>8.1460663385909751</v>
      </c>
      <c r="S7" s="109">
        <f>O7*Calculation!$I7/Calculation!$K6</f>
        <v>9.4510693484001193E-2</v>
      </c>
      <c r="T7" s="86"/>
      <c r="U7" s="86"/>
      <c r="V7" s="86"/>
      <c r="W7" s="86"/>
      <c r="X7" s="86"/>
      <c r="Y7" s="86"/>
      <c r="Z7" s="86"/>
      <c r="AA7" s="86"/>
      <c r="AB7" s="86"/>
      <c r="AC7" s="86"/>
    </row>
    <row r="8" spans="1:29">
      <c r="A8" s="62">
        <v>4</v>
      </c>
      <c r="B8" s="63">
        <v>80</v>
      </c>
      <c r="C8" s="63">
        <v>360</v>
      </c>
      <c r="D8" s="13">
        <f t="shared" si="0"/>
        <v>6</v>
      </c>
      <c r="E8" s="123">
        <v>21.542232513427734</v>
      </c>
      <c r="F8" s="123">
        <v>21.760101318359375</v>
      </c>
      <c r="G8" s="124">
        <v>21.386013031005859</v>
      </c>
      <c r="H8" s="125">
        <f t="shared" si="1"/>
        <v>21.634842717749443</v>
      </c>
      <c r="I8" s="125">
        <f t="shared" si="2"/>
        <v>21.852711522681084</v>
      </c>
      <c r="J8" s="125">
        <f t="shared" si="3"/>
        <v>21.478623235327568</v>
      </c>
      <c r="K8" s="98">
        <f>((H8-'CalibrationB. hydrogenotrophica'!$D$45)/('CalibrationB. hydrogenotrophica'!$D$44))+$B$24</f>
        <v>8.2906569983341765</v>
      </c>
      <c r="L8" s="98">
        <f>((I8-'CalibrationB. hydrogenotrophica'!$D$45)/('CalibrationB. hydrogenotrophica'!$D$44))+$B$24</f>
        <v>8.2360437065457326</v>
      </c>
      <c r="M8" s="98">
        <f>((J8-'CalibrationB. hydrogenotrophica'!$D$45)/('CalibrationB. hydrogenotrophica'!$D$44))+$B$24</f>
        <v>8.3298166209300906</v>
      </c>
      <c r="N8" s="109">
        <f t="shared" si="4"/>
        <v>8.2855057752699981</v>
      </c>
      <c r="O8" s="109">
        <f t="shared" si="5"/>
        <v>4.7098207952391467E-2</v>
      </c>
      <c r="P8" s="110">
        <f>(AVERAGE(POWER(10,K8),POWER(10,L8),POWER(10,M8)))*Calculation!$I8/Calculation!$K7</f>
        <v>193729931.66201726</v>
      </c>
      <c r="Q8" s="110">
        <f>(STDEV(POWER(10,K8),POWER(10,L8),POWER(10,M8)))*Calculation!$I8/Calculation!$K7</f>
        <v>20794239.271733291</v>
      </c>
      <c r="R8" s="109">
        <f t="shared" si="6"/>
        <v>8.2871967252694407</v>
      </c>
      <c r="S8" s="109">
        <f>O8*Calculation!$I8/Calculation!$K7</f>
        <v>4.7098207952391467E-2</v>
      </c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>
      <c r="A9" s="62">
        <v>5</v>
      </c>
      <c r="B9" s="63">
        <v>80</v>
      </c>
      <c r="C9" s="63">
        <v>440</v>
      </c>
      <c r="D9" s="13">
        <f t="shared" si="0"/>
        <v>7.333333333333333</v>
      </c>
      <c r="E9" s="123">
        <v>20.895803451538086</v>
      </c>
      <c r="F9" s="123">
        <v>20.582742691040039</v>
      </c>
      <c r="G9" s="124">
        <v>20.683116912841797</v>
      </c>
      <c r="H9" s="125">
        <f t="shared" si="1"/>
        <v>20.988413655859794</v>
      </c>
      <c r="I9" s="125">
        <f t="shared" si="2"/>
        <v>20.675352895361748</v>
      </c>
      <c r="J9" s="125">
        <f t="shared" si="3"/>
        <v>20.775727117163505</v>
      </c>
      <c r="K9" s="98">
        <f>((H9-'CalibrationB. hydrogenotrophica'!$D$45)/('CalibrationB. hydrogenotrophica'!$D$44))+$B$24</f>
        <v>8.4526977227443858</v>
      </c>
      <c r="L9" s="98">
        <f>((I9-'CalibrationB. hydrogenotrophica'!$D$45)/('CalibrationB. hydrogenotrophica'!$D$44))+$B$24</f>
        <v>8.5311728337909472</v>
      </c>
      <c r="M9" s="98">
        <f>((J9-'CalibrationB. hydrogenotrophica'!$D$45)/('CalibrationB. hydrogenotrophica'!$D$44))+$B$24</f>
        <v>8.5060119730379942</v>
      </c>
      <c r="N9" s="109">
        <f t="shared" si="4"/>
        <v>8.4966275098577757</v>
      </c>
      <c r="O9" s="109">
        <f t="shared" si="5"/>
        <v>4.007039899137755E-2</v>
      </c>
      <c r="P9" s="110">
        <f>(AVERAGE(POWER(10,K9),POWER(10,L9),POWER(10,M9)))*Calculation!$I9/Calculation!$K8</f>
        <v>314663559.06444079</v>
      </c>
      <c r="Q9" s="110">
        <f>(STDEV(POWER(10,K9),POWER(10,L9),POWER(10,M9)))*Calculation!$I9/Calculation!$K8</f>
        <v>28555309.51324302</v>
      </c>
      <c r="R9" s="109">
        <f t="shared" si="6"/>
        <v>8.4978464505281011</v>
      </c>
      <c r="S9" s="109">
        <f>O9*Calculation!$I9/Calculation!$K8</f>
        <v>4.007039899137755E-2</v>
      </c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>
      <c r="A10" s="62">
        <v>6</v>
      </c>
      <c r="B10" s="63">
        <v>80</v>
      </c>
      <c r="C10" s="63">
        <v>520</v>
      </c>
      <c r="D10" s="13">
        <f t="shared" si="0"/>
        <v>8.6666666666666661</v>
      </c>
      <c r="E10" s="123">
        <v>20.963239669799805</v>
      </c>
      <c r="F10" s="123">
        <v>20.03205680847168</v>
      </c>
      <c r="G10" s="124">
        <v>20.139944076538086</v>
      </c>
      <c r="H10" s="125">
        <f t="shared" si="1"/>
        <v>21.055849874121513</v>
      </c>
      <c r="I10" s="125">
        <f t="shared" si="2"/>
        <v>20.124667012793388</v>
      </c>
      <c r="J10" s="125">
        <f t="shared" si="3"/>
        <v>20.232554280859794</v>
      </c>
      <c r="K10" s="98">
        <f>((H10-'CalibrationB. hydrogenotrophica'!$D$45)/('CalibrationB. hydrogenotrophica'!$D$44))+$B$24</f>
        <v>8.4357934492473525</v>
      </c>
      <c r="L10" s="98">
        <f>((I10-'CalibrationB. hydrogenotrophica'!$D$45)/('CalibrationB. hydrogenotrophica'!$D$44))+$B$24</f>
        <v>8.6692135633847016</v>
      </c>
      <c r="M10" s="98">
        <f>((J10-'CalibrationB. hydrogenotrophica'!$D$45)/('CalibrationB. hydrogenotrophica'!$D$44))+$B$24</f>
        <v>8.6421694032397109</v>
      </c>
      <c r="N10" s="109">
        <f t="shared" si="4"/>
        <v>8.5823921386239217</v>
      </c>
      <c r="O10" s="109">
        <f t="shared" si="5"/>
        <v>0.12767626421807163</v>
      </c>
      <c r="P10" s="110">
        <f>(AVERAGE(POWER(10,K10),POWER(10,L10),POWER(10,M10)))*Calculation!$I10/Calculation!$K9</f>
        <v>392786240.35083842</v>
      </c>
      <c r="Q10" s="110">
        <f>(STDEV(POWER(10,K10),POWER(10,L10),POWER(10,M10)))*Calculation!$I10/Calculation!$K9</f>
        <v>104889983.74445163</v>
      </c>
      <c r="R10" s="109">
        <f t="shared" si="6"/>
        <v>8.5941562656618302</v>
      </c>
      <c r="S10" s="109">
        <f>O10*Calculation!$I10/Calculation!$K9</f>
        <v>0.12767626421807163</v>
      </c>
      <c r="T10" s="86"/>
      <c r="U10" s="86"/>
      <c r="V10" s="86"/>
      <c r="W10" s="86"/>
      <c r="X10" s="86"/>
      <c r="Y10" s="86"/>
      <c r="Z10" s="86"/>
      <c r="AA10" s="86"/>
      <c r="AB10" s="86"/>
      <c r="AC10" s="86"/>
    </row>
    <row r="11" spans="1:29">
      <c r="A11" s="62">
        <v>7</v>
      </c>
      <c r="B11" s="63">
        <v>80</v>
      </c>
      <c r="C11" s="63">
        <v>600</v>
      </c>
      <c r="D11" s="13">
        <f t="shared" si="0"/>
        <v>10</v>
      </c>
      <c r="E11" s="123">
        <v>19.135784149169922</v>
      </c>
      <c r="F11" s="123">
        <v>19.400171279907227</v>
      </c>
      <c r="G11" s="124">
        <v>19.105354309082031</v>
      </c>
      <c r="H11" s="125">
        <f t="shared" si="1"/>
        <v>19.22839435349163</v>
      </c>
      <c r="I11" s="125">
        <f t="shared" si="2"/>
        <v>19.492781484228935</v>
      </c>
      <c r="J11" s="125">
        <f t="shared" si="3"/>
        <v>19.19796451340374</v>
      </c>
      <c r="K11" s="98">
        <f>((H11-'CalibrationB. hydrogenotrophica'!$D$45)/('CalibrationB. hydrogenotrophica'!$D$44))+$B$24</f>
        <v>8.8938827181992686</v>
      </c>
      <c r="L11" s="98">
        <f>((I11-'CalibrationB. hydrogenotrophica'!$D$45)/('CalibrationB. hydrogenotrophica'!$D$44))+$B$24</f>
        <v>8.8276086523888999</v>
      </c>
      <c r="M11" s="98">
        <f>((J11-'CalibrationB. hydrogenotrophica'!$D$45)/('CalibrationB. hydrogenotrophica'!$D$44))+$B$24</f>
        <v>8.9015105827589398</v>
      </c>
      <c r="N11" s="109">
        <f t="shared" si="4"/>
        <v>8.8743339844490361</v>
      </c>
      <c r="O11" s="109">
        <f t="shared" si="5"/>
        <v>4.0644662276031585E-2</v>
      </c>
      <c r="P11" s="110">
        <f>(AVERAGE(POWER(10,K11),POWER(10,L11),POWER(10,M11)))*Calculation!$I11/Calculation!$K10</f>
        <v>752163243.95085013</v>
      </c>
      <c r="Q11" s="110">
        <f>(STDEV(POWER(10,K11),POWER(10,L11),POWER(10,M11)))*Calculation!$I11/Calculation!$K10</f>
        <v>68472634.014861479</v>
      </c>
      <c r="R11" s="109">
        <f t="shared" si="6"/>
        <v>8.876312106885706</v>
      </c>
      <c r="S11" s="109">
        <f>O11*Calculation!$I11/Calculation!$K10</f>
        <v>4.0713318800146503E-2</v>
      </c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>
      <c r="A12" s="62">
        <v>8</v>
      </c>
      <c r="B12" s="63">
        <v>80</v>
      </c>
      <c r="C12" s="63">
        <v>680</v>
      </c>
      <c r="D12" s="13">
        <f t="shared" si="0"/>
        <v>11.333333333333334</v>
      </c>
      <c r="E12" s="123">
        <v>18.995611190795898</v>
      </c>
      <c r="F12" s="123">
        <v>18.955360412597656</v>
      </c>
      <c r="G12" s="124">
        <v>19.052816390991211</v>
      </c>
      <c r="H12" s="125">
        <f t="shared" si="1"/>
        <v>19.088221395117607</v>
      </c>
      <c r="I12" s="125">
        <f t="shared" si="2"/>
        <v>19.047970616919365</v>
      </c>
      <c r="J12" s="125">
        <f t="shared" si="3"/>
        <v>19.145426595312919</v>
      </c>
      <c r="K12" s="98">
        <f>((H12-'CalibrationB. hydrogenotrophica'!$D$45)/('CalibrationB. hydrogenotrophica'!$D$44))+$B$24</f>
        <v>8.9290199498875413</v>
      </c>
      <c r="L12" s="98">
        <f>((I12-'CalibrationB. hydrogenotrophica'!$D$45)/('CalibrationB. hydrogenotrophica'!$D$44))+$B$24</f>
        <v>8.939109634343021</v>
      </c>
      <c r="M12" s="98">
        <f>((J12-'CalibrationB. hydrogenotrophica'!$D$45)/('CalibrationB. hydrogenotrophica'!$D$44))+$B$24</f>
        <v>8.9146802912518623</v>
      </c>
      <c r="N12" s="109">
        <f t="shared" si="4"/>
        <v>8.9276032918274755</v>
      </c>
      <c r="O12" s="109">
        <f t="shared" si="5"/>
        <v>1.2276130946301787E-2</v>
      </c>
      <c r="P12" s="110">
        <f>(AVERAGE(POWER(10,K12),POWER(10,L12),POWER(10,M12)))*Calculation!$I12/Calculation!$K11</f>
        <v>848858372.95896399</v>
      </c>
      <c r="Q12" s="110">
        <f>(STDEV(POWER(10,K12),POWER(10,L12),POWER(10,M12)))*Calculation!$I12/Calculation!$K11</f>
        <v>23934175.009545524</v>
      </c>
      <c r="R12" s="109">
        <f t="shared" si="6"/>
        <v>8.9288352368008006</v>
      </c>
      <c r="S12" s="109">
        <f>O12*Calculation!$I12/Calculation!$K11</f>
        <v>1.2307730611272851E-2</v>
      </c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>
      <c r="A13" s="62">
        <v>9</v>
      </c>
      <c r="B13" s="63">
        <v>80</v>
      </c>
      <c r="C13" s="63">
        <v>760</v>
      </c>
      <c r="D13" s="13">
        <f>C13/60</f>
        <v>12.666666666666666</v>
      </c>
      <c r="E13" s="123">
        <v>18.963184356689453</v>
      </c>
      <c r="F13" s="123">
        <v>18.517084121704102</v>
      </c>
      <c r="G13" s="124">
        <v>18.673904418945312</v>
      </c>
      <c r="H13" s="125">
        <f t="shared" si="1"/>
        <v>19.055794561011162</v>
      </c>
      <c r="I13" s="125">
        <f t="shared" si="2"/>
        <v>18.60969432602581</v>
      </c>
      <c r="J13" s="125">
        <f t="shared" si="3"/>
        <v>18.766514623267021</v>
      </c>
      <c r="K13" s="98">
        <f>((H13-'CalibrationB. hydrogenotrophica'!$D$45)/('CalibrationB. hydrogenotrophica'!$D$44))+$B$24</f>
        <v>8.9371484020236167</v>
      </c>
      <c r="L13" s="98">
        <f>((I13-'CalibrationB. hydrogenotrophica'!$D$45)/('CalibrationB. hydrogenotrophica'!$D$44))+$B$24</f>
        <v>9.0489725904740599</v>
      </c>
      <c r="M13" s="98">
        <f>((J13-'CalibrationB. hydrogenotrophica'!$D$45)/('CalibrationB. hydrogenotrophica'!$D$44))+$B$24</f>
        <v>9.0096623613007178</v>
      </c>
      <c r="N13" s="109">
        <f t="shared" si="4"/>
        <v>8.9985944512661309</v>
      </c>
      <c r="O13" s="109">
        <f t="shared" si="5"/>
        <v>5.6727737968742684E-2</v>
      </c>
      <c r="P13" s="110">
        <f>(AVERAGE(POWER(10,K13),POWER(10,L13),POWER(10,M13)))*Calculation!$I13/Calculation!$K12</f>
        <v>1005874971.2004572</v>
      </c>
      <c r="Q13" s="110">
        <f>(STDEV(POWER(10,K13),POWER(10,L13),POWER(10,M13)))*Calculation!$I13/Calculation!$K12</f>
        <v>128688925.94720073</v>
      </c>
      <c r="R13" s="109">
        <f t="shared" si="6"/>
        <v>9.0025440019005813</v>
      </c>
      <c r="S13" s="109">
        <f>O13*Calculation!$I13/Calculation!$K12</f>
        <v>5.6925746326193689E-2</v>
      </c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>
      <c r="A14" s="62">
        <v>10</v>
      </c>
      <c r="B14" s="63">
        <v>80</v>
      </c>
      <c r="C14" s="63">
        <v>840</v>
      </c>
      <c r="D14" s="13">
        <f t="shared" si="0"/>
        <v>14</v>
      </c>
      <c r="E14" s="123">
        <v>17.999599456787109</v>
      </c>
      <c r="F14" s="123">
        <v>18.483037948608398</v>
      </c>
      <c r="G14" s="124">
        <v>18.406293869018555</v>
      </c>
      <c r="H14" s="125">
        <f t="shared" si="1"/>
        <v>18.092209661108818</v>
      </c>
      <c r="I14" s="125">
        <f t="shared" si="2"/>
        <v>18.575648152930107</v>
      </c>
      <c r="J14" s="125">
        <f t="shared" si="3"/>
        <v>18.498904073340263</v>
      </c>
      <c r="K14" s="98">
        <f>((H14-'CalibrationB. hydrogenotrophica'!$D$45)/('CalibrationB. hydrogenotrophica'!$D$44))+$B$24</f>
        <v>9.1786907527874959</v>
      </c>
      <c r="L14" s="98">
        <f>((I14-'CalibrationB. hydrogenotrophica'!$D$45)/('CalibrationB. hydrogenotrophica'!$D$44))+$B$24</f>
        <v>9.0575069631950136</v>
      </c>
      <c r="M14" s="98">
        <f>((J14-'CalibrationB. hydrogenotrophica'!$D$45)/('CalibrationB. hydrogenotrophica'!$D$44))+$B$24</f>
        <v>9.0767444433518936</v>
      </c>
      <c r="N14" s="109">
        <f t="shared" si="4"/>
        <v>9.1043140531114677</v>
      </c>
      <c r="O14" s="109">
        <f t="shared" si="5"/>
        <v>6.512634069038549E-2</v>
      </c>
      <c r="P14" s="110">
        <f>(AVERAGE(POWER(10,K14),POWER(10,L14),POWER(10,M14)))*Calculation!$I14/Calculation!$K13</f>
        <v>1286979638.4269152</v>
      </c>
      <c r="Q14" s="110">
        <f>(STDEV(POWER(10,K14),POWER(10,L14),POWER(10,M14)))*Calculation!$I14/Calculation!$K13</f>
        <v>199776787.67012739</v>
      </c>
      <c r="R14" s="109">
        <f t="shared" si="6"/>
        <v>9.1095716758952285</v>
      </c>
      <c r="S14" s="109">
        <f>O14*Calculation!$I14/Calculation!$K13</f>
        <v>6.5415493787693832E-2</v>
      </c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>
      <c r="A15" s="62">
        <v>11</v>
      </c>
      <c r="B15" s="63">
        <v>80</v>
      </c>
      <c r="C15" s="63">
        <v>920</v>
      </c>
      <c r="D15" s="13">
        <f t="shared" si="0"/>
        <v>15.333333333333334</v>
      </c>
      <c r="E15" s="123">
        <v>18.425031661987305</v>
      </c>
      <c r="F15" s="123">
        <v>18.442367553710938</v>
      </c>
      <c r="G15" s="124">
        <v>18.524757385253906</v>
      </c>
      <c r="H15" s="125">
        <f t="shared" si="1"/>
        <v>18.517641866309013</v>
      </c>
      <c r="I15" s="125">
        <f t="shared" si="2"/>
        <v>18.534977758032646</v>
      </c>
      <c r="J15" s="125">
        <f t="shared" si="3"/>
        <v>18.617367589575615</v>
      </c>
      <c r="K15" s="98">
        <f>((H15-'CalibrationB. hydrogenotrophica'!$D$45)/('CalibrationB. hydrogenotrophica'!$D$44))+$B$24</f>
        <v>9.0720474306005965</v>
      </c>
      <c r="L15" s="98">
        <f>((I15-'CalibrationB. hydrogenotrophica'!$D$45)/('CalibrationB. hydrogenotrophica'!$D$44))+$B$24</f>
        <v>9.067701833196633</v>
      </c>
      <c r="M15" s="98">
        <f>((J15-'CalibrationB. hydrogenotrophica'!$D$45)/('CalibrationB. hydrogenotrophica'!$D$44))+$B$24</f>
        <v>9.0470491293280428</v>
      </c>
      <c r="N15" s="109">
        <f t="shared" si="4"/>
        <v>9.062266131041758</v>
      </c>
      <c r="O15" s="109">
        <f t="shared" si="5"/>
        <v>1.3356231132536176E-2</v>
      </c>
      <c r="P15" s="110">
        <f>(AVERAGE(POWER(10,K15),POWER(10,L15),POWER(10,M15)))*Calculation!$I15/Calculation!$K14</f>
        <v>1159648234.8403687</v>
      </c>
      <c r="Q15" s="110">
        <f>(STDEV(POWER(10,K15),POWER(10,L15),POWER(10,M15)))*Calculation!$I15/Calculation!$K14</f>
        <v>35379131.70318722</v>
      </c>
      <c r="R15" s="109">
        <f t="shared" si="6"/>
        <v>9.0643262712650046</v>
      </c>
      <c r="S15" s="109">
        <f>O15*Calculation!$I15/Calculation!$K14</f>
        <v>1.3415531187773413E-2</v>
      </c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>
      <c r="A16" s="62">
        <v>12</v>
      </c>
      <c r="B16" s="63">
        <v>80</v>
      </c>
      <c r="C16" s="63">
        <v>1000</v>
      </c>
      <c r="D16" s="13">
        <f t="shared" si="0"/>
        <v>16.666666666666668</v>
      </c>
      <c r="E16" s="123">
        <v>18.392755508422852</v>
      </c>
      <c r="F16" s="123">
        <v>18.386177062988281</v>
      </c>
      <c r="G16" s="124">
        <v>18.213481903076172</v>
      </c>
      <c r="H16" s="125">
        <f t="shared" si="1"/>
        <v>18.48536571274456</v>
      </c>
      <c r="I16" s="125">
        <f t="shared" si="2"/>
        <v>18.47878726730999</v>
      </c>
      <c r="J16" s="125">
        <f t="shared" si="3"/>
        <v>18.30609210739788</v>
      </c>
      <c r="K16" s="98">
        <f>((H16-'CalibrationB. hydrogenotrophica'!$D$45)/('CalibrationB. hydrogenotrophica'!$D$44))+$B$24</f>
        <v>9.0801381115632864</v>
      </c>
      <c r="L16" s="98">
        <f>((I16-'CalibrationB. hydrogenotrophica'!$D$45)/('CalibrationB. hydrogenotrophica'!$D$44))+$B$24</f>
        <v>9.0817871340570999</v>
      </c>
      <c r="M16" s="98">
        <f>((J16-'CalibrationB. hydrogenotrophica'!$D$45)/('CalibrationB. hydrogenotrophica'!$D$44))+$B$24</f>
        <v>9.1250767236873873</v>
      </c>
      <c r="N16" s="109">
        <f t="shared" si="4"/>
        <v>9.0956673231025906</v>
      </c>
      <c r="O16" s="109">
        <f t="shared" si="5"/>
        <v>2.5482630375689815E-2</v>
      </c>
      <c r="P16" s="110">
        <f>(AVERAGE(POWER(10,K16),POWER(10,L16),POWER(10,M16)))*Calculation!$I16/Calculation!$K15</f>
        <v>1254709213.2135854</v>
      </c>
      <c r="Q16" s="110">
        <f>(STDEV(POWER(10,K16),POWER(10,L16),POWER(10,M16)))*Calculation!$I16/Calculation!$K15</f>
        <v>74818459.715440497</v>
      </c>
      <c r="R16" s="109">
        <f t="shared" si="6"/>
        <v>9.0985430869887409</v>
      </c>
      <c r="S16" s="109">
        <f>O16*Calculation!$I16/Calculation!$K15</f>
        <v>2.562218480442403E-2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>
      <c r="A17" s="62">
        <v>13</v>
      </c>
      <c r="B17" s="63">
        <v>80</v>
      </c>
      <c r="C17" s="63">
        <v>1080</v>
      </c>
      <c r="D17" s="13">
        <f t="shared" si="0"/>
        <v>18</v>
      </c>
      <c r="E17" s="123">
        <v>18.758638381958008</v>
      </c>
      <c r="F17" s="123">
        <v>18.12348747253418</v>
      </c>
      <c r="G17" s="124">
        <v>18.327823638916016</v>
      </c>
      <c r="H17" s="125">
        <f t="shared" si="1"/>
        <v>18.851248586279716</v>
      </c>
      <c r="I17" s="125">
        <f t="shared" si="2"/>
        <v>18.216097676855888</v>
      </c>
      <c r="J17" s="125">
        <f t="shared" si="3"/>
        <v>18.420433843237724</v>
      </c>
      <c r="K17" s="98">
        <f>((H17-'CalibrationB. hydrogenotrophica'!$D$45)/('CalibrationB. hydrogenotrophica'!$D$44))+$B$24</f>
        <v>8.9884220527220968</v>
      </c>
      <c r="L17" s="98">
        <f>((I17-'CalibrationB. hydrogenotrophica'!$D$45)/('CalibrationB. hydrogenotrophica'!$D$44))+$B$24</f>
        <v>9.1476356765217179</v>
      </c>
      <c r="M17" s="98">
        <f>((J17-'CalibrationB. hydrogenotrophica'!$D$45)/('CalibrationB. hydrogenotrophica'!$D$44))+$B$24</f>
        <v>9.0964146185963077</v>
      </c>
      <c r="N17" s="109">
        <f t="shared" si="4"/>
        <v>9.0774907826133742</v>
      </c>
      <c r="O17" s="109">
        <f t="shared" si="5"/>
        <v>8.1276246081395442E-2</v>
      </c>
      <c r="P17" s="110">
        <f>(AVERAGE(POWER(10,K17),POWER(10,L17),POWER(10,M17)))*Calculation!$I17/Calculation!$K16</f>
        <v>1215666770.7186763</v>
      </c>
      <c r="Q17" s="110">
        <f>(STDEV(POWER(10,K17),POWER(10,L17),POWER(10,M17)))*Calculation!$I17/Calculation!$K16</f>
        <v>219484272.30549061</v>
      </c>
      <c r="R17" s="109">
        <f t="shared" si="6"/>
        <v>9.0848145457664895</v>
      </c>
      <c r="S17" s="109">
        <f>O17*Calculation!$I17/Calculation!$K16</f>
        <v>8.1721351626793573E-2</v>
      </c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>
      <c r="A18" s="62">
        <v>14</v>
      </c>
      <c r="B18" s="63">
        <v>80</v>
      </c>
      <c r="C18" s="63">
        <v>1160</v>
      </c>
      <c r="D18" s="13">
        <f t="shared" si="0"/>
        <v>19.333333333333332</v>
      </c>
      <c r="E18" s="123">
        <v>18.532747268676758</v>
      </c>
      <c r="F18" s="123">
        <v>18.254539489746094</v>
      </c>
      <c r="G18" s="124">
        <v>18.333003997802734</v>
      </c>
      <c r="H18" s="125">
        <f t="shared" si="1"/>
        <v>18.625357472998466</v>
      </c>
      <c r="I18" s="125">
        <f t="shared" si="2"/>
        <v>18.347149694067802</v>
      </c>
      <c r="J18" s="125">
        <f t="shared" si="3"/>
        <v>18.425614202124443</v>
      </c>
      <c r="K18" s="98">
        <f>((H18-'CalibrationB. hydrogenotrophica'!$D$45)/('CalibrationB. hydrogenotrophica'!$D$44))+$B$24</f>
        <v>9.0450463009063018</v>
      </c>
      <c r="L18" s="98">
        <f>((I18-'CalibrationB. hydrogenotrophica'!$D$45)/('CalibrationB. hydrogenotrophica'!$D$44))+$B$24</f>
        <v>9.1147847961136481</v>
      </c>
      <c r="M18" s="98">
        <f>((J18-'CalibrationB. hydrogenotrophica'!$D$45)/('CalibrationB. hydrogenotrophica'!$D$44))+$B$24</f>
        <v>9.0951160552175896</v>
      </c>
      <c r="N18" s="109">
        <f t="shared" si="4"/>
        <v>9.084982384079181</v>
      </c>
      <c r="O18" s="109">
        <f t="shared" si="5"/>
        <v>3.5956680832667877E-2</v>
      </c>
      <c r="P18" s="110">
        <f>(AVERAGE(POWER(10,K18),POWER(10,L18),POWER(10,M18)))*Calculation!$I18/Calculation!$K17</f>
        <v>1225562339.358809</v>
      </c>
      <c r="Q18" s="110">
        <f>(STDEV(POWER(10,K18),POWER(10,L18),POWER(10,M18)))*Calculation!$I18/Calculation!$K17</f>
        <v>99738599.70272848</v>
      </c>
      <c r="R18" s="109">
        <f t="shared" si="6"/>
        <v>9.0883354069393505</v>
      </c>
      <c r="S18" s="109">
        <f>O18*Calculation!$I18/Calculation!$K17</f>
        <v>3.6153595906928362E-2</v>
      </c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>
      <c r="A19" s="62">
        <v>15</v>
      </c>
      <c r="B19" s="63">
        <v>290</v>
      </c>
      <c r="C19" s="63">
        <v>1450</v>
      </c>
      <c r="D19" s="13">
        <f t="shared" si="0"/>
        <v>24.166666666666668</v>
      </c>
      <c r="E19" s="123">
        <v>17.951425552368164</v>
      </c>
      <c r="F19" s="123">
        <v>18.240224838256836</v>
      </c>
      <c r="G19" s="124">
        <v>18.120779037475586</v>
      </c>
      <c r="H19" s="125">
        <f t="shared" si="1"/>
        <v>18.044035756689873</v>
      </c>
      <c r="I19" s="125">
        <f t="shared" si="2"/>
        <v>18.332835042578544</v>
      </c>
      <c r="J19" s="125">
        <f t="shared" si="3"/>
        <v>18.213389241797294</v>
      </c>
      <c r="K19" s="98">
        <f>((H19-'CalibrationB. hydrogenotrophica'!$D$45)/('CalibrationB. hydrogenotrophica'!$D$44))+$B$24</f>
        <v>9.1907665316005573</v>
      </c>
      <c r="L19" s="98">
        <f>((I19-'CalibrationB. hydrogenotrophica'!$D$45)/('CalibrationB. hydrogenotrophica'!$D$44))+$B$24</f>
        <v>9.1183730575853978</v>
      </c>
      <c r="M19" s="98">
        <f>((J19-'CalibrationB. hydrogenotrophica'!$D$45)/('CalibrationB. hydrogenotrophica'!$D$44))+$B$24</f>
        <v>9.1483146014104424</v>
      </c>
      <c r="N19" s="109">
        <f t="shared" si="4"/>
        <v>9.1524847301987986</v>
      </c>
      <c r="O19" s="109">
        <f t="shared" si="5"/>
        <v>3.6376451869025175E-2</v>
      </c>
      <c r="P19" s="110">
        <f>(AVERAGE(POWER(10,K19),POWER(10,L19),POWER(10,M19)))*Calculation!$I19/Calculation!$K18</f>
        <v>1442269836.5240467</v>
      </c>
      <c r="Q19" s="110">
        <f>(STDEV(POWER(10,K19),POWER(10,L19),POWER(10,M19)))*Calculation!$I19/Calculation!$K18</f>
        <v>121551291.65163305</v>
      </c>
      <c r="R19" s="109">
        <f t="shared" si="6"/>
        <v>9.1590465208204659</v>
      </c>
      <c r="S19" s="109">
        <f>O19*Calculation!$I19/Calculation!$K18</f>
        <v>3.6843619395258098E-2</v>
      </c>
      <c r="T19" s="86"/>
      <c r="U19" s="86"/>
      <c r="V19" s="86"/>
      <c r="W19" s="86"/>
      <c r="X19" s="86"/>
      <c r="Y19" s="86"/>
      <c r="Z19" s="86"/>
      <c r="AA19" s="86"/>
      <c r="AB19" s="86"/>
      <c r="AC19" s="86"/>
    </row>
    <row r="20" spans="1:29">
      <c r="A20" s="62">
        <v>16</v>
      </c>
      <c r="B20" s="63">
        <v>360</v>
      </c>
      <c r="C20" s="63">
        <v>1810</v>
      </c>
      <c r="D20" s="13">
        <f>C20/60</f>
        <v>30.166666666666668</v>
      </c>
      <c r="E20" s="123">
        <v>17.487855911254883</v>
      </c>
      <c r="F20" s="123">
        <v>17.096946716308594</v>
      </c>
      <c r="G20" s="124">
        <v>17.190771102905273</v>
      </c>
      <c r="H20" s="125">
        <f t="shared" si="1"/>
        <v>17.580466115576591</v>
      </c>
      <c r="I20" s="125">
        <f t="shared" si="2"/>
        <v>17.189556920630302</v>
      </c>
      <c r="J20" s="125">
        <f t="shared" si="3"/>
        <v>17.283381307226982</v>
      </c>
      <c r="K20" s="98">
        <f>((H20-'CalibrationB. hydrogenotrophica'!$D$45)/('CalibrationB. hydrogenotrophica'!$D$44))+$B$24</f>
        <v>9.3069697855832807</v>
      </c>
      <c r="L20" s="98">
        <f>((I20-'CalibrationB. hydrogenotrophica'!$D$45)/('CalibrationB. hydrogenotrophica'!$D$44))+$B$24</f>
        <v>9.4049592060195213</v>
      </c>
      <c r="M20" s="98">
        <f>((J20-'CalibrationB. hydrogenotrophica'!$D$45)/('CalibrationB. hydrogenotrophica'!$D$44))+$B$24</f>
        <v>9.3814401960185982</v>
      </c>
      <c r="N20" s="109">
        <f t="shared" si="4"/>
        <v>9.3644563958738001</v>
      </c>
      <c r="O20" s="109">
        <f t="shared" si="5"/>
        <v>5.1154850501945716E-2</v>
      </c>
      <c r="P20" s="110">
        <f>(AVERAGE(POWER(10,K20),POWER(10,L20),POWER(10,M20)))*Calculation!$I20/Calculation!$K19</f>
        <v>2430848947.4242234</v>
      </c>
      <c r="Q20" s="110">
        <f>(STDEV(POWER(10,K20),POWER(10,L20),POWER(10,M20)))*Calculation!$I20/Calculation!$K19</f>
        <v>278305443.40143466</v>
      </c>
      <c r="R20" s="109">
        <f t="shared" si="6"/>
        <v>9.385757972690179</v>
      </c>
      <c r="S20" s="109">
        <f>O20*Calculation!$I20/Calculation!$K19</f>
        <v>5.3483159544047428E-2</v>
      </c>
      <c r="T20" s="86"/>
      <c r="U20" s="86"/>
      <c r="V20" s="86"/>
      <c r="W20" s="86"/>
      <c r="X20" s="86"/>
      <c r="Y20" s="86"/>
      <c r="Z20" s="86"/>
      <c r="AA20" s="86"/>
      <c r="AB20" s="86"/>
      <c r="AC20" s="86"/>
    </row>
    <row r="21" spans="1:29">
      <c r="A21" s="62">
        <v>17</v>
      </c>
      <c r="B21" s="63">
        <v>1080</v>
      </c>
      <c r="C21" s="63">
        <v>2890</v>
      </c>
      <c r="D21" s="13">
        <f t="shared" si="0"/>
        <v>48.166666666666664</v>
      </c>
      <c r="E21" s="123">
        <v>16.462495803833008</v>
      </c>
      <c r="F21" s="123">
        <v>16.154262542724609</v>
      </c>
      <c r="G21" s="124">
        <v>16.294000625610352</v>
      </c>
      <c r="H21" s="125">
        <f t="shared" si="1"/>
        <v>16.555106008154716</v>
      </c>
      <c r="I21" s="125">
        <f t="shared" si="2"/>
        <v>16.246872747046318</v>
      </c>
      <c r="J21" s="125">
        <f t="shared" si="3"/>
        <v>16.38661082993206</v>
      </c>
      <c r="K21" s="98">
        <f>((H21-'CalibrationB. hydrogenotrophica'!$D$45)/('CalibrationB. hydrogenotrophica'!$D$44))+$B$24</f>
        <v>9.5639973612035334</v>
      </c>
      <c r="L21" s="98">
        <f>((I21-'CalibrationB. hydrogenotrophica'!$D$45)/('CalibrationB. hydrogenotrophica'!$D$44))+$B$24</f>
        <v>9.6412623603533589</v>
      </c>
      <c r="M21" s="98">
        <f>((J21-'CalibrationB. hydrogenotrophica'!$D$45)/('CalibrationB. hydrogenotrophica'!$D$44))+$B$24</f>
        <v>9.6062341391401791</v>
      </c>
      <c r="N21" s="109">
        <f t="shared" si="4"/>
        <v>9.6038312868990232</v>
      </c>
      <c r="O21" s="109">
        <f t="shared" si="5"/>
        <v>3.8688503428993659E-2</v>
      </c>
      <c r="P21" s="110">
        <f>(AVERAGE(POWER(10,K21),POWER(10,L21),POWER(10,M21)))*Calculation!$I21/Calculation!$K20</f>
        <v>4210236003.9178524</v>
      </c>
      <c r="Q21" s="110">
        <f>(STDEV(POWER(10,K21),POWER(10,L21),POWER(10,M21)))*Calculation!$I21/Calculation!$K20</f>
        <v>373143365.21100426</v>
      </c>
      <c r="R21" s="109">
        <f t="shared" si="6"/>
        <v>9.6243064408063344</v>
      </c>
      <c r="S21" s="109">
        <f>O21*Calculation!$I21/Calculation!$K20</f>
        <v>4.0449407653622031E-2</v>
      </c>
      <c r="T21" s="86"/>
      <c r="U21" s="86"/>
      <c r="V21" s="86"/>
      <c r="W21" s="86"/>
      <c r="X21" s="86"/>
      <c r="Y21" s="86"/>
      <c r="Z21" s="86"/>
      <c r="AA21" s="86"/>
      <c r="AB21" s="86"/>
      <c r="AC21" s="86"/>
    </row>
    <row r="22" spans="1:29">
      <c r="A22" s="112"/>
      <c r="B22" s="113"/>
      <c r="C22" s="112"/>
      <c r="D22" s="113"/>
      <c r="E22" s="114"/>
      <c r="F22" s="114"/>
      <c r="G22" s="115"/>
      <c r="H22" s="111"/>
      <c r="I22" s="111"/>
      <c r="J22" s="111"/>
      <c r="K22" s="115"/>
      <c r="L22" s="115"/>
      <c r="M22" s="115"/>
      <c r="N22" s="116"/>
      <c r="O22" s="116"/>
      <c r="P22" s="117"/>
      <c r="Q22" s="117"/>
      <c r="R22" s="116"/>
      <c r="S22" s="116"/>
      <c r="U22" s="86"/>
      <c r="V22" s="86"/>
      <c r="W22" s="86"/>
      <c r="X22" s="86"/>
      <c r="Y22" s="86"/>
      <c r="Z22" s="86"/>
      <c r="AA22" s="86"/>
      <c r="AB22" s="86"/>
      <c r="AC22" s="86"/>
    </row>
    <row r="23" spans="1:29">
      <c r="A23" s="112"/>
      <c r="B23" s="113"/>
      <c r="C23" s="112"/>
      <c r="D23" s="113"/>
      <c r="E23" s="114"/>
      <c r="F23" s="114"/>
      <c r="G23" s="115"/>
      <c r="H23" s="111"/>
      <c r="I23" s="111"/>
      <c r="J23" s="111"/>
      <c r="K23" s="115"/>
      <c r="L23" s="115"/>
      <c r="M23" s="115"/>
      <c r="N23" s="116"/>
      <c r="O23" s="116"/>
      <c r="P23" s="117"/>
      <c r="Q23" s="117"/>
      <c r="R23" s="116"/>
      <c r="S23" s="116"/>
      <c r="U23" s="86"/>
      <c r="V23" s="86"/>
      <c r="W23" s="86"/>
      <c r="X23" s="86"/>
      <c r="Y23" s="86"/>
      <c r="Z23" s="86"/>
      <c r="AA23" s="86"/>
      <c r="AB23" s="86"/>
      <c r="AC23" s="86"/>
    </row>
    <row r="24" spans="1:29">
      <c r="A24" s="101" t="s">
        <v>234</v>
      </c>
      <c r="B24" s="105">
        <f>LOG(B25)</f>
        <v>3.6532125137753435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U24" s="86"/>
      <c r="V24" s="86"/>
      <c r="W24" s="86"/>
      <c r="X24" s="86"/>
      <c r="Y24" s="86"/>
      <c r="Z24" s="86"/>
      <c r="AA24" s="86"/>
      <c r="AB24" s="86"/>
      <c r="AC24" s="86"/>
    </row>
    <row r="25" spans="1:29">
      <c r="A25" s="100" t="s">
        <v>238</v>
      </c>
      <c r="B25" s="86">
        <f>20*1800/4/2</f>
        <v>4500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U25" s="86"/>
      <c r="V25" s="86"/>
      <c r="W25" s="86"/>
      <c r="X25" s="86"/>
      <c r="Y25" s="86"/>
      <c r="Z25" s="86"/>
      <c r="AA25" s="86"/>
      <c r="AB25" s="86"/>
      <c r="AC25" s="86"/>
    </row>
    <row r="26" spans="1:29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U26" s="86"/>
      <c r="V26" s="86"/>
      <c r="W26" s="86"/>
      <c r="X26" s="86"/>
      <c r="Y26" s="86"/>
      <c r="Z26" s="86"/>
      <c r="AA26" s="86"/>
      <c r="AB26" s="86"/>
      <c r="AC26" s="86"/>
    </row>
    <row r="27" spans="1:29">
      <c r="A27" s="107" t="s">
        <v>240</v>
      </c>
      <c r="E27" s="97">
        <v>11.064262390136719</v>
      </c>
      <c r="F27" s="97">
        <v>11.419097900390625</v>
      </c>
      <c r="G27" s="97"/>
      <c r="H27" s="104">
        <f>AVERAGE(E27:G27)</f>
        <v>11.241680145263672</v>
      </c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</row>
    <row r="28" spans="1:29">
      <c r="A28" s="107" t="s">
        <v>242</v>
      </c>
      <c r="E28" s="106">
        <v>10.746070861816406</v>
      </c>
      <c r="F28" s="104">
        <v>10.822755813598633</v>
      </c>
      <c r="G28" s="104">
        <v>10.731834411621094</v>
      </c>
      <c r="H28" s="104">
        <f t="shared" ref="H28:H63" si="7">AVERAGE(E28:G28)</f>
        <v>10.766887029012045</v>
      </c>
    </row>
    <row r="29" spans="1:29">
      <c r="A29" s="107" t="s">
        <v>243</v>
      </c>
      <c r="E29" s="106">
        <v>11.464282989501953</v>
      </c>
      <c r="F29" s="104">
        <v>11.464282989501953</v>
      </c>
      <c r="G29" s="104">
        <v>11.464282989501953</v>
      </c>
      <c r="H29" s="104">
        <f t="shared" si="7"/>
        <v>11.464282989501953</v>
      </c>
    </row>
    <row r="30" spans="1:29">
      <c r="A30" s="107" t="s">
        <v>244</v>
      </c>
      <c r="E30" s="106">
        <v>11.279656410217285</v>
      </c>
      <c r="F30" s="104">
        <v>11.587799072265625</v>
      </c>
      <c r="G30" s="104">
        <v>11.689614295959473</v>
      </c>
      <c r="H30" s="104">
        <f t="shared" si="7"/>
        <v>11.519023259480795</v>
      </c>
    </row>
    <row r="31" spans="1:29">
      <c r="A31" s="107" t="s">
        <v>245</v>
      </c>
      <c r="E31" s="106">
        <v>11.480988502502441</v>
      </c>
      <c r="F31" s="104">
        <v>11.470051765441895</v>
      </c>
      <c r="G31" s="104">
        <v>11.500860214233398</v>
      </c>
      <c r="H31" s="104">
        <f t="shared" si="7"/>
        <v>11.483966827392578</v>
      </c>
    </row>
    <row r="32" spans="1:29">
      <c r="A32" s="107" t="s">
        <v>246</v>
      </c>
      <c r="E32" s="106">
        <v>11.4913330078125</v>
      </c>
      <c r="F32" s="104">
        <v>11.453336715698242</v>
      </c>
      <c r="G32" s="104">
        <v>11.486644744873047</v>
      </c>
      <c r="H32" s="104">
        <f t="shared" si="7"/>
        <v>11.477104822794596</v>
      </c>
    </row>
    <row r="33" spans="1:8">
      <c r="A33" s="107" t="s">
        <v>247</v>
      </c>
      <c r="E33" s="106">
        <v>11.603283882141113</v>
      </c>
      <c r="F33" s="104">
        <v>11.571865081787109</v>
      </c>
      <c r="G33" s="104">
        <v>11.644859313964844</v>
      </c>
      <c r="H33" s="104">
        <f t="shared" si="7"/>
        <v>11.606669425964355</v>
      </c>
    </row>
    <row r="34" spans="1:8">
      <c r="A34" s="107" t="s">
        <v>248</v>
      </c>
      <c r="E34" s="106">
        <v>11.201085090637207</v>
      </c>
      <c r="F34" s="104">
        <v>11.201085090637207</v>
      </c>
      <c r="G34" s="104">
        <v>11.201085090637207</v>
      </c>
      <c r="H34" s="104">
        <f t="shared" si="7"/>
        <v>11.201085090637207</v>
      </c>
    </row>
    <row r="35" spans="1:8">
      <c r="A35" s="107" t="s">
        <v>249</v>
      </c>
      <c r="E35" s="106">
        <v>10.40058422088623</v>
      </c>
      <c r="F35" s="104">
        <v>11.156428337097168</v>
      </c>
      <c r="G35" s="104">
        <v>11.374870300292969</v>
      </c>
      <c r="H35" s="104">
        <f t="shared" si="7"/>
        <v>10.977294286092123</v>
      </c>
    </row>
    <row r="36" spans="1:8">
      <c r="A36" s="107" t="s">
        <v>249</v>
      </c>
      <c r="E36" s="106">
        <v>11.333348274230957</v>
      </c>
      <c r="F36" s="104">
        <v>11.546666145324707</v>
      </c>
      <c r="G36" s="104">
        <v>11.621123313903809</v>
      </c>
      <c r="H36" s="104">
        <f t="shared" si="7"/>
        <v>11.50037924448649</v>
      </c>
    </row>
    <row r="37" spans="1:8">
      <c r="A37" s="107" t="s">
        <v>250</v>
      </c>
      <c r="E37" s="106">
        <v>11.689837455749512</v>
      </c>
      <c r="F37" s="104">
        <v>11.664087295532227</v>
      </c>
      <c r="G37" s="104">
        <v>11.717653274536133</v>
      </c>
      <c r="H37" s="104">
        <f t="shared" si="7"/>
        <v>11.690526008605957</v>
      </c>
    </row>
    <row r="38" spans="1:8">
      <c r="A38" s="107" t="s">
        <v>250</v>
      </c>
      <c r="E38" s="106">
        <v>11.29168701171875</v>
      </c>
      <c r="F38" s="104">
        <v>11.470722198486328</v>
      </c>
      <c r="G38" s="104">
        <v>10.995722770690918</v>
      </c>
      <c r="H38" s="104">
        <f t="shared" si="7"/>
        <v>11.252710660298666</v>
      </c>
    </row>
    <row r="39" spans="1:8">
      <c r="A39" s="107" t="s">
        <v>251</v>
      </c>
      <c r="E39" s="106">
        <v>11.183300018310547</v>
      </c>
      <c r="F39" s="104">
        <v>11.342129707336426</v>
      </c>
      <c r="G39" s="104">
        <v>11.389498710632324</v>
      </c>
      <c r="H39" s="104">
        <f t="shared" si="7"/>
        <v>11.304976145426432</v>
      </c>
    </row>
    <row r="40" spans="1:8">
      <c r="A40" s="107" t="s">
        <v>252</v>
      </c>
      <c r="E40" s="106">
        <v>11.500882148742676</v>
      </c>
      <c r="F40" s="104">
        <v>11.500882148742676</v>
      </c>
      <c r="G40" s="104">
        <v>11.500882148742676</v>
      </c>
      <c r="H40" s="104">
        <f t="shared" si="7"/>
        <v>11.500882148742676</v>
      </c>
    </row>
    <row r="41" spans="1:8">
      <c r="A41" s="107" t="s">
        <v>253</v>
      </c>
      <c r="E41" s="106">
        <v>11.322457313537598</v>
      </c>
      <c r="F41" s="104">
        <v>11.33414363861084</v>
      </c>
      <c r="G41" s="104">
        <v>11.329196929931641</v>
      </c>
      <c r="H41" s="104">
        <f t="shared" si="7"/>
        <v>11.328599294026693</v>
      </c>
    </row>
    <row r="42" spans="1:8">
      <c r="A42" s="107" t="s">
        <v>254</v>
      </c>
      <c r="E42" s="106">
        <v>11.317984580993652</v>
      </c>
      <c r="F42" s="104">
        <v>11.273995399475098</v>
      </c>
      <c r="G42" s="104">
        <v>11.386194229125977</v>
      </c>
      <c r="H42" s="104">
        <f t="shared" si="7"/>
        <v>11.326058069864908</v>
      </c>
    </row>
    <row r="43" spans="1:8">
      <c r="A43" s="107" t="s">
        <v>256</v>
      </c>
      <c r="E43" s="106">
        <v>11.148730278015137</v>
      </c>
      <c r="F43" s="104">
        <v>11.235733032226562</v>
      </c>
      <c r="G43" s="104">
        <v>11.234542846679688</v>
      </c>
      <c r="H43" s="104">
        <f t="shared" si="7"/>
        <v>11.206335385640463</v>
      </c>
    </row>
    <row r="44" spans="1:8">
      <c r="A44" s="107" t="s">
        <v>256</v>
      </c>
      <c r="E44" s="106">
        <v>11.324759483337402</v>
      </c>
      <c r="F44" s="104">
        <v>11.279741287231445</v>
      </c>
      <c r="G44" s="104">
        <v>11.352234840393066</v>
      </c>
      <c r="H44" s="104">
        <f t="shared" si="7"/>
        <v>11.318911870320639</v>
      </c>
    </row>
    <row r="45" spans="1:8">
      <c r="A45" s="107" t="s">
        <v>257</v>
      </c>
      <c r="E45" s="106">
        <v>11.3</v>
      </c>
      <c r="F45" s="104">
        <v>11.4</v>
      </c>
      <c r="G45" s="104">
        <v>11.3</v>
      </c>
      <c r="H45" s="104">
        <f t="shared" si="7"/>
        <v>11.333333333333334</v>
      </c>
    </row>
    <row r="46" spans="1:8">
      <c r="A46" s="107" t="s">
        <v>258</v>
      </c>
      <c r="E46" s="106">
        <v>11.137722969055176</v>
      </c>
      <c r="F46" s="104">
        <v>11.360322952270508</v>
      </c>
      <c r="G46" s="104">
        <v>11.248004913330078</v>
      </c>
      <c r="H46" s="104">
        <f t="shared" si="7"/>
        <v>11.24868361155192</v>
      </c>
    </row>
    <row r="47" spans="1:8">
      <c r="A47" s="107" t="s">
        <v>258</v>
      </c>
      <c r="E47" s="106">
        <v>11.365866661071777</v>
      </c>
      <c r="F47" s="104">
        <v>11.445242881774902</v>
      </c>
      <c r="G47" s="104">
        <v>11.431737899780273</v>
      </c>
      <c r="H47" s="104">
        <f t="shared" si="7"/>
        <v>11.41428248087565</v>
      </c>
    </row>
    <row r="48" spans="1:8">
      <c r="A48" s="58" t="s">
        <v>259</v>
      </c>
      <c r="E48" s="106">
        <v>11.350344657897949</v>
      </c>
      <c r="F48" s="104">
        <v>11.447367668151855</v>
      </c>
      <c r="G48" s="104">
        <v>11.305245399475098</v>
      </c>
      <c r="H48" s="104">
        <f t="shared" si="7"/>
        <v>11.367652575174967</v>
      </c>
    </row>
    <row r="49" spans="1:8">
      <c r="A49" s="58" t="s">
        <v>260</v>
      </c>
      <c r="E49" s="106">
        <v>11.382972717285156</v>
      </c>
      <c r="F49" s="104">
        <v>11.286684036254883</v>
      </c>
      <c r="G49" s="104">
        <v>11.278195381164551</v>
      </c>
      <c r="H49" s="104">
        <f t="shared" si="7"/>
        <v>11.315950711568197</v>
      </c>
    </row>
    <row r="50" spans="1:8">
      <c r="A50" s="58" t="s">
        <v>261</v>
      </c>
      <c r="E50" s="106">
        <v>11.351459503173828</v>
      </c>
      <c r="F50" s="104">
        <v>11.372493743896484</v>
      </c>
      <c r="G50" s="104">
        <v>11.26507568359375</v>
      </c>
      <c r="H50" s="104">
        <f t="shared" si="7"/>
        <v>11.329676310221354</v>
      </c>
    </row>
    <row r="51" spans="1:8">
      <c r="A51" s="58" t="s">
        <v>309</v>
      </c>
      <c r="E51" s="106">
        <v>10.961522102355957</v>
      </c>
      <c r="F51" s="104">
        <v>10.991280555725098</v>
      </c>
      <c r="G51" s="104">
        <v>10.988773345947266</v>
      </c>
      <c r="H51" s="104">
        <f t="shared" si="7"/>
        <v>10.980525334676107</v>
      </c>
    </row>
    <row r="52" spans="1:8">
      <c r="A52" s="58" t="s">
        <v>310</v>
      </c>
      <c r="E52" s="106">
        <v>11.455920219421387</v>
      </c>
      <c r="F52" s="104">
        <v>11.47702693939209</v>
      </c>
      <c r="G52" s="104">
        <v>11.41429615020752</v>
      </c>
      <c r="H52" s="104">
        <f t="shared" si="7"/>
        <v>11.449081103006998</v>
      </c>
    </row>
    <row r="53" spans="1:8">
      <c r="A53" s="58" t="s">
        <v>311</v>
      </c>
      <c r="E53" s="106">
        <v>11.481462478637695</v>
      </c>
      <c r="F53" s="104">
        <v>11.294193267822266</v>
      </c>
      <c r="G53" s="104">
        <v>11.30172061920166</v>
      </c>
      <c r="H53" s="104">
        <f t="shared" si="7"/>
        <v>11.359125455220541</v>
      </c>
    </row>
    <row r="54" spans="1:8">
      <c r="A54" s="58" t="s">
        <v>311</v>
      </c>
      <c r="E54" s="106">
        <v>11.333268165588301</v>
      </c>
      <c r="F54" s="104">
        <v>11.3499765396118</v>
      </c>
      <c r="G54" s="104">
        <v>11.688117980956999</v>
      </c>
      <c r="H54" s="104">
        <f t="shared" si="7"/>
        <v>11.4571208953857</v>
      </c>
    </row>
    <row r="55" spans="1:8">
      <c r="A55" s="58" t="s">
        <v>312</v>
      </c>
      <c r="E55" s="106">
        <v>11.225685119628906</v>
      </c>
      <c r="F55" s="104">
        <v>11.295048713684082</v>
      </c>
      <c r="G55" s="104">
        <v>11.326059341430664</v>
      </c>
      <c r="H55" s="104">
        <f t="shared" si="7"/>
        <v>11.282264391581217</v>
      </c>
    </row>
    <row r="56" spans="1:8">
      <c r="A56" s="58" t="s">
        <v>313</v>
      </c>
      <c r="E56" s="106">
        <v>11.361672401428223</v>
      </c>
      <c r="F56" s="104">
        <v>11.304685592651367</v>
      </c>
      <c r="G56" s="104">
        <v>11.405701637268066</v>
      </c>
      <c r="H56" s="104">
        <f t="shared" si="7"/>
        <v>11.357353210449219</v>
      </c>
    </row>
    <row r="57" spans="1:8">
      <c r="A57" s="58" t="s">
        <v>313</v>
      </c>
      <c r="E57" s="106">
        <v>10.911848068237305</v>
      </c>
      <c r="F57" s="104">
        <v>10.950149536132812</v>
      </c>
      <c r="G57" s="104">
        <v>10.982019424438477</v>
      </c>
      <c r="H57" s="104">
        <f t="shared" si="7"/>
        <v>10.948005676269531</v>
      </c>
    </row>
    <row r="58" spans="1:8">
      <c r="A58" s="58" t="s">
        <v>314</v>
      </c>
      <c r="B58" s="100"/>
      <c r="C58" s="86"/>
      <c r="D58" s="86"/>
      <c r="E58" s="106">
        <v>11.097690582275391</v>
      </c>
      <c r="F58" s="104">
        <v>11.199633598327637</v>
      </c>
      <c r="G58" s="104">
        <v>11.211821556091309</v>
      </c>
      <c r="H58" s="104">
        <f t="shared" si="7"/>
        <v>11.169715245564779</v>
      </c>
    </row>
    <row r="59" spans="1:8">
      <c r="A59" s="58" t="s">
        <v>315</v>
      </c>
      <c r="B59" s="100"/>
      <c r="C59" s="86"/>
      <c r="D59" s="86"/>
      <c r="E59" s="106">
        <v>11.383224487304688</v>
      </c>
      <c r="F59" s="104">
        <v>11.329494476318359</v>
      </c>
      <c r="G59" s="104">
        <v>11.243021011352539</v>
      </c>
      <c r="H59" s="104">
        <f t="shared" si="7"/>
        <v>11.318579991658529</v>
      </c>
    </row>
    <row r="60" spans="1:8">
      <c r="A60" s="58" t="s">
        <v>315</v>
      </c>
      <c r="B60" s="100"/>
      <c r="C60" s="86"/>
      <c r="D60" s="86"/>
      <c r="E60" s="106">
        <v>11.171065330505371</v>
      </c>
      <c r="F60" s="104">
        <v>11.234642028808594</v>
      </c>
      <c r="G60" s="104">
        <v>11.325413703918457</v>
      </c>
      <c r="H60" s="104">
        <f t="shared" si="7"/>
        <v>11.243707021077475</v>
      </c>
    </row>
    <row r="61" spans="1:8">
      <c r="A61" s="58" t="s">
        <v>316</v>
      </c>
      <c r="B61" s="134"/>
      <c r="C61" s="86"/>
      <c r="D61" s="86"/>
      <c r="E61" s="106">
        <v>11.431556701660156</v>
      </c>
      <c r="F61" s="104">
        <v>11.393752098083496</v>
      </c>
      <c r="G61" s="104">
        <v>11.470895767211914</v>
      </c>
      <c r="H61" s="104">
        <f t="shared" si="7"/>
        <v>11.432068188985189</v>
      </c>
    </row>
    <row r="62" spans="1:8">
      <c r="A62" s="58" t="s">
        <v>316</v>
      </c>
      <c r="B62" s="134"/>
      <c r="C62" s="86"/>
      <c r="D62" s="86"/>
      <c r="E62" s="106">
        <v>11.38902759552002</v>
      </c>
      <c r="F62" s="104">
        <v>11.318164825439453</v>
      </c>
      <c r="G62" s="104">
        <v>11.357851982116699</v>
      </c>
      <c r="H62" s="104">
        <f t="shared" si="7"/>
        <v>11.355014801025391</v>
      </c>
    </row>
    <row r="63" spans="1:8">
      <c r="A63" s="58" t="s">
        <v>317</v>
      </c>
      <c r="B63" s="134"/>
      <c r="C63" s="86"/>
      <c r="D63" s="86"/>
      <c r="E63" s="106">
        <v>10.827228546142578</v>
      </c>
      <c r="F63" s="104">
        <v>10.980537414550781</v>
      </c>
      <c r="G63" s="104">
        <v>10.733705520629883</v>
      </c>
      <c r="H63" s="104">
        <f t="shared" si="7"/>
        <v>10.84715716044108</v>
      </c>
    </row>
    <row r="64" spans="1:8">
      <c r="A64" s="58" t="s">
        <v>318</v>
      </c>
      <c r="B64" s="134"/>
      <c r="C64" s="86"/>
      <c r="D64" s="86"/>
      <c r="E64" s="106">
        <v>11.185029029846191</v>
      </c>
      <c r="F64" s="104">
        <v>11.096076965332031</v>
      </c>
      <c r="G64" s="104">
        <v>11.32984447479248</v>
      </c>
      <c r="H64" s="104">
        <f>AVERAGE(E64:G64)</f>
        <v>11.2036501566569</v>
      </c>
    </row>
    <row r="65" spans="1:8">
      <c r="A65" s="58" t="s">
        <v>318</v>
      </c>
      <c r="B65" s="134"/>
      <c r="C65" s="86"/>
      <c r="D65" s="86"/>
      <c r="E65" s="106">
        <v>11.051477432250977</v>
      </c>
      <c r="F65" s="104">
        <v>10.973122596740723</v>
      </c>
      <c r="G65" s="104">
        <v>10.89690113067627</v>
      </c>
      <c r="H65" s="104">
        <f>AVERAGE(E65:G65)</f>
        <v>10.973833719889322</v>
      </c>
    </row>
    <row r="66" spans="1:8">
      <c r="A66" s="58"/>
    </row>
    <row r="67" spans="1:8">
      <c r="G67" t="s">
        <v>262</v>
      </c>
      <c r="H67" s="108">
        <f>AVERAGE(H27:H65)</f>
        <v>11.296260360978607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2" sqref="H2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9" t="s">
        <v>4</v>
      </c>
      <c r="B1" s="139" t="s">
        <v>116</v>
      </c>
      <c r="C1" s="139" t="s">
        <v>116</v>
      </c>
      <c r="D1" s="139" t="s">
        <v>5</v>
      </c>
      <c r="E1" s="139" t="s">
        <v>19</v>
      </c>
      <c r="F1" s="139" t="s">
        <v>24</v>
      </c>
      <c r="G1" s="138" t="s">
        <v>25</v>
      </c>
      <c r="H1" s="135" t="s">
        <v>26</v>
      </c>
      <c r="I1" s="4" t="s">
        <v>27</v>
      </c>
      <c r="J1" s="53" t="s">
        <v>27</v>
      </c>
    </row>
    <row r="2" spans="1:10">
      <c r="A2" s="140"/>
      <c r="B2" s="140"/>
      <c r="C2" s="140"/>
      <c r="D2" s="140"/>
      <c r="E2" s="140"/>
      <c r="F2" s="140"/>
      <c r="G2" s="138"/>
      <c r="H2" s="135"/>
      <c r="I2" s="5" t="s">
        <v>28</v>
      </c>
      <c r="J2" s="54" t="s">
        <v>23</v>
      </c>
    </row>
    <row r="3" spans="1:10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40">
        <v>1</v>
      </c>
      <c r="F3" s="50">
        <v>0.10199999999999999</v>
      </c>
      <c r="G3" s="50">
        <v>0.10199999999999999</v>
      </c>
      <c r="H3" s="50">
        <v>0.10199999999999999</v>
      </c>
      <c r="I3" s="51">
        <f>E3*(AVERAGE(F3:H3)*1.6007-0.0118)</f>
        <v>0.15147139999999998</v>
      </c>
      <c r="J3" s="51">
        <f>E3*(STDEV(F3:H3)*1.6007)</f>
        <v>0</v>
      </c>
    </row>
    <row r="4" spans="1:10">
      <c r="A4" s="62">
        <v>0</v>
      </c>
      <c r="B4" s="63">
        <v>10</v>
      </c>
      <c r="C4" s="63">
        <v>10</v>
      </c>
      <c r="D4" s="13">
        <f t="shared" ref="D4:D21" si="0">C4/60</f>
        <v>0.16666666666666666</v>
      </c>
      <c r="E4" s="40">
        <v>1</v>
      </c>
      <c r="F4" s="50">
        <v>0.111</v>
      </c>
      <c r="G4" s="50">
        <v>0.111</v>
      </c>
      <c r="H4" s="50">
        <v>0.111</v>
      </c>
      <c r="I4" s="51">
        <f>E4*(AVERAGE(F4:H4)*1.6007-0.0118)</f>
        <v>0.16587769999999999</v>
      </c>
      <c r="J4" s="51">
        <f t="shared" ref="J4:J18" si="1">E4*(STDEV(F4:H4)*1.6007)</f>
        <v>0</v>
      </c>
    </row>
    <row r="5" spans="1:10">
      <c r="A5" s="62">
        <v>1</v>
      </c>
      <c r="B5" s="63">
        <v>110</v>
      </c>
      <c r="C5" s="63">
        <v>120</v>
      </c>
      <c r="D5" s="13">
        <f t="shared" si="0"/>
        <v>2</v>
      </c>
      <c r="E5" s="40">
        <v>1</v>
      </c>
      <c r="F5" s="50">
        <v>0.11600000000000001</v>
      </c>
      <c r="G5" s="50">
        <v>0.11600000000000001</v>
      </c>
      <c r="H5" s="50">
        <v>0.11600000000000001</v>
      </c>
      <c r="I5" s="51">
        <f t="shared" ref="I5:I19" si="2">E5*(AVERAGE(F5:H5)*1.6007-0.0118)</f>
        <v>0.17388120000000001</v>
      </c>
      <c r="J5" s="51">
        <f t="shared" si="1"/>
        <v>0</v>
      </c>
    </row>
    <row r="6" spans="1:10">
      <c r="A6" s="62">
        <v>2</v>
      </c>
      <c r="B6" s="63">
        <v>80</v>
      </c>
      <c r="C6" s="63">
        <v>200</v>
      </c>
      <c r="D6" s="13">
        <f t="shared" si="0"/>
        <v>3.3333333333333335</v>
      </c>
      <c r="E6" s="40">
        <v>1</v>
      </c>
      <c r="F6" s="50">
        <v>0.127</v>
      </c>
      <c r="G6" s="50">
        <v>0.127</v>
      </c>
      <c r="H6" s="50">
        <v>0.127</v>
      </c>
      <c r="I6" s="51">
        <f t="shared" si="2"/>
        <v>0.19148889999999999</v>
      </c>
      <c r="J6" s="51">
        <f t="shared" si="1"/>
        <v>0</v>
      </c>
    </row>
    <row r="7" spans="1:10">
      <c r="A7" s="62">
        <v>3</v>
      </c>
      <c r="B7" s="63">
        <v>80</v>
      </c>
      <c r="C7" s="63">
        <v>280</v>
      </c>
      <c r="D7" s="13">
        <f t="shared" si="0"/>
        <v>4.666666666666667</v>
      </c>
      <c r="E7" s="40">
        <v>1</v>
      </c>
      <c r="F7" s="50">
        <v>0.14699999999999999</v>
      </c>
      <c r="G7" s="50">
        <v>0.14699999999999999</v>
      </c>
      <c r="H7" s="50">
        <v>0.14699999999999999</v>
      </c>
      <c r="I7" s="51">
        <f t="shared" si="2"/>
        <v>0.22350289999999998</v>
      </c>
      <c r="J7" s="51">
        <f t="shared" si="1"/>
        <v>0</v>
      </c>
    </row>
    <row r="8" spans="1:10">
      <c r="A8" s="62">
        <v>4</v>
      </c>
      <c r="B8" s="63">
        <v>80</v>
      </c>
      <c r="C8" s="63">
        <v>360</v>
      </c>
      <c r="D8" s="13">
        <f t="shared" si="0"/>
        <v>6</v>
      </c>
      <c r="E8" s="40">
        <v>1</v>
      </c>
      <c r="F8" s="50">
        <v>0.17899999999999999</v>
      </c>
      <c r="G8" s="50">
        <v>0.17899999999999999</v>
      </c>
      <c r="H8" s="50">
        <v>0.17899999999999999</v>
      </c>
      <c r="I8" s="51">
        <f t="shared" si="2"/>
        <v>0.27472529999999995</v>
      </c>
      <c r="J8" s="51">
        <f t="shared" si="1"/>
        <v>5.4413393669642165E-17</v>
      </c>
    </row>
    <row r="9" spans="1:10">
      <c r="A9" s="62">
        <v>5</v>
      </c>
      <c r="B9" s="63">
        <v>80</v>
      </c>
      <c r="C9" s="63">
        <v>440</v>
      </c>
      <c r="D9" s="13">
        <f t="shared" si="0"/>
        <v>7.333333333333333</v>
      </c>
      <c r="E9" s="40">
        <v>1</v>
      </c>
      <c r="F9" s="50">
        <v>0.23200000000000001</v>
      </c>
      <c r="G9" s="50">
        <v>0.23200000000000001</v>
      </c>
      <c r="H9" s="50">
        <v>0.23200000000000001</v>
      </c>
      <c r="I9" s="51">
        <f t="shared" si="2"/>
        <v>0.35956240000000006</v>
      </c>
      <c r="J9" s="51">
        <f t="shared" si="1"/>
        <v>0</v>
      </c>
    </row>
    <row r="10" spans="1:10">
      <c r="A10" s="62">
        <v>6</v>
      </c>
      <c r="B10" s="63">
        <v>80</v>
      </c>
      <c r="C10" s="63">
        <v>520</v>
      </c>
      <c r="D10" s="13">
        <f t="shared" si="0"/>
        <v>8.6666666666666661</v>
      </c>
      <c r="E10" s="40">
        <v>1</v>
      </c>
      <c r="F10" s="50">
        <v>0.32800000000000001</v>
      </c>
      <c r="G10" s="50">
        <v>0.32800000000000001</v>
      </c>
      <c r="H10" s="50">
        <v>0.32800000000000001</v>
      </c>
      <c r="I10" s="51">
        <f t="shared" si="2"/>
        <v>0.51322959999999995</v>
      </c>
      <c r="J10" s="51">
        <f t="shared" si="1"/>
        <v>0</v>
      </c>
    </row>
    <row r="11" spans="1:10">
      <c r="A11" s="62">
        <v>7</v>
      </c>
      <c r="B11" s="63">
        <v>80</v>
      </c>
      <c r="C11" s="63">
        <v>600</v>
      </c>
      <c r="D11" s="13">
        <f t="shared" si="0"/>
        <v>10</v>
      </c>
      <c r="E11" s="40">
        <v>2</v>
      </c>
      <c r="F11" s="50">
        <v>0.27900000000000003</v>
      </c>
      <c r="G11" s="50">
        <v>0.28799999999999998</v>
      </c>
      <c r="H11" s="50">
        <v>0.28599999999999998</v>
      </c>
      <c r="I11" s="51">
        <f t="shared" si="2"/>
        <v>0.8866647333333334</v>
      </c>
      <c r="J11" s="51">
        <f t="shared" si="1"/>
        <v>1.5129226145885015E-2</v>
      </c>
    </row>
    <row r="12" spans="1:10">
      <c r="A12" s="62">
        <v>8</v>
      </c>
      <c r="B12" s="63">
        <v>80</v>
      </c>
      <c r="C12" s="63">
        <v>680</v>
      </c>
      <c r="D12" s="13">
        <f t="shared" si="0"/>
        <v>11.333333333333334</v>
      </c>
      <c r="E12" s="40">
        <v>4</v>
      </c>
      <c r="F12" s="50">
        <v>0.21199999999999999</v>
      </c>
      <c r="G12" s="50">
        <v>0.21099999999999999</v>
      </c>
      <c r="H12" s="50">
        <v>0.216</v>
      </c>
      <c r="I12" s="51">
        <f t="shared" si="2"/>
        <v>1.3165964000000001</v>
      </c>
      <c r="J12" s="51">
        <f t="shared" si="1"/>
        <v>1.6940216494484375E-2</v>
      </c>
    </row>
    <row r="13" spans="1:10">
      <c r="A13" s="62">
        <v>9</v>
      </c>
      <c r="B13" s="63">
        <v>80</v>
      </c>
      <c r="C13" s="63">
        <v>760</v>
      </c>
      <c r="D13" s="13">
        <f>C13/60</f>
        <v>12.666666666666666</v>
      </c>
      <c r="E13" s="40">
        <v>10</v>
      </c>
      <c r="F13" s="50">
        <v>0.10100000000000001</v>
      </c>
      <c r="G13" s="50">
        <v>0.107</v>
      </c>
      <c r="H13" s="50">
        <v>0.109</v>
      </c>
      <c r="I13" s="51">
        <f t="shared" si="2"/>
        <v>1.5734063333333335</v>
      </c>
      <c r="J13" s="51">
        <f t="shared" si="1"/>
        <v>6.6642455306908696E-2</v>
      </c>
    </row>
    <row r="14" spans="1:10">
      <c r="A14" s="62">
        <v>10</v>
      </c>
      <c r="B14" s="63">
        <v>80</v>
      </c>
      <c r="C14" s="63">
        <v>840</v>
      </c>
      <c r="D14" s="13">
        <f t="shared" si="0"/>
        <v>14</v>
      </c>
      <c r="E14" s="40">
        <v>10</v>
      </c>
      <c r="F14" s="50">
        <v>0.111</v>
      </c>
      <c r="G14" s="50">
        <v>0.114</v>
      </c>
      <c r="H14" s="50">
        <v>0.11600000000000001</v>
      </c>
      <c r="I14" s="51">
        <f t="shared" si="2"/>
        <v>1.7014623333333334</v>
      </c>
      <c r="J14" s="51">
        <f t="shared" si="1"/>
        <v>4.0283399935126328E-2</v>
      </c>
    </row>
    <row r="15" spans="1:10">
      <c r="A15" s="62">
        <v>11</v>
      </c>
      <c r="B15" s="63">
        <v>80</v>
      </c>
      <c r="C15" s="63">
        <v>920</v>
      </c>
      <c r="D15" s="13">
        <f t="shared" si="0"/>
        <v>15.333333333333334</v>
      </c>
      <c r="E15" s="40">
        <v>10</v>
      </c>
      <c r="F15" s="50">
        <v>0.11899999999999999</v>
      </c>
      <c r="G15" s="50">
        <v>0.113</v>
      </c>
      <c r="H15" s="50">
        <v>0.113</v>
      </c>
      <c r="I15" s="51">
        <f t="shared" si="2"/>
        <v>1.7228049999999997</v>
      </c>
      <c r="J15" s="51">
        <f t="shared" si="1"/>
        <v>5.5449874553509956E-2</v>
      </c>
    </row>
    <row r="16" spans="1:10">
      <c r="A16" s="62">
        <v>12</v>
      </c>
      <c r="B16" s="63">
        <v>80</v>
      </c>
      <c r="C16" s="63">
        <v>1000</v>
      </c>
      <c r="D16" s="13">
        <f t="shared" si="0"/>
        <v>16.666666666666668</v>
      </c>
      <c r="E16" s="40">
        <v>10</v>
      </c>
      <c r="F16" s="50">
        <v>0.10299999999999999</v>
      </c>
      <c r="G16" s="50">
        <v>0.11</v>
      </c>
      <c r="H16" s="50">
        <v>0.113</v>
      </c>
      <c r="I16" s="51">
        <f t="shared" si="2"/>
        <v>1.6214273333333336</v>
      </c>
      <c r="J16" s="51">
        <f t="shared" si="1"/>
        <v>8.2141544241226341E-2</v>
      </c>
    </row>
    <row r="17" spans="1:10">
      <c r="A17" s="62">
        <v>13</v>
      </c>
      <c r="B17" s="63">
        <v>80</v>
      </c>
      <c r="C17" s="63">
        <v>1080</v>
      </c>
      <c r="D17" s="13">
        <f t="shared" si="0"/>
        <v>18</v>
      </c>
      <c r="E17" s="40">
        <v>10</v>
      </c>
      <c r="F17" s="50">
        <v>0.109</v>
      </c>
      <c r="G17" s="50">
        <v>0.11</v>
      </c>
      <c r="H17" s="50">
        <v>0.113</v>
      </c>
      <c r="I17" s="51">
        <f t="shared" si="2"/>
        <v>1.6534413333333333</v>
      </c>
      <c r="J17" s="51">
        <f t="shared" si="1"/>
        <v>3.3321227653454411E-2</v>
      </c>
    </row>
    <row r="18" spans="1:10">
      <c r="A18" s="62">
        <v>14</v>
      </c>
      <c r="B18" s="63">
        <v>80</v>
      </c>
      <c r="C18" s="63">
        <v>1160</v>
      </c>
      <c r="D18" s="13">
        <f t="shared" si="0"/>
        <v>19.333333333333332</v>
      </c>
      <c r="E18" s="40">
        <v>10</v>
      </c>
      <c r="F18" s="50">
        <v>0.104</v>
      </c>
      <c r="G18" s="50">
        <v>0.104</v>
      </c>
      <c r="H18" s="50">
        <v>0.104</v>
      </c>
      <c r="I18" s="51">
        <f t="shared" si="2"/>
        <v>1.5467279999999999</v>
      </c>
      <c r="J18" s="51">
        <f t="shared" si="1"/>
        <v>0</v>
      </c>
    </row>
    <row r="19" spans="1:10">
      <c r="A19" s="62">
        <v>15</v>
      </c>
      <c r="B19" s="63">
        <v>290</v>
      </c>
      <c r="C19" s="63">
        <v>1450</v>
      </c>
      <c r="D19" s="13">
        <f t="shared" si="0"/>
        <v>24.166666666666668</v>
      </c>
      <c r="E19" s="40">
        <v>10</v>
      </c>
      <c r="F19" s="50">
        <v>8.7999999999999995E-2</v>
      </c>
      <c r="G19" s="50">
        <v>9.1999999999999998E-2</v>
      </c>
      <c r="H19" s="50" t="s">
        <v>255</v>
      </c>
      <c r="I19" s="51">
        <f t="shared" si="2"/>
        <v>1.32263</v>
      </c>
      <c r="J19" s="51">
        <f>E19*(STDEV(F19:H19)*1.6007)</f>
        <v>4.5274632985812309E-2</v>
      </c>
    </row>
    <row r="20" spans="1:10">
      <c r="A20" s="62">
        <v>16</v>
      </c>
      <c r="B20" s="63">
        <v>360</v>
      </c>
      <c r="C20" s="63">
        <v>1810</v>
      </c>
      <c r="D20" s="13">
        <f>C20/60</f>
        <v>30.166666666666668</v>
      </c>
      <c r="E20" s="40">
        <v>10</v>
      </c>
      <c r="F20" s="50">
        <v>7.8E-2</v>
      </c>
      <c r="G20" s="50">
        <v>8.7999999999999995E-2</v>
      </c>
      <c r="H20" s="50">
        <v>8.5000000000000006E-2</v>
      </c>
      <c r="I20" s="51">
        <f t="shared" ref="I20" si="3">E20*(AVERAGE(F20:H20)*1.6007-0.0118)</f>
        <v>1.2212523333333334</v>
      </c>
      <c r="J20" s="51">
        <f t="shared" ref="J20" si="4">E20*(STDEV(F20:H20)*1.6007)</f>
        <v>8.2141544241226258E-2</v>
      </c>
    </row>
    <row r="21" spans="1:10">
      <c r="A21" s="62">
        <v>17</v>
      </c>
      <c r="B21" s="63">
        <v>1080</v>
      </c>
      <c r="C21" s="63">
        <v>2890</v>
      </c>
      <c r="D21" s="13">
        <f t="shared" si="0"/>
        <v>48.166666666666664</v>
      </c>
      <c r="E21" s="40">
        <v>10</v>
      </c>
      <c r="F21" s="50">
        <v>6.5000000000000002E-2</v>
      </c>
      <c r="G21" s="50">
        <v>6.4000000000000001E-2</v>
      </c>
      <c r="H21" s="50">
        <v>6.3E-2</v>
      </c>
      <c r="I21" s="51">
        <f>E21*(AVERAGE(F21:H21)*1.6007-0.0118)</f>
        <v>0.90644799999999992</v>
      </c>
      <c r="J21" s="51">
        <f>E21*(STDEV(F21:H21)*1.6007)</f>
        <v>1.6007000000000014E-2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9" t="s">
        <v>4</v>
      </c>
      <c r="B1" s="139" t="s">
        <v>116</v>
      </c>
      <c r="C1" s="139" t="s">
        <v>116</v>
      </c>
      <c r="D1" s="139" t="s">
        <v>5</v>
      </c>
      <c r="E1" s="4" t="s">
        <v>29</v>
      </c>
      <c r="F1" s="4" t="s">
        <v>2</v>
      </c>
      <c r="G1" s="4" t="s">
        <v>32</v>
      </c>
    </row>
    <row r="2" spans="1:7">
      <c r="A2" s="140"/>
      <c r="B2" s="140"/>
      <c r="C2" s="140"/>
      <c r="D2" s="140"/>
      <c r="E2" s="5" t="s">
        <v>30</v>
      </c>
      <c r="F2" s="5" t="s">
        <v>31</v>
      </c>
      <c r="G2" s="5" t="s">
        <v>33</v>
      </c>
    </row>
    <row r="3" spans="1:7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1"/>
      <c r="F3" s="1"/>
      <c r="G3" s="1" t="e">
        <f>(F3-$C$23)/E3*1000*Calculation!I4/Calculation!K3</f>
        <v>#DIV/0!</v>
      </c>
    </row>
    <row r="4" spans="1:7">
      <c r="A4" s="62">
        <v>0</v>
      </c>
      <c r="B4" s="63">
        <v>10</v>
      </c>
      <c r="C4" s="63">
        <v>10</v>
      </c>
      <c r="D4" s="13">
        <f t="shared" ref="D4:D21" si="0">C4/60</f>
        <v>0.16666666666666666</v>
      </c>
      <c r="E4" s="1"/>
      <c r="F4" s="1"/>
      <c r="G4" s="1" t="e">
        <f>(F4-$C$23)/E4*1000*Calculation!I5/Calculation!K4</f>
        <v>#DIV/0!</v>
      </c>
    </row>
    <row r="5" spans="1:7">
      <c r="A5" s="62">
        <v>1</v>
      </c>
      <c r="B5" s="63">
        <v>110</v>
      </c>
      <c r="C5" s="63">
        <v>120</v>
      </c>
      <c r="D5" s="13">
        <f t="shared" si="0"/>
        <v>2</v>
      </c>
      <c r="E5" s="1"/>
      <c r="F5" s="1"/>
      <c r="G5" s="1" t="e">
        <f>(F5-$C$23)/E5*1000*Calculation!I6/Calculation!K5</f>
        <v>#DIV/0!</v>
      </c>
    </row>
    <row r="6" spans="1:7">
      <c r="A6" s="62">
        <v>2</v>
      </c>
      <c r="B6" s="63">
        <v>80</v>
      </c>
      <c r="C6" s="63">
        <v>200</v>
      </c>
      <c r="D6" s="13">
        <f t="shared" si="0"/>
        <v>3.3333333333333335</v>
      </c>
      <c r="E6" s="1"/>
      <c r="F6" s="1"/>
      <c r="G6" s="1" t="e">
        <f>(F6-$C$23)/E6*1000*Calculation!I7/Calculation!K6</f>
        <v>#DIV/0!</v>
      </c>
    </row>
    <row r="7" spans="1:7">
      <c r="A7" s="62">
        <v>3</v>
      </c>
      <c r="B7" s="63">
        <v>80</v>
      </c>
      <c r="C7" s="63">
        <v>280</v>
      </c>
      <c r="D7" s="13">
        <f t="shared" si="0"/>
        <v>4.666666666666667</v>
      </c>
      <c r="E7" s="1"/>
      <c r="F7" s="1"/>
      <c r="G7" s="1" t="e">
        <f>(F7-$C$23)/E7*1000*Calculation!I8/Calculation!K7</f>
        <v>#DIV/0!</v>
      </c>
    </row>
    <row r="8" spans="1:7">
      <c r="A8" s="62">
        <v>4</v>
      </c>
      <c r="B8" s="63">
        <v>80</v>
      </c>
      <c r="C8" s="63">
        <v>360</v>
      </c>
      <c r="D8" s="13">
        <f t="shared" si="0"/>
        <v>6</v>
      </c>
      <c r="E8" s="1"/>
      <c r="F8" s="1"/>
      <c r="G8" s="1" t="e">
        <f>(F8-$C$23)/E8*1000*Calculation!I9/Calculation!K8</f>
        <v>#DIV/0!</v>
      </c>
    </row>
    <row r="9" spans="1:7">
      <c r="A9" s="62">
        <v>5</v>
      </c>
      <c r="B9" s="63">
        <v>80</v>
      </c>
      <c r="C9" s="63">
        <v>440</v>
      </c>
      <c r="D9" s="13">
        <f t="shared" si="0"/>
        <v>7.333333333333333</v>
      </c>
      <c r="E9" s="1"/>
      <c r="F9" s="1"/>
      <c r="G9" s="1" t="e">
        <f>(F9-$C$23)/E9*1000*Calculation!I10/Calculation!K9</f>
        <v>#DIV/0!</v>
      </c>
    </row>
    <row r="10" spans="1:7">
      <c r="A10" s="62">
        <v>6</v>
      </c>
      <c r="B10" s="63">
        <v>80</v>
      </c>
      <c r="C10" s="63">
        <v>520</v>
      </c>
      <c r="D10" s="13">
        <f t="shared" si="0"/>
        <v>8.6666666666666661</v>
      </c>
      <c r="E10" s="1"/>
      <c r="F10" s="1"/>
      <c r="G10" s="1" t="e">
        <f>(F10-$C$23)/E10*1000*Calculation!I11/Calculation!K10</f>
        <v>#DIV/0!</v>
      </c>
    </row>
    <row r="11" spans="1:7">
      <c r="A11" s="62">
        <v>7</v>
      </c>
      <c r="B11" s="63">
        <v>80</v>
      </c>
      <c r="C11" s="63">
        <v>600</v>
      </c>
      <c r="D11" s="13">
        <f t="shared" si="0"/>
        <v>10</v>
      </c>
      <c r="E11" s="1"/>
      <c r="F11" s="1"/>
      <c r="G11" s="1" t="e">
        <f>(F11-$C$23)/E11*1000*Calculation!I12/Calculation!K11</f>
        <v>#DIV/0!</v>
      </c>
    </row>
    <row r="12" spans="1:7">
      <c r="A12" s="62">
        <v>8</v>
      </c>
      <c r="B12" s="63">
        <v>80</v>
      </c>
      <c r="C12" s="63">
        <v>680</v>
      </c>
      <c r="D12" s="13">
        <f t="shared" si="0"/>
        <v>11.333333333333334</v>
      </c>
      <c r="E12" s="1"/>
      <c r="F12" s="1"/>
      <c r="G12" s="1" t="e">
        <f>(F12-$C$23)/E12*1000*Calculation!I13/Calculation!K12</f>
        <v>#DIV/0!</v>
      </c>
    </row>
    <row r="13" spans="1:7">
      <c r="A13" s="62">
        <v>9</v>
      </c>
      <c r="B13" s="63">
        <v>80</v>
      </c>
      <c r="C13" s="63">
        <v>760</v>
      </c>
      <c r="D13" s="13">
        <f>C13/60</f>
        <v>12.666666666666666</v>
      </c>
      <c r="E13" s="37"/>
      <c r="F13" s="37"/>
      <c r="G13" s="37" t="e">
        <f>(F13-$C$23)/E13*1000*Calculation!I14/Calculation!K13</f>
        <v>#DIV/0!</v>
      </c>
    </row>
    <row r="14" spans="1:7">
      <c r="A14" s="62">
        <v>10</v>
      </c>
      <c r="B14" s="63">
        <v>80</v>
      </c>
      <c r="C14" s="63">
        <v>840</v>
      </c>
      <c r="D14" s="13">
        <f t="shared" si="0"/>
        <v>14</v>
      </c>
      <c r="E14" s="37"/>
      <c r="F14" s="37"/>
      <c r="G14" s="37" t="e">
        <f>(F14-$C$23)/E14*1000*Calculation!I15/Calculation!K14</f>
        <v>#DIV/0!</v>
      </c>
    </row>
    <row r="15" spans="1:7">
      <c r="A15" s="62">
        <v>11</v>
      </c>
      <c r="B15" s="63">
        <v>80</v>
      </c>
      <c r="C15" s="63">
        <v>920</v>
      </c>
      <c r="D15" s="13">
        <f t="shared" si="0"/>
        <v>15.333333333333334</v>
      </c>
      <c r="E15" s="37"/>
      <c r="F15" s="37"/>
      <c r="G15" s="37" t="e">
        <f>(F15-$C$23)/E15*1000*Calculation!I16/Calculation!K15</f>
        <v>#DIV/0!</v>
      </c>
    </row>
    <row r="16" spans="1:7">
      <c r="A16" s="62">
        <v>12</v>
      </c>
      <c r="B16" s="63">
        <v>80</v>
      </c>
      <c r="C16" s="63">
        <v>1000</v>
      </c>
      <c r="D16" s="13">
        <f t="shared" si="0"/>
        <v>16.666666666666668</v>
      </c>
      <c r="E16" s="37"/>
      <c r="F16" s="37"/>
      <c r="G16" s="37" t="e">
        <f>(F16-$C$23)/E16*1000*Calculation!I17/Calculation!K16</f>
        <v>#DIV/0!</v>
      </c>
    </row>
    <row r="17" spans="1:7" ht="15" customHeight="1">
      <c r="A17" s="62">
        <v>13</v>
      </c>
      <c r="B17" s="63">
        <v>80</v>
      </c>
      <c r="C17" s="63">
        <v>1080</v>
      </c>
      <c r="D17" s="13">
        <f t="shared" si="0"/>
        <v>18</v>
      </c>
      <c r="E17" s="37"/>
      <c r="F17" s="37"/>
      <c r="G17" s="37" t="e">
        <f>(F17-$C$23)/E17*1000*Calculation!I18/Calculation!K17</f>
        <v>#DIV/0!</v>
      </c>
    </row>
    <row r="18" spans="1:7">
      <c r="A18" s="62">
        <v>14</v>
      </c>
      <c r="B18" s="63">
        <v>80</v>
      </c>
      <c r="C18" s="63">
        <v>1160</v>
      </c>
      <c r="D18" s="13">
        <f t="shared" si="0"/>
        <v>19.333333333333332</v>
      </c>
      <c r="E18" s="37"/>
      <c r="F18" s="37"/>
      <c r="G18" s="37" t="e">
        <f>(F18-$C$23)/E18*1000*Calculation!I19/Calculation!K18</f>
        <v>#DIV/0!</v>
      </c>
    </row>
    <row r="19" spans="1:7">
      <c r="A19" s="62">
        <v>15</v>
      </c>
      <c r="B19" s="63">
        <v>290</v>
      </c>
      <c r="C19" s="63">
        <v>1450</v>
      </c>
      <c r="D19" s="13">
        <f t="shared" si="0"/>
        <v>24.166666666666668</v>
      </c>
      <c r="E19" s="40"/>
      <c r="F19" s="40"/>
      <c r="G19" s="40" t="e">
        <f>(F19-$C$23)/E19*1000*Calculation!I22/Calculation!K19</f>
        <v>#DIV/0!</v>
      </c>
    </row>
    <row r="20" spans="1:7">
      <c r="A20" s="62">
        <v>16</v>
      </c>
      <c r="B20" s="63">
        <v>360</v>
      </c>
      <c r="C20" s="63">
        <v>1810</v>
      </c>
      <c r="D20" s="13">
        <f>C20/60</f>
        <v>30.166666666666668</v>
      </c>
      <c r="E20" s="40"/>
      <c r="F20" s="40"/>
      <c r="G20" s="40" t="e">
        <f>(F20-$C$23)/E20*1000*Calculation!I23/Calculation!K21</f>
        <v>#DIV/0!</v>
      </c>
    </row>
    <row r="21" spans="1:7">
      <c r="A21" s="62">
        <v>17</v>
      </c>
      <c r="B21" s="63">
        <v>1080</v>
      </c>
      <c r="C21" s="63">
        <v>2890</v>
      </c>
      <c r="D21" s="13">
        <f t="shared" si="0"/>
        <v>48.166666666666664</v>
      </c>
      <c r="E21" s="40"/>
      <c r="F21" s="40"/>
      <c r="G21" s="40" t="e">
        <f>(F21-$C$23)/E21*1000*Calculation!I24/Calculation!K22</f>
        <v>#DIV/0!</v>
      </c>
    </row>
    <row r="22" spans="1:7">
      <c r="A22" s="126"/>
      <c r="B22" s="63"/>
      <c r="C22" s="63"/>
      <c r="D22" s="113"/>
    </row>
    <row r="23" spans="1:7">
      <c r="A23" s="157" t="s">
        <v>3</v>
      </c>
      <c r="B23" s="158"/>
      <c r="C23" s="1"/>
    </row>
  </sheetData>
  <mergeCells count="5">
    <mergeCell ref="A23:B23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106"/>
  <sheetViews>
    <sheetView topLeftCell="A5" workbookViewId="0">
      <selection activeCell="B5" sqref="B5:B106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7">
      <c r="A1" s="23" t="s">
        <v>50</v>
      </c>
      <c r="B1" s="12">
        <v>69.7</v>
      </c>
      <c r="C1" s="26" t="s">
        <v>51</v>
      </c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138" t="s">
        <v>5</v>
      </c>
      <c r="B3" s="138" t="s">
        <v>36</v>
      </c>
      <c r="C3" s="138"/>
      <c r="D3" s="138" t="s">
        <v>52</v>
      </c>
      <c r="E3" s="138"/>
      <c r="F3" s="138"/>
      <c r="G3" s="23" t="s">
        <v>53</v>
      </c>
    </row>
    <row r="4" spans="1:7">
      <c r="A4" s="138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7">
      <c r="A5" s="12">
        <v>0</v>
      </c>
      <c r="B5" s="32">
        <v>240.17</v>
      </c>
      <c r="C5" s="12">
        <f>B5/1000</f>
        <v>0.24016999999999999</v>
      </c>
      <c r="D5" s="12">
        <f>C5/1000*$B$1</f>
        <v>1.6739849000000001E-2</v>
      </c>
      <c r="E5" s="12">
        <f>D5/22.4</f>
        <v>7.4731468750000008E-4</v>
      </c>
      <c r="F5" s="12">
        <f>E5/Calculation!K$4*1000</f>
        <v>5.0562563430311231E-4</v>
      </c>
      <c r="G5" s="12">
        <f>(0+F5)/2*30</f>
        <v>7.5843845145466843E-3</v>
      </c>
    </row>
    <row r="6" spans="1:7">
      <c r="A6" s="12">
        <v>0.5</v>
      </c>
      <c r="B6" s="32">
        <v>1226.69</v>
      </c>
      <c r="C6" s="12">
        <f t="shared" ref="C6:C69" si="0">B6/1000</f>
        <v>1.2266900000000001</v>
      </c>
      <c r="D6" s="12">
        <f>C6/1000*$B$1</f>
        <v>8.5500293000000005E-2</v>
      </c>
      <c r="E6" s="12">
        <f>D6/22.4</f>
        <v>3.8169773660714289E-3</v>
      </c>
      <c r="F6" s="12">
        <f>E6/Calculation!K$4*1000</f>
        <v>2.5825286644596945E-3</v>
      </c>
      <c r="G6" s="12">
        <f>G5+(F6+F5)/2*30</f>
        <v>5.390669899598878E-2</v>
      </c>
    </row>
    <row r="7" spans="1:7">
      <c r="A7" s="12">
        <v>1</v>
      </c>
      <c r="B7" s="32">
        <v>1623.52</v>
      </c>
      <c r="C7" s="12">
        <f t="shared" si="0"/>
        <v>1.6235200000000001</v>
      </c>
      <c r="D7" s="12">
        <f t="shared" ref="D7:D69" si="1">C7/1000*$B$1</f>
        <v>0.11315934400000001</v>
      </c>
      <c r="E7" s="12">
        <f t="shared" ref="E7:E69" si="2">D7/22.4</f>
        <v>5.0517564285714293E-3</v>
      </c>
      <c r="F7" s="12">
        <f>E7/Calculation!K$4*1000</f>
        <v>3.4179678136477872E-3</v>
      </c>
      <c r="G7" s="12">
        <f t="shared" ref="G7:G70" si="3">G6+(F7+F6)/2*30</f>
        <v>0.14391414616760101</v>
      </c>
    </row>
    <row r="8" spans="1:7">
      <c r="A8" s="12">
        <v>1.5</v>
      </c>
      <c r="B8" s="32">
        <v>2506.59</v>
      </c>
      <c r="C8" s="12">
        <f t="shared" si="0"/>
        <v>2.5065900000000001</v>
      </c>
      <c r="D8" s="12">
        <f t="shared" si="1"/>
        <v>0.174709323</v>
      </c>
      <c r="E8" s="12">
        <f t="shared" si="2"/>
        <v>7.7995233482142864E-3</v>
      </c>
      <c r="F8" s="12">
        <f>E8/Calculation!K$4*1000</f>
        <v>5.2770793966267163E-3</v>
      </c>
      <c r="G8" s="12">
        <f t="shared" si="3"/>
        <v>0.27433985432171859</v>
      </c>
    </row>
    <row r="9" spans="1:7">
      <c r="A9" s="12">
        <v>2</v>
      </c>
      <c r="B9" s="32">
        <v>2100.9</v>
      </c>
      <c r="C9" s="12">
        <f t="shared" si="0"/>
        <v>2.1009000000000002</v>
      </c>
      <c r="D9" s="12">
        <f t="shared" si="1"/>
        <v>0.14643273000000001</v>
      </c>
      <c r="E9" s="12">
        <f t="shared" si="2"/>
        <v>6.5371754464285722E-3</v>
      </c>
      <c r="F9" s="12">
        <f>E9/Calculation!K$4*1000</f>
        <v>4.4229874468393587E-3</v>
      </c>
      <c r="G9" s="12">
        <f t="shared" si="3"/>
        <v>0.41984085697370971</v>
      </c>
    </row>
    <row r="10" spans="1:7">
      <c r="A10" s="12">
        <v>2.5</v>
      </c>
      <c r="B10" s="32">
        <v>2345.5</v>
      </c>
      <c r="C10" s="12">
        <f t="shared" si="0"/>
        <v>2.3454999999999999</v>
      </c>
      <c r="D10" s="12">
        <f t="shared" si="1"/>
        <v>0.16348135</v>
      </c>
      <c r="E10" s="12">
        <f t="shared" si="2"/>
        <v>7.2982745535714287E-3</v>
      </c>
      <c r="F10" s="12">
        <f>E10/Calculation!K$4*1000</f>
        <v>4.9379394814421029E-3</v>
      </c>
      <c r="G10" s="12">
        <f t="shared" si="3"/>
        <v>0.56025476089793158</v>
      </c>
    </row>
    <row r="11" spans="1:7">
      <c r="A11" s="12">
        <v>3</v>
      </c>
      <c r="B11" s="32">
        <v>8.8699999999999992</v>
      </c>
      <c r="C11" s="12">
        <f t="shared" si="0"/>
        <v>8.8699999999999994E-3</v>
      </c>
      <c r="D11" s="12">
        <f t="shared" si="1"/>
        <v>6.1823900000000003E-4</v>
      </c>
      <c r="E11" s="12">
        <f t="shared" si="2"/>
        <v>2.759995535714286E-5</v>
      </c>
      <c r="F11" s="12">
        <f>E11/Calculation!K$4*1000</f>
        <v>1.8673853421612221E-5</v>
      </c>
      <c r="G11" s="12">
        <f t="shared" si="3"/>
        <v>0.63460396092088733</v>
      </c>
    </row>
    <row r="12" spans="1:7">
      <c r="A12" s="12">
        <v>3.5</v>
      </c>
      <c r="B12" s="32">
        <v>2620.39</v>
      </c>
      <c r="C12" s="12">
        <f t="shared" si="0"/>
        <v>2.62039</v>
      </c>
      <c r="D12" s="12">
        <f t="shared" si="1"/>
        <v>0.18264118299999998</v>
      </c>
      <c r="E12" s="12">
        <f t="shared" si="2"/>
        <v>8.1536242410714284E-3</v>
      </c>
      <c r="F12" s="12">
        <f>E12/Calculation!K$4*1000</f>
        <v>5.5166605149333074E-3</v>
      </c>
      <c r="G12" s="12">
        <f t="shared" si="3"/>
        <v>0.71763397644621119</v>
      </c>
    </row>
    <row r="13" spans="1:7">
      <c r="A13" s="12">
        <v>4</v>
      </c>
      <c r="B13" s="32">
        <v>3043.83</v>
      </c>
      <c r="C13" s="12">
        <f t="shared" si="0"/>
        <v>3.0438299999999998</v>
      </c>
      <c r="D13" s="12">
        <f t="shared" si="1"/>
        <v>0.21215495100000001</v>
      </c>
      <c r="E13" s="12">
        <f t="shared" si="2"/>
        <v>9.471203169642858E-3</v>
      </c>
      <c r="F13" s="12">
        <f>E13/Calculation!K$4*1000</f>
        <v>6.4081212243862363E-3</v>
      </c>
      <c r="G13" s="12">
        <f t="shared" si="3"/>
        <v>0.89650570253600437</v>
      </c>
    </row>
    <row r="14" spans="1:7">
      <c r="A14" s="12">
        <v>4.5</v>
      </c>
      <c r="B14" s="32">
        <v>3199.75</v>
      </c>
      <c r="C14" s="12">
        <f t="shared" si="0"/>
        <v>3.1997499999999999</v>
      </c>
      <c r="D14" s="12">
        <f t="shared" si="1"/>
        <v>0.223022575</v>
      </c>
      <c r="E14" s="12">
        <f t="shared" si="2"/>
        <v>9.9563649553571429E-3</v>
      </c>
      <c r="F14" s="12">
        <f>E14/Calculation!K$4*1000</f>
        <v>6.7363768304175529E-3</v>
      </c>
      <c r="G14" s="12">
        <f t="shared" si="3"/>
        <v>1.0936731733580611</v>
      </c>
    </row>
    <row r="15" spans="1:7">
      <c r="A15" s="12">
        <v>5</v>
      </c>
      <c r="B15" s="32">
        <v>3657.17</v>
      </c>
      <c r="C15" s="12">
        <f t="shared" si="0"/>
        <v>3.6571700000000003</v>
      </c>
      <c r="D15" s="12">
        <f t="shared" si="1"/>
        <v>0.25490474900000004</v>
      </c>
      <c r="E15" s="12">
        <f t="shared" si="2"/>
        <v>1.137967629464286E-2</v>
      </c>
      <c r="F15" s="12">
        <f>E15/Calculation!K$4*1000</f>
        <v>7.6993750302049128E-3</v>
      </c>
      <c r="G15" s="12">
        <f t="shared" si="3"/>
        <v>1.3102094512673981</v>
      </c>
    </row>
    <row r="16" spans="1:7">
      <c r="A16" s="12">
        <v>5.5</v>
      </c>
      <c r="B16" s="32">
        <v>3649.78</v>
      </c>
      <c r="C16" s="12">
        <f t="shared" si="0"/>
        <v>3.6497800000000002</v>
      </c>
      <c r="D16" s="12">
        <f t="shared" si="1"/>
        <v>0.25438966600000001</v>
      </c>
      <c r="E16" s="12">
        <f t="shared" si="2"/>
        <v>1.1356681517857145E-2</v>
      </c>
      <c r="F16" s="12">
        <f>E16/Calculation!K$4*1000</f>
        <v>7.6838169944906257E-3</v>
      </c>
      <c r="G16" s="12">
        <f t="shared" si="3"/>
        <v>1.5409573316378311</v>
      </c>
    </row>
    <row r="17" spans="1:7">
      <c r="A17" s="12">
        <v>6</v>
      </c>
      <c r="B17" s="32">
        <v>4204.01</v>
      </c>
      <c r="C17" s="12">
        <f t="shared" si="0"/>
        <v>4.2040100000000002</v>
      </c>
      <c r="D17" s="12">
        <f t="shared" si="1"/>
        <v>0.29301949700000002</v>
      </c>
      <c r="E17" s="12">
        <f t="shared" si="2"/>
        <v>1.3081227544642859E-2</v>
      </c>
      <c r="F17" s="12">
        <f>E17/Calculation!K$4*1000</f>
        <v>8.8506275674173612E-3</v>
      </c>
      <c r="G17" s="12">
        <f t="shared" si="3"/>
        <v>1.7889740000664509</v>
      </c>
    </row>
    <row r="18" spans="1:7">
      <c r="A18" s="12">
        <v>6.5</v>
      </c>
      <c r="B18" s="32">
        <v>4603.8</v>
      </c>
      <c r="C18" s="12">
        <f t="shared" si="0"/>
        <v>4.6038000000000006</v>
      </c>
      <c r="D18" s="12">
        <f t="shared" si="1"/>
        <v>0.32088486000000005</v>
      </c>
      <c r="E18" s="12">
        <f t="shared" si="2"/>
        <v>1.4325216964285717E-2</v>
      </c>
      <c r="F18" s="12">
        <f>E18/Calculation!K$4*1000</f>
        <v>9.692298352020106E-3</v>
      </c>
      <c r="G18" s="12">
        <f t="shared" si="3"/>
        <v>2.0671178888580131</v>
      </c>
    </row>
    <row r="19" spans="1:7">
      <c r="A19" s="12">
        <v>7</v>
      </c>
      <c r="B19" s="32">
        <v>4699.8599999999997</v>
      </c>
      <c r="C19" s="12">
        <f t="shared" si="0"/>
        <v>4.6998599999999993</v>
      </c>
      <c r="D19" s="12">
        <f t="shared" si="1"/>
        <v>0.32758024199999997</v>
      </c>
      <c r="E19" s="12">
        <f t="shared" si="2"/>
        <v>1.4624117946428572E-2</v>
      </c>
      <c r="F19" s="12">
        <f>E19/Calculation!K$4*1000</f>
        <v>9.8945317634834724E-3</v>
      </c>
      <c r="G19" s="12">
        <f t="shared" si="3"/>
        <v>2.3609203405905665</v>
      </c>
    </row>
    <row r="20" spans="1:7">
      <c r="A20" s="12">
        <v>7.5</v>
      </c>
      <c r="B20" s="32">
        <v>5216.3999999999996</v>
      </c>
      <c r="C20" s="12">
        <f t="shared" si="0"/>
        <v>5.2163999999999993</v>
      </c>
      <c r="D20" s="12">
        <f t="shared" si="1"/>
        <v>0.36358308</v>
      </c>
      <c r="E20" s="12">
        <f t="shared" si="2"/>
        <v>1.62313875E-2</v>
      </c>
      <c r="F20" s="12">
        <f>E20/Calculation!K$4*1000</f>
        <v>1.0981994248985114E-2</v>
      </c>
      <c r="G20" s="12">
        <f t="shared" si="3"/>
        <v>2.6740682307775954</v>
      </c>
    </row>
    <row r="21" spans="1:7">
      <c r="A21" s="12">
        <v>8</v>
      </c>
      <c r="B21" s="32">
        <v>6157.12</v>
      </c>
      <c r="C21" s="12">
        <f t="shared" si="0"/>
        <v>6.1571199999999999</v>
      </c>
      <c r="D21" s="12">
        <f t="shared" si="1"/>
        <v>0.42915126400000003</v>
      </c>
      <c r="E21" s="12">
        <f t="shared" si="2"/>
        <v>1.9158538571428574E-2</v>
      </c>
      <c r="F21" s="12">
        <f>E21/Calculation!K$4*1000</f>
        <v>1.2962475352793351E-2</v>
      </c>
      <c r="G21" s="12">
        <f t="shared" si="3"/>
        <v>3.0332352748042721</v>
      </c>
    </row>
    <row r="22" spans="1:7">
      <c r="A22" s="12">
        <v>8.5</v>
      </c>
      <c r="B22" s="32">
        <v>6066.22</v>
      </c>
      <c r="C22" s="12">
        <f t="shared" si="0"/>
        <v>6.0662200000000004</v>
      </c>
      <c r="D22" s="12">
        <f t="shared" si="1"/>
        <v>0.42281553400000005</v>
      </c>
      <c r="E22" s="12">
        <f t="shared" si="2"/>
        <v>1.8875693482142859E-2</v>
      </c>
      <c r="F22" s="12">
        <f>E22/Calculation!K$4*1000</f>
        <v>1.2771105197660932E-2</v>
      </c>
      <c r="G22" s="12">
        <f t="shared" si="3"/>
        <v>3.4192389830610863</v>
      </c>
    </row>
    <row r="23" spans="1:7">
      <c r="A23" s="12">
        <v>9</v>
      </c>
      <c r="B23" s="32">
        <v>6692.87</v>
      </c>
      <c r="C23" s="12">
        <f t="shared" si="0"/>
        <v>6.6928700000000001</v>
      </c>
      <c r="D23" s="12">
        <f t="shared" si="1"/>
        <v>0.466493039</v>
      </c>
      <c r="E23" s="12">
        <f t="shared" si="2"/>
        <v>2.0825582098214286E-2</v>
      </c>
      <c r="F23" s="12">
        <f>E23/Calculation!K$4*1000</f>
        <v>1.4090380310023198E-2</v>
      </c>
      <c r="G23" s="12">
        <f t="shared" si="3"/>
        <v>3.8221612656763484</v>
      </c>
    </row>
    <row r="24" spans="1:7">
      <c r="A24" s="12">
        <v>9.5</v>
      </c>
      <c r="B24" s="32">
        <v>8256.5300000000007</v>
      </c>
      <c r="C24" s="12">
        <f t="shared" si="0"/>
        <v>8.2565300000000015</v>
      </c>
      <c r="D24" s="12">
        <f t="shared" si="1"/>
        <v>0.57548014100000011</v>
      </c>
      <c r="E24" s="12">
        <f t="shared" si="2"/>
        <v>2.5691077723214294E-2</v>
      </c>
      <c r="F24" s="12">
        <f>E24/Calculation!K$4*1000</f>
        <v>1.7382325929103038E-2</v>
      </c>
      <c r="G24" s="12">
        <f t="shared" si="3"/>
        <v>4.2942518592632419</v>
      </c>
    </row>
    <row r="25" spans="1:7">
      <c r="A25" s="12">
        <v>10</v>
      </c>
      <c r="B25" s="32">
        <v>9209.07</v>
      </c>
      <c r="C25" s="12">
        <f t="shared" si="0"/>
        <v>9.2090700000000005</v>
      </c>
      <c r="D25" s="12">
        <f t="shared" si="1"/>
        <v>0.64187217900000004</v>
      </c>
      <c r="E25" s="12">
        <f t="shared" si="2"/>
        <v>2.8655007991071433E-2</v>
      </c>
      <c r="F25" s="12">
        <f>E25/Calculation!K$4*1000</f>
        <v>1.9387691468925192E-2</v>
      </c>
      <c r="G25" s="12">
        <f t="shared" si="3"/>
        <v>4.8458021202336656</v>
      </c>
    </row>
    <row r="26" spans="1:7">
      <c r="A26" s="12">
        <v>10.5</v>
      </c>
      <c r="B26" s="32">
        <v>10202.25</v>
      </c>
      <c r="C26" s="12">
        <f t="shared" si="0"/>
        <v>10.202249999999999</v>
      </c>
      <c r="D26" s="12">
        <f t="shared" si="1"/>
        <v>0.71109682500000004</v>
      </c>
      <c r="E26" s="12">
        <f t="shared" si="2"/>
        <v>3.1745393973214291E-2</v>
      </c>
      <c r="F26" s="12">
        <f>E26/Calculation!K$4*1000</f>
        <v>2.1478615678764742E-2</v>
      </c>
      <c r="G26" s="12">
        <f t="shared" si="3"/>
        <v>5.4587967274490143</v>
      </c>
    </row>
    <row r="27" spans="1:7">
      <c r="A27" s="12">
        <v>11</v>
      </c>
      <c r="B27" s="32">
        <v>10353.74</v>
      </c>
      <c r="C27" s="12">
        <f t="shared" si="0"/>
        <v>10.35374</v>
      </c>
      <c r="D27" s="12">
        <f t="shared" si="1"/>
        <v>0.72165567800000008</v>
      </c>
      <c r="E27" s="12">
        <f t="shared" si="2"/>
        <v>3.2216771339285723E-2</v>
      </c>
      <c r="F27" s="12">
        <f>E27/Calculation!K$4*1000</f>
        <v>2.179754488449643E-2</v>
      </c>
      <c r="G27" s="12">
        <f t="shared" si="3"/>
        <v>6.107939135897932</v>
      </c>
    </row>
    <row r="28" spans="1:7">
      <c r="A28" s="12">
        <v>11.5</v>
      </c>
      <c r="B28" s="32">
        <v>10940.48</v>
      </c>
      <c r="C28" s="12">
        <f t="shared" si="0"/>
        <v>10.940479999999999</v>
      </c>
      <c r="D28" s="12">
        <f t="shared" si="1"/>
        <v>0.76255145599999996</v>
      </c>
      <c r="E28" s="12">
        <f t="shared" si="2"/>
        <v>3.4042475714285717E-2</v>
      </c>
      <c r="F28" s="12">
        <f>E28/Calculation!K$4*1000</f>
        <v>2.303279818287261E-2</v>
      </c>
      <c r="G28" s="12">
        <f t="shared" si="3"/>
        <v>6.7803942819084675</v>
      </c>
    </row>
    <row r="29" spans="1:7">
      <c r="A29" s="12">
        <v>12</v>
      </c>
      <c r="B29" s="32">
        <v>9980.56</v>
      </c>
      <c r="C29" s="12">
        <f t="shared" si="0"/>
        <v>9.9805599999999988</v>
      </c>
      <c r="D29" s="12">
        <f t="shared" si="1"/>
        <v>0.69564503199999994</v>
      </c>
      <c r="E29" s="12">
        <f t="shared" si="2"/>
        <v>3.1055581785714284E-2</v>
      </c>
      <c r="F29" s="12">
        <f>E29/Calculation!K$4*1000</f>
        <v>2.1011895660158514E-2</v>
      </c>
      <c r="G29" s="12">
        <f t="shared" si="3"/>
        <v>7.4410646895539347</v>
      </c>
    </row>
    <row r="30" spans="1:7">
      <c r="A30" s="12">
        <v>12.5</v>
      </c>
      <c r="B30" s="32">
        <v>10374.43</v>
      </c>
      <c r="C30" s="12">
        <f t="shared" si="0"/>
        <v>10.37443</v>
      </c>
      <c r="D30" s="12">
        <f t="shared" si="1"/>
        <v>0.72309777100000006</v>
      </c>
      <c r="E30" s="12">
        <f t="shared" si="2"/>
        <v>3.2281150491071435E-2</v>
      </c>
      <c r="F30" s="12">
        <f>E30/Calculation!K$4*1000</f>
        <v>2.184110317393196E-2</v>
      </c>
      <c r="G30" s="12">
        <f t="shared" si="3"/>
        <v>8.0838596720652927</v>
      </c>
    </row>
    <row r="31" spans="1:7">
      <c r="A31" s="12">
        <v>13</v>
      </c>
      <c r="B31" s="32">
        <v>10725.44</v>
      </c>
      <c r="C31" s="12">
        <f t="shared" si="0"/>
        <v>10.725440000000001</v>
      </c>
      <c r="D31" s="12">
        <f t="shared" si="1"/>
        <v>0.74756316800000011</v>
      </c>
      <c r="E31" s="12">
        <f t="shared" si="2"/>
        <v>3.3373355714285721E-2</v>
      </c>
      <c r="F31" s="12">
        <f>E31/Calculation!K$4*1000</f>
        <v>2.2580078291127011E-2</v>
      </c>
      <c r="G31" s="12">
        <f t="shared" si="3"/>
        <v>8.7501773940411773</v>
      </c>
    </row>
    <row r="32" spans="1:7">
      <c r="A32" s="12">
        <v>13.5</v>
      </c>
      <c r="B32" s="32">
        <v>10324.92</v>
      </c>
      <c r="C32" s="12">
        <f t="shared" si="0"/>
        <v>10.324920000000001</v>
      </c>
      <c r="D32" s="12">
        <f t="shared" si="1"/>
        <v>0.71964692400000008</v>
      </c>
      <c r="E32" s="12">
        <f t="shared" si="2"/>
        <v>3.212709482142858E-2</v>
      </c>
      <c r="F32" s="12">
        <f>E32/Calculation!K$4*1000</f>
        <v>2.1736870650492953E-2</v>
      </c>
      <c r="G32" s="12">
        <f t="shared" si="3"/>
        <v>9.4149316281654762</v>
      </c>
    </row>
    <row r="33" spans="1:7">
      <c r="A33" s="12">
        <v>14</v>
      </c>
      <c r="B33" s="32">
        <v>11442.98</v>
      </c>
      <c r="C33" s="12">
        <f t="shared" si="0"/>
        <v>11.44298</v>
      </c>
      <c r="D33" s="12">
        <f t="shared" si="1"/>
        <v>0.79757570600000005</v>
      </c>
      <c r="E33" s="12">
        <f t="shared" si="2"/>
        <v>3.5606058303571435E-2</v>
      </c>
      <c r="F33" s="12">
        <f>E33/Calculation!K$4*1000</f>
        <v>2.4090702505799345E-2</v>
      </c>
      <c r="G33" s="12">
        <f t="shared" si="3"/>
        <v>10.102345225509861</v>
      </c>
    </row>
    <row r="34" spans="1:7">
      <c r="A34" s="12">
        <v>14.5</v>
      </c>
      <c r="B34" s="32">
        <v>10864.37</v>
      </c>
      <c r="C34" s="12">
        <f t="shared" si="0"/>
        <v>10.864370000000001</v>
      </c>
      <c r="D34" s="12">
        <f t="shared" si="1"/>
        <v>0.75724658900000019</v>
      </c>
      <c r="E34" s="12">
        <f t="shared" si="2"/>
        <v>3.3805651294642865E-2</v>
      </c>
      <c r="F34" s="12">
        <f>E34/Calculation!K$4*1000</f>
        <v>2.2872565151991115E-2</v>
      </c>
      <c r="G34" s="12">
        <f t="shared" si="3"/>
        <v>10.806794240376718</v>
      </c>
    </row>
    <row r="35" spans="1:7">
      <c r="A35" s="12">
        <v>15</v>
      </c>
      <c r="B35" s="32">
        <v>10899.1</v>
      </c>
      <c r="C35" s="12">
        <f t="shared" si="0"/>
        <v>10.899100000000001</v>
      </c>
      <c r="D35" s="12">
        <f t="shared" si="1"/>
        <v>0.75966727000000001</v>
      </c>
      <c r="E35" s="12">
        <f t="shared" si="2"/>
        <v>3.3913717410714285E-2</v>
      </c>
      <c r="F35" s="12">
        <f>E35/Calculation!K$4*1000</f>
        <v>2.2945681604001546E-2</v>
      </c>
      <c r="G35" s="12">
        <f t="shared" si="3"/>
        <v>11.494067941716608</v>
      </c>
    </row>
    <row r="36" spans="1:7">
      <c r="A36" s="12">
        <v>15.5</v>
      </c>
      <c r="B36" s="32">
        <v>13584.52</v>
      </c>
      <c r="C36" s="12">
        <f t="shared" si="0"/>
        <v>13.584520000000001</v>
      </c>
      <c r="D36" s="12">
        <f t="shared" si="1"/>
        <v>0.94684104400000013</v>
      </c>
      <c r="E36" s="12">
        <f t="shared" si="2"/>
        <v>4.226968946428572E-2</v>
      </c>
      <c r="F36" s="12">
        <f>E36/Calculation!K$4*1000</f>
        <v>2.8599248622656101E-2</v>
      </c>
      <c r="G36" s="12">
        <f t="shared" si="3"/>
        <v>12.267241895116474</v>
      </c>
    </row>
    <row r="37" spans="1:7">
      <c r="A37" s="12">
        <v>16</v>
      </c>
      <c r="B37" s="32">
        <v>10014.549999999999</v>
      </c>
      <c r="C37" s="12">
        <f t="shared" si="0"/>
        <v>10.01455</v>
      </c>
      <c r="D37" s="12">
        <f t="shared" si="1"/>
        <v>0.69801413500000009</v>
      </c>
      <c r="E37" s="12">
        <f t="shared" si="2"/>
        <v>3.1161345312500005E-2</v>
      </c>
      <c r="F37" s="12">
        <f>E37/Calculation!K$4*1000</f>
        <v>2.1083454203315293E-2</v>
      </c>
      <c r="G37" s="12">
        <f t="shared" si="3"/>
        <v>13.012482437506044</v>
      </c>
    </row>
    <row r="38" spans="1:7">
      <c r="A38" s="12">
        <v>16.5</v>
      </c>
      <c r="B38" s="32">
        <v>9350.2099999999991</v>
      </c>
      <c r="C38" s="12">
        <f t="shared" si="0"/>
        <v>9.3502099999999988</v>
      </c>
      <c r="D38" s="12">
        <f t="shared" si="1"/>
        <v>0.65170963699999995</v>
      </c>
      <c r="E38" s="12">
        <f t="shared" si="2"/>
        <v>2.9094180223214285E-2</v>
      </c>
      <c r="F38" s="12">
        <f>E38/Calculation!K$4*1000</f>
        <v>1.9684831003527931E-2</v>
      </c>
      <c r="G38" s="12">
        <f t="shared" si="3"/>
        <v>13.624006715608692</v>
      </c>
    </row>
    <row r="39" spans="1:7">
      <c r="A39" s="12">
        <v>17</v>
      </c>
      <c r="B39" s="32">
        <v>9323.61</v>
      </c>
      <c r="C39" s="12">
        <f t="shared" si="0"/>
        <v>9.3236100000000004</v>
      </c>
      <c r="D39" s="12">
        <f t="shared" si="1"/>
        <v>0.64985561699999994</v>
      </c>
      <c r="E39" s="12">
        <f t="shared" si="2"/>
        <v>2.9011411473214285E-2</v>
      </c>
      <c r="F39" s="12">
        <f>E39/Calculation!K$4*1000</f>
        <v>1.962883049608544E-2</v>
      </c>
      <c r="G39" s="12">
        <f t="shared" si="3"/>
        <v>14.213711638102893</v>
      </c>
    </row>
    <row r="40" spans="1:7">
      <c r="A40" s="12">
        <v>17.5</v>
      </c>
      <c r="B40" s="32">
        <v>8517.39</v>
      </c>
      <c r="C40" s="12">
        <f t="shared" si="0"/>
        <v>8.5173899999999989</v>
      </c>
      <c r="D40" s="12">
        <f t="shared" si="1"/>
        <v>0.59366208300000001</v>
      </c>
      <c r="E40" s="12">
        <f t="shared" si="2"/>
        <v>2.6502771562500003E-2</v>
      </c>
      <c r="F40" s="12">
        <f>E40/Calculation!K$4*1000</f>
        <v>1.7931509852841681E-2</v>
      </c>
      <c r="G40" s="12">
        <f t="shared" si="3"/>
        <v>14.7771167433368</v>
      </c>
    </row>
    <row r="41" spans="1:7">
      <c r="A41" s="12">
        <v>18</v>
      </c>
      <c r="B41" s="32">
        <v>8380.68</v>
      </c>
      <c r="C41" s="12">
        <f t="shared" si="0"/>
        <v>8.3806799999999999</v>
      </c>
      <c r="D41" s="12">
        <f t="shared" si="1"/>
        <v>0.58413339600000003</v>
      </c>
      <c r="E41" s="12">
        <f t="shared" si="2"/>
        <v>2.6077383750000002E-2</v>
      </c>
      <c r="F41" s="12">
        <f>E41/Calculation!K$4*1000</f>
        <v>1.7643696718538569E-2</v>
      </c>
      <c r="G41" s="12">
        <f t="shared" si="3"/>
        <v>15.310744841907503</v>
      </c>
    </row>
    <row r="42" spans="1:7">
      <c r="A42" s="12">
        <v>18.5</v>
      </c>
      <c r="B42" s="32">
        <v>8516.65</v>
      </c>
      <c r="C42" s="12">
        <f t="shared" si="0"/>
        <v>8.5166500000000003</v>
      </c>
      <c r="D42" s="12">
        <f t="shared" si="1"/>
        <v>0.59361050500000012</v>
      </c>
      <c r="E42" s="12">
        <f t="shared" si="2"/>
        <v>2.6500468973214293E-2</v>
      </c>
      <c r="F42" s="12">
        <f>E42/Calculation!K$4*1000</f>
        <v>1.7929951943988019E-2</v>
      </c>
      <c r="G42" s="12">
        <f t="shared" si="3"/>
        <v>15.844349571845402</v>
      </c>
    </row>
    <row r="43" spans="1:7">
      <c r="A43" s="12">
        <v>19</v>
      </c>
      <c r="B43" s="32">
        <v>7865.62</v>
      </c>
      <c r="C43" s="12">
        <f t="shared" si="0"/>
        <v>7.8656199999999998</v>
      </c>
      <c r="D43" s="12">
        <f t="shared" si="1"/>
        <v>0.54823371400000009</v>
      </c>
      <c r="E43" s="12">
        <f t="shared" si="2"/>
        <v>2.4474719375000006E-2</v>
      </c>
      <c r="F43" s="12">
        <f>E43/Calculation!K$4*1000</f>
        <v>1.6559350050744253E-2</v>
      </c>
      <c r="G43" s="12">
        <f t="shared" si="3"/>
        <v>16.361689101766387</v>
      </c>
    </row>
    <row r="44" spans="1:7">
      <c r="A44" s="12">
        <v>19.5</v>
      </c>
      <c r="B44" s="32">
        <v>7259.66</v>
      </c>
      <c r="C44" s="12">
        <f t="shared" si="0"/>
        <v>7.2596600000000002</v>
      </c>
      <c r="D44" s="12">
        <f t="shared" si="1"/>
        <v>0.50599830200000007</v>
      </c>
      <c r="E44" s="12">
        <f t="shared" si="2"/>
        <v>2.2589209910714291E-2</v>
      </c>
      <c r="F44" s="12">
        <f>E44/Calculation!K$4*1000</f>
        <v>1.5283633227817518E-2</v>
      </c>
      <c r="G44" s="12">
        <f t="shared" si="3"/>
        <v>16.839333850944815</v>
      </c>
    </row>
    <row r="45" spans="1:7">
      <c r="A45" s="12">
        <v>20</v>
      </c>
      <c r="B45" s="32">
        <v>7533.82</v>
      </c>
      <c r="C45" s="12">
        <f t="shared" si="0"/>
        <v>7.5338199999999995</v>
      </c>
      <c r="D45" s="12">
        <f t="shared" si="1"/>
        <v>0.52510725400000002</v>
      </c>
      <c r="E45" s="12">
        <f t="shared" si="2"/>
        <v>2.3442288125000002E-2</v>
      </c>
      <c r="F45" s="12">
        <f>E45/Calculation!K$4*1000</f>
        <v>1.5860817405277405E-2</v>
      </c>
      <c r="G45" s="12">
        <f t="shared" si="3"/>
        <v>17.30650061044124</v>
      </c>
    </row>
    <row r="46" spans="1:7">
      <c r="A46" s="12">
        <v>20.5</v>
      </c>
      <c r="B46" s="32">
        <v>7222.71</v>
      </c>
      <c r="C46" s="12">
        <f t="shared" si="0"/>
        <v>7.2227100000000002</v>
      </c>
      <c r="D46" s="12">
        <f t="shared" si="1"/>
        <v>0.50342288700000004</v>
      </c>
      <c r="E46" s="12">
        <f t="shared" si="2"/>
        <v>2.2474236026785718E-2</v>
      </c>
      <c r="F46" s="12">
        <f>E46/Calculation!K$4*1000</f>
        <v>1.5205843049246088E-2</v>
      </c>
      <c r="G46" s="12">
        <f t="shared" si="3"/>
        <v>17.772500517259093</v>
      </c>
    </row>
    <row r="47" spans="1:7">
      <c r="A47" s="12">
        <v>21</v>
      </c>
      <c r="B47" s="32">
        <v>7022.45</v>
      </c>
      <c r="C47" s="12">
        <f t="shared" si="0"/>
        <v>7.0224500000000001</v>
      </c>
      <c r="D47" s="12">
        <f t="shared" si="1"/>
        <v>0.48946476500000002</v>
      </c>
      <c r="E47" s="12">
        <f t="shared" si="2"/>
        <v>2.1851105580357147E-2</v>
      </c>
      <c r="F47" s="12">
        <f>E47/Calculation!K$4*1000</f>
        <v>1.4784239228929057E-2</v>
      </c>
      <c r="G47" s="12">
        <f t="shared" si="3"/>
        <v>18.22235175143172</v>
      </c>
    </row>
    <row r="48" spans="1:7">
      <c r="A48" s="12">
        <v>21.5</v>
      </c>
      <c r="B48" s="32">
        <v>7359.42</v>
      </c>
      <c r="C48" s="12">
        <f t="shared" si="0"/>
        <v>7.3594200000000001</v>
      </c>
      <c r="D48" s="12">
        <f t="shared" si="1"/>
        <v>0.51295157400000002</v>
      </c>
      <c r="E48" s="12">
        <f t="shared" si="2"/>
        <v>2.2899623839285718E-2</v>
      </c>
      <c r="F48" s="12">
        <f>E48/Calculation!K$4*1000</f>
        <v>1.54936561835492E-2</v>
      </c>
      <c r="G48" s="12">
        <f t="shared" si="3"/>
        <v>18.676520182618894</v>
      </c>
    </row>
    <row r="49" spans="1:7">
      <c r="A49" s="12">
        <v>22</v>
      </c>
      <c r="B49" s="32">
        <v>6866.53</v>
      </c>
      <c r="C49" s="12">
        <f t="shared" si="0"/>
        <v>6.86653</v>
      </c>
      <c r="D49" s="12">
        <f t="shared" si="1"/>
        <v>0.478597141</v>
      </c>
      <c r="E49" s="12">
        <f t="shared" si="2"/>
        <v>2.136594379464286E-2</v>
      </c>
      <c r="F49" s="12">
        <f>E49/Calculation!K$4*1000</f>
        <v>1.4455983622897741E-2</v>
      </c>
      <c r="G49" s="12">
        <f t="shared" si="3"/>
        <v>19.125764779715599</v>
      </c>
    </row>
    <row r="50" spans="1:7">
      <c r="A50" s="12">
        <v>22.5</v>
      </c>
      <c r="B50" s="32">
        <v>7058.66</v>
      </c>
      <c r="C50" s="12">
        <f t="shared" si="0"/>
        <v>7.0586599999999997</v>
      </c>
      <c r="D50" s="12">
        <f t="shared" si="1"/>
        <v>0.491988602</v>
      </c>
      <c r="E50" s="12">
        <f t="shared" si="2"/>
        <v>2.1963776875E-2</v>
      </c>
      <c r="F50" s="12">
        <f>E50/Calculation!K$4*1000</f>
        <v>1.486047149864682E-2</v>
      </c>
      <c r="G50" s="12">
        <f t="shared" si="3"/>
        <v>19.565511606538767</v>
      </c>
    </row>
    <row r="51" spans="1:7">
      <c r="A51" s="12">
        <v>23</v>
      </c>
      <c r="B51" s="32">
        <v>7104.48</v>
      </c>
      <c r="C51" s="12">
        <f t="shared" si="0"/>
        <v>7.1044799999999997</v>
      </c>
      <c r="D51" s="12">
        <f t="shared" si="1"/>
        <v>0.49518225599999999</v>
      </c>
      <c r="E51" s="12">
        <f t="shared" si="2"/>
        <v>2.2106350714285714E-2</v>
      </c>
      <c r="F51" s="12">
        <f>E51/Calculation!K$4*1000</f>
        <v>1.4956935530639861E-2</v>
      </c>
      <c r="G51" s="12">
        <f t="shared" si="3"/>
        <v>20.012772711978066</v>
      </c>
    </row>
    <row r="52" spans="1:7">
      <c r="A52" s="12">
        <v>23.5</v>
      </c>
      <c r="B52" s="32">
        <v>7023.19</v>
      </c>
      <c r="C52" s="12">
        <f t="shared" si="0"/>
        <v>7.0231899999999996</v>
      </c>
      <c r="D52" s="12">
        <f t="shared" si="1"/>
        <v>0.48951634299999996</v>
      </c>
      <c r="E52" s="12">
        <f t="shared" si="2"/>
        <v>2.1853408169642857E-2</v>
      </c>
      <c r="F52" s="12">
        <f>E52/Calculation!K$4*1000</f>
        <v>1.4785797137782717E-2</v>
      </c>
      <c r="G52" s="12">
        <f t="shared" si="3"/>
        <v>20.458913702004406</v>
      </c>
    </row>
    <row r="53" spans="1:7">
      <c r="A53" s="12">
        <v>24</v>
      </c>
      <c r="B53" s="32">
        <v>6970.72</v>
      </c>
      <c r="C53" s="12">
        <f t="shared" si="0"/>
        <v>6.97072</v>
      </c>
      <c r="D53" s="12">
        <f t="shared" si="1"/>
        <v>0.485859184</v>
      </c>
      <c r="E53" s="12">
        <f t="shared" si="2"/>
        <v>2.1690142142857145E-2</v>
      </c>
      <c r="F53" s="12">
        <f>E53/Calculation!K$4*1000</f>
        <v>1.4675332978929057E-2</v>
      </c>
      <c r="G53" s="12">
        <f t="shared" si="3"/>
        <v>20.900830653755083</v>
      </c>
    </row>
    <row r="54" spans="1:7">
      <c r="A54" s="12">
        <v>24.5</v>
      </c>
      <c r="B54" s="32">
        <v>6642.62</v>
      </c>
      <c r="C54" s="12">
        <f t="shared" si="0"/>
        <v>6.64262</v>
      </c>
      <c r="D54" s="12">
        <f t="shared" si="1"/>
        <v>0.46299061400000002</v>
      </c>
      <c r="E54" s="12">
        <f t="shared" si="2"/>
        <v>2.0669223839285718E-2</v>
      </c>
      <c r="F54" s="12">
        <f>E54/Calculation!K$4*1000</f>
        <v>1.3984589877730526E-2</v>
      </c>
      <c r="G54" s="12">
        <f t="shared" si="3"/>
        <v>21.330729496604977</v>
      </c>
    </row>
    <row r="55" spans="1:7">
      <c r="A55" s="12">
        <v>25</v>
      </c>
      <c r="B55" s="32">
        <v>6822.93</v>
      </c>
      <c r="C55" s="12">
        <f t="shared" si="0"/>
        <v>6.8229300000000004</v>
      </c>
      <c r="D55" s="12">
        <f t="shared" si="1"/>
        <v>0.47555822100000006</v>
      </c>
      <c r="E55" s="12">
        <f t="shared" si="2"/>
        <v>2.1230277723214289E-2</v>
      </c>
      <c r="F55" s="12">
        <f>E55/Calculation!K$4*1000</f>
        <v>1.436419331746569E-2</v>
      </c>
      <c r="G55" s="12">
        <f t="shared" si="3"/>
        <v>21.755961244532919</v>
      </c>
    </row>
    <row r="56" spans="1:7">
      <c r="A56" s="12">
        <v>25.5</v>
      </c>
      <c r="B56" s="32">
        <v>6962.59</v>
      </c>
      <c r="C56" s="12">
        <f t="shared" si="0"/>
        <v>6.9625900000000005</v>
      </c>
      <c r="D56" s="12">
        <f t="shared" si="1"/>
        <v>0.48529252300000003</v>
      </c>
      <c r="E56" s="12">
        <f t="shared" si="2"/>
        <v>2.1664844776785718E-2</v>
      </c>
      <c r="F56" s="12">
        <f>E56/Calculation!K$4*1000</f>
        <v>1.4658217034361109E-2</v>
      </c>
      <c r="G56" s="12">
        <f t="shared" si="3"/>
        <v>22.19129739981032</v>
      </c>
    </row>
    <row r="57" spans="1:7">
      <c r="A57" s="12">
        <v>26</v>
      </c>
      <c r="B57" s="32">
        <v>6620.45</v>
      </c>
      <c r="C57" s="12">
        <f t="shared" si="0"/>
        <v>6.6204499999999999</v>
      </c>
      <c r="D57" s="12">
        <f t="shared" si="1"/>
        <v>0.461445365</v>
      </c>
      <c r="E57" s="12">
        <f t="shared" si="2"/>
        <v>2.0600239508928572E-2</v>
      </c>
      <c r="F57" s="12">
        <f>E57/Calculation!K$4*1000</f>
        <v>1.3937915770587667E-2</v>
      </c>
      <c r="G57" s="12">
        <f t="shared" si="3"/>
        <v>22.620239391884553</v>
      </c>
    </row>
    <row r="58" spans="1:7">
      <c r="A58" s="12">
        <v>26.5</v>
      </c>
      <c r="B58" s="32">
        <v>6944.12</v>
      </c>
      <c r="C58" s="12">
        <f t="shared" si="0"/>
        <v>6.9441199999999998</v>
      </c>
      <c r="D58" s="12">
        <f t="shared" si="1"/>
        <v>0.48400516399999999</v>
      </c>
      <c r="E58" s="12">
        <f t="shared" si="2"/>
        <v>2.1607373392857145E-2</v>
      </c>
      <c r="F58" s="12">
        <f>E58/Calculation!K$4*1000</f>
        <v>1.4619332471486567E-2</v>
      </c>
      <c r="G58" s="12">
        <f t="shared" si="3"/>
        <v>23.048598115515667</v>
      </c>
    </row>
    <row r="59" spans="1:7">
      <c r="A59" s="12">
        <v>27</v>
      </c>
      <c r="B59" s="32">
        <v>6303.43</v>
      </c>
      <c r="C59" s="12">
        <f t="shared" si="0"/>
        <v>6.3034300000000005</v>
      </c>
      <c r="D59" s="12">
        <f t="shared" si="1"/>
        <v>0.43934907100000004</v>
      </c>
      <c r="E59" s="12">
        <f t="shared" si="2"/>
        <v>1.9613797812500004E-2</v>
      </c>
      <c r="F59" s="12">
        <f>E59/Calculation!K$4*1000</f>
        <v>1.3270499196549393E-2</v>
      </c>
      <c r="G59" s="12">
        <f t="shared" si="3"/>
        <v>23.466945590536206</v>
      </c>
    </row>
    <row r="60" spans="1:7">
      <c r="A60" s="12">
        <v>27.5</v>
      </c>
      <c r="B60" s="32">
        <v>6596.06</v>
      </c>
      <c r="C60" s="12">
        <f t="shared" si="0"/>
        <v>6.5960600000000005</v>
      </c>
      <c r="D60" s="12">
        <f t="shared" si="1"/>
        <v>0.45974538200000009</v>
      </c>
      <c r="E60" s="12">
        <f t="shared" si="2"/>
        <v>2.0524347410714291E-2</v>
      </c>
      <c r="F60" s="12">
        <f>E60/Calculation!K$4*1000</f>
        <v>1.3886567936883823E-2</v>
      </c>
      <c r="G60" s="12">
        <f t="shared" si="3"/>
        <v>23.874301597537706</v>
      </c>
    </row>
    <row r="61" spans="1:7">
      <c r="A61" s="12">
        <v>28</v>
      </c>
      <c r="B61" s="32">
        <v>6768.25</v>
      </c>
      <c r="C61" s="12">
        <f t="shared" si="0"/>
        <v>6.7682500000000001</v>
      </c>
      <c r="D61" s="12">
        <f t="shared" si="1"/>
        <v>0.47174702500000004</v>
      </c>
      <c r="E61" s="12">
        <f t="shared" si="2"/>
        <v>2.106013504464286E-2</v>
      </c>
      <c r="F61" s="12">
        <f>E61/Calculation!K$4*1000</f>
        <v>1.4249076484873382E-2</v>
      </c>
      <c r="G61" s="12">
        <f t="shared" si="3"/>
        <v>24.296336263864063</v>
      </c>
    </row>
    <row r="62" spans="1:7">
      <c r="A62" s="12">
        <v>28.5</v>
      </c>
      <c r="B62" s="32">
        <v>6662.57</v>
      </c>
      <c r="C62" s="12">
        <f t="shared" si="0"/>
        <v>6.6625699999999997</v>
      </c>
      <c r="D62" s="12">
        <f t="shared" si="1"/>
        <v>0.464381129</v>
      </c>
      <c r="E62" s="12">
        <f t="shared" si="2"/>
        <v>2.0731300401785717E-2</v>
      </c>
      <c r="F62" s="12">
        <f>E62/Calculation!K$4*1000</f>
        <v>1.4026590258312393E-2</v>
      </c>
      <c r="G62" s="12">
        <f t="shared" si="3"/>
        <v>24.720471265011849</v>
      </c>
    </row>
    <row r="63" spans="1:7">
      <c r="A63" s="12">
        <v>29</v>
      </c>
      <c r="B63" s="32">
        <v>6563.55</v>
      </c>
      <c r="C63" s="12">
        <f t="shared" si="0"/>
        <v>6.5635500000000002</v>
      </c>
      <c r="D63" s="12">
        <f t="shared" si="1"/>
        <v>0.45747943500000005</v>
      </c>
      <c r="E63" s="12">
        <f t="shared" si="2"/>
        <v>2.0423189062500003E-2</v>
      </c>
      <c r="F63" s="12">
        <f>E63/Calculation!K$4*1000</f>
        <v>1.3818125211434372E-2</v>
      </c>
      <c r="G63" s="12">
        <f t="shared" si="3"/>
        <v>25.13814199705805</v>
      </c>
    </row>
    <row r="64" spans="1:7">
      <c r="A64" s="12">
        <v>29.5</v>
      </c>
      <c r="B64" s="32">
        <v>6016.71</v>
      </c>
      <c r="C64" s="12">
        <f t="shared" si="0"/>
        <v>6.0167099999999998</v>
      </c>
      <c r="D64" s="12">
        <f t="shared" si="1"/>
        <v>0.41936468700000001</v>
      </c>
      <c r="E64" s="12">
        <f t="shared" si="2"/>
        <v>1.8721637812500001E-2</v>
      </c>
      <c r="F64" s="12">
        <f>E64/Calculation!K$4*1000</f>
        <v>1.2666872674221921E-2</v>
      </c>
      <c r="G64" s="12">
        <f t="shared" si="3"/>
        <v>25.535416965342893</v>
      </c>
    </row>
    <row r="65" spans="1:7">
      <c r="A65" s="12">
        <v>30</v>
      </c>
      <c r="B65" s="32">
        <v>5905.86</v>
      </c>
      <c r="C65" s="12">
        <f t="shared" si="0"/>
        <v>5.9058599999999997</v>
      </c>
      <c r="D65" s="12">
        <f t="shared" si="1"/>
        <v>0.41163844199999999</v>
      </c>
      <c r="E65" s="12">
        <f t="shared" si="2"/>
        <v>1.8376716160714287E-2</v>
      </c>
      <c r="F65" s="12">
        <f>E65/Calculation!K$4*1000</f>
        <v>1.2433502138507637E-2</v>
      </c>
      <c r="G65" s="12">
        <f t="shared" si="3"/>
        <v>25.911922587533837</v>
      </c>
    </row>
    <row r="66" spans="1:7">
      <c r="A66" s="12">
        <v>30.5</v>
      </c>
      <c r="B66" s="32">
        <v>7702.31</v>
      </c>
      <c r="C66" s="12">
        <f t="shared" si="0"/>
        <v>7.7023100000000007</v>
      </c>
      <c r="D66" s="12">
        <f t="shared" si="1"/>
        <v>0.5368510070000001</v>
      </c>
      <c r="E66" s="12">
        <f t="shared" si="2"/>
        <v>2.3966562812500005E-2</v>
      </c>
      <c r="F66" s="12">
        <f>E66/Calculation!K$4*1000</f>
        <v>1.621553640899865E-2</v>
      </c>
      <c r="G66" s="12">
        <f t="shared" si="3"/>
        <v>26.341658165746431</v>
      </c>
    </row>
    <row r="67" spans="1:7">
      <c r="A67" s="12">
        <v>31</v>
      </c>
      <c r="B67" s="32">
        <v>5700.43</v>
      </c>
      <c r="C67" s="12">
        <f t="shared" si="0"/>
        <v>5.7004299999999999</v>
      </c>
      <c r="D67" s="12">
        <f t="shared" si="1"/>
        <v>0.39731997100000005</v>
      </c>
      <c r="E67" s="12">
        <f t="shared" si="2"/>
        <v>1.7737498705357145E-2</v>
      </c>
      <c r="F67" s="12">
        <f>E67/Calculation!K$4*1000</f>
        <v>1.200101400903731E-2</v>
      </c>
      <c r="G67" s="12">
        <f t="shared" si="3"/>
        <v>26.764906422016971</v>
      </c>
    </row>
    <row r="68" spans="1:7">
      <c r="A68" s="12">
        <v>31.5</v>
      </c>
      <c r="B68" s="32">
        <v>5515.69</v>
      </c>
      <c r="C68" s="12">
        <f t="shared" si="0"/>
        <v>5.5156899999999993</v>
      </c>
      <c r="D68" s="12">
        <f t="shared" si="1"/>
        <v>0.38444359299999997</v>
      </c>
      <c r="E68" s="12">
        <f t="shared" si="2"/>
        <v>1.7162660401785716E-2</v>
      </c>
      <c r="F68" s="12">
        <f>E68/Calculation!K$4*1000</f>
        <v>1.1612084169002513E-2</v>
      </c>
      <c r="G68" s="12">
        <f t="shared" si="3"/>
        <v>27.119102894687568</v>
      </c>
    </row>
    <row r="69" spans="1:7">
      <c r="A69" s="12">
        <v>32</v>
      </c>
      <c r="B69" s="32">
        <v>6062.53</v>
      </c>
      <c r="C69" s="12">
        <f t="shared" si="0"/>
        <v>6.0625299999999998</v>
      </c>
      <c r="D69" s="12">
        <f t="shared" si="1"/>
        <v>0.422558341</v>
      </c>
      <c r="E69" s="12">
        <f t="shared" si="2"/>
        <v>1.8864211651785714E-2</v>
      </c>
      <c r="F69" s="12">
        <f>E69/Calculation!K$4*1000</f>
        <v>1.2763336706214962E-2</v>
      </c>
      <c r="G69" s="12">
        <f t="shared" si="3"/>
        <v>27.48473420781583</v>
      </c>
    </row>
    <row r="70" spans="1:7">
      <c r="A70" s="12">
        <v>32.5</v>
      </c>
      <c r="B70" s="32">
        <v>6174.11</v>
      </c>
      <c r="C70" s="12">
        <f t="shared" ref="C70:C101" si="4">B70/1000</f>
        <v>6.1741099999999998</v>
      </c>
      <c r="D70" s="12">
        <f t="shared" ref="D70:D101" si="5">C70/1000*$B$1</f>
        <v>0.43033546700000003</v>
      </c>
      <c r="E70" s="12">
        <f t="shared" ref="E70:E101" si="6">D70/22.4</f>
        <v>1.9211404776785717E-2</v>
      </c>
      <c r="F70" s="12">
        <f>E70/Calculation!K$4*1000</f>
        <v>1.2998244097960566E-2</v>
      </c>
      <c r="G70" s="12">
        <f t="shared" si="3"/>
        <v>27.871157919878463</v>
      </c>
    </row>
    <row r="71" spans="1:7">
      <c r="A71" s="12">
        <v>33</v>
      </c>
      <c r="B71" s="32">
        <v>5509.04</v>
      </c>
      <c r="C71" s="12">
        <f t="shared" si="4"/>
        <v>5.5090399999999997</v>
      </c>
      <c r="D71" s="12">
        <f t="shared" si="5"/>
        <v>0.383980088</v>
      </c>
      <c r="E71" s="12">
        <f t="shared" si="6"/>
        <v>1.7141968214285715E-2</v>
      </c>
      <c r="F71" s="12">
        <f>E71/Calculation!K$4*1000</f>
        <v>1.159808404214189E-2</v>
      </c>
      <c r="G71" s="12">
        <f t="shared" ref="G71:G101" si="7">G70+(F71+F70)/2*30</f>
        <v>28.240102841980001</v>
      </c>
    </row>
    <row r="72" spans="1:7">
      <c r="A72" s="12">
        <v>33.5</v>
      </c>
      <c r="B72" s="32">
        <v>5877.78</v>
      </c>
      <c r="C72" s="12">
        <f t="shared" si="4"/>
        <v>5.8777799999999996</v>
      </c>
      <c r="D72" s="12">
        <f t="shared" si="5"/>
        <v>0.40968126599999999</v>
      </c>
      <c r="E72" s="12">
        <f t="shared" si="6"/>
        <v>1.8289342232142857E-2</v>
      </c>
      <c r="F72" s="12">
        <f>E72/Calculation!K$4*1000</f>
        <v>1.237438581335782E-2</v>
      </c>
      <c r="G72" s="12">
        <f t="shared" si="7"/>
        <v>28.599689889812495</v>
      </c>
    </row>
    <row r="73" spans="1:7">
      <c r="A73" s="12">
        <v>34</v>
      </c>
      <c r="B73" s="32">
        <v>5501.65</v>
      </c>
      <c r="C73" s="12">
        <f t="shared" si="4"/>
        <v>5.5016499999999997</v>
      </c>
      <c r="D73" s="12">
        <f t="shared" si="5"/>
        <v>0.38346500499999997</v>
      </c>
      <c r="E73" s="12">
        <f t="shared" si="6"/>
        <v>1.7118973437500001E-2</v>
      </c>
      <c r="F73" s="12">
        <f>E73/Calculation!K$4*1000</f>
        <v>1.1582526006427606E-2</v>
      </c>
      <c r="G73" s="12">
        <f t="shared" si="7"/>
        <v>28.959043567109276</v>
      </c>
    </row>
    <row r="74" spans="1:7">
      <c r="A74" s="12">
        <v>34.5</v>
      </c>
      <c r="B74" s="32">
        <v>5520.86</v>
      </c>
      <c r="C74" s="12">
        <f t="shared" si="4"/>
        <v>5.5208599999999999</v>
      </c>
      <c r="D74" s="12">
        <f t="shared" si="5"/>
        <v>0.38480394200000001</v>
      </c>
      <c r="E74" s="12">
        <f t="shared" si="6"/>
        <v>1.7178747410714287E-2</v>
      </c>
      <c r="F74" s="12">
        <f>E74/Calculation!K$4*1000</f>
        <v>1.1622968478155809E-2</v>
      </c>
      <c r="G74" s="12">
        <f t="shared" si="7"/>
        <v>29.307125984378029</v>
      </c>
    </row>
    <row r="75" spans="1:7">
      <c r="A75" s="12">
        <v>35</v>
      </c>
      <c r="B75" s="32">
        <v>5014.66</v>
      </c>
      <c r="C75" s="12">
        <f t="shared" si="4"/>
        <v>5.0146600000000001</v>
      </c>
      <c r="D75" s="12">
        <f t="shared" si="5"/>
        <v>0.34952180199999999</v>
      </c>
      <c r="E75" s="12">
        <f t="shared" si="6"/>
        <v>1.5603651875000001E-2</v>
      </c>
      <c r="F75" s="12">
        <f>E75/Calculation!K$4*1000</f>
        <v>1.0557274610960758E-2</v>
      </c>
      <c r="G75" s="12">
        <f t="shared" si="7"/>
        <v>29.639829630714779</v>
      </c>
    </row>
    <row r="76" spans="1:7">
      <c r="A76" s="12">
        <v>35.5</v>
      </c>
      <c r="B76" s="32">
        <v>4654.78</v>
      </c>
      <c r="C76" s="12">
        <f t="shared" si="4"/>
        <v>4.6547799999999997</v>
      </c>
      <c r="D76" s="12">
        <f t="shared" si="5"/>
        <v>0.32443816600000003</v>
      </c>
      <c r="E76" s="12">
        <f t="shared" si="6"/>
        <v>1.4483846696428574E-2</v>
      </c>
      <c r="F76" s="12">
        <f>E76/Calculation!K$4*1000</f>
        <v>9.7996256403440965E-3</v>
      </c>
      <c r="G76" s="12">
        <f t="shared" si="7"/>
        <v>29.945183134484353</v>
      </c>
    </row>
    <row r="77" spans="1:7">
      <c r="A77" s="12">
        <v>36</v>
      </c>
      <c r="B77" s="32">
        <v>5401.15</v>
      </c>
      <c r="C77" s="12">
        <f t="shared" si="4"/>
        <v>5.4011499999999995</v>
      </c>
      <c r="D77" s="12">
        <f t="shared" si="5"/>
        <v>0.37646015499999996</v>
      </c>
      <c r="E77" s="12">
        <f t="shared" si="6"/>
        <v>1.6806256919642857E-2</v>
      </c>
      <c r="F77" s="12">
        <f>E77/Calculation!K$4*1000</f>
        <v>1.1370945141842259E-2</v>
      </c>
      <c r="G77" s="12">
        <f t="shared" si="7"/>
        <v>30.262741696217148</v>
      </c>
    </row>
    <row r="78" spans="1:7">
      <c r="A78" s="12">
        <v>36.5</v>
      </c>
      <c r="B78" s="32">
        <v>5058.26</v>
      </c>
      <c r="C78" s="12">
        <f t="shared" si="4"/>
        <v>5.0582600000000006</v>
      </c>
      <c r="D78" s="12">
        <f t="shared" si="5"/>
        <v>0.3525607220000001</v>
      </c>
      <c r="E78" s="12">
        <f t="shared" si="6"/>
        <v>1.5739317946428577E-2</v>
      </c>
      <c r="F78" s="12">
        <f>E78/Calculation!K$4*1000</f>
        <v>1.0649064916392812E-2</v>
      </c>
      <c r="G78" s="12">
        <f t="shared" si="7"/>
        <v>30.593041847090674</v>
      </c>
    </row>
    <row r="79" spans="1:7">
      <c r="A79" s="12">
        <v>37</v>
      </c>
      <c r="B79" s="32">
        <v>5216.3999999999996</v>
      </c>
      <c r="C79" s="12">
        <f t="shared" si="4"/>
        <v>5.2163999999999993</v>
      </c>
      <c r="D79" s="12">
        <f t="shared" si="5"/>
        <v>0.36358308</v>
      </c>
      <c r="E79" s="12">
        <f t="shared" si="6"/>
        <v>1.62313875E-2</v>
      </c>
      <c r="F79" s="12">
        <f>E79/Calculation!K$4*1000</f>
        <v>1.0981994248985114E-2</v>
      </c>
      <c r="G79" s="12">
        <f t="shared" si="7"/>
        <v>30.917507734571345</v>
      </c>
    </row>
    <row r="80" spans="1:7">
      <c r="A80" s="12">
        <v>37.5</v>
      </c>
      <c r="B80" s="32">
        <v>5002.1000000000004</v>
      </c>
      <c r="C80" s="12">
        <f t="shared" si="4"/>
        <v>5.0021000000000004</v>
      </c>
      <c r="D80" s="12">
        <f t="shared" si="5"/>
        <v>0.34864637000000004</v>
      </c>
      <c r="E80" s="12">
        <f t="shared" si="6"/>
        <v>1.5564570089285718E-2</v>
      </c>
      <c r="F80" s="12">
        <f>E80/Calculation!K$4*1000</f>
        <v>1.0530832266093177E-2</v>
      </c>
      <c r="G80" s="12">
        <f t="shared" si="7"/>
        <v>31.24020013229752</v>
      </c>
    </row>
    <row r="81" spans="1:7">
      <c r="A81" s="12">
        <v>38</v>
      </c>
      <c r="B81" s="32">
        <v>6342.6</v>
      </c>
      <c r="C81" s="12">
        <f t="shared" si="4"/>
        <v>6.3426</v>
      </c>
      <c r="D81" s="12">
        <f t="shared" si="5"/>
        <v>0.44207922000000005</v>
      </c>
      <c r="E81" s="12">
        <f t="shared" si="6"/>
        <v>1.9735679464285717E-2</v>
      </c>
      <c r="F81" s="12">
        <f>E81/Calculation!K$4*1000</f>
        <v>1.3352963101681811E-2</v>
      </c>
      <c r="G81" s="12">
        <f t="shared" si="7"/>
        <v>31.598457062814145</v>
      </c>
    </row>
    <row r="82" spans="1:7">
      <c r="A82" s="12">
        <v>38.5</v>
      </c>
      <c r="B82" s="32">
        <v>4906.7700000000004</v>
      </c>
      <c r="C82" s="12">
        <f t="shared" si="4"/>
        <v>4.9067700000000007</v>
      </c>
      <c r="D82" s="12">
        <f t="shared" si="5"/>
        <v>0.34200186900000007</v>
      </c>
      <c r="E82" s="12">
        <f t="shared" si="6"/>
        <v>1.5267940580357147E-2</v>
      </c>
      <c r="F82" s="12">
        <f>E82/Calculation!K$4*1000</f>
        <v>1.0330135710661128E-2</v>
      </c>
      <c r="G82" s="12">
        <f t="shared" si="7"/>
        <v>31.953703544999289</v>
      </c>
    </row>
    <row r="83" spans="1:7">
      <c r="A83" s="12">
        <v>39</v>
      </c>
      <c r="B83" s="32">
        <v>4689.5200000000004</v>
      </c>
      <c r="C83" s="12">
        <f t="shared" si="4"/>
        <v>4.6895200000000008</v>
      </c>
      <c r="D83" s="12">
        <f t="shared" si="5"/>
        <v>0.32685954400000006</v>
      </c>
      <c r="E83" s="12">
        <f t="shared" si="6"/>
        <v>1.4591943928571433E-2</v>
      </c>
      <c r="F83" s="12">
        <f>E83/Calculation!K$4*1000</f>
        <v>9.8727631451768841E-3</v>
      </c>
      <c r="G83" s="12">
        <f t="shared" si="7"/>
        <v>32.256747027836859</v>
      </c>
    </row>
    <row r="84" spans="1:7">
      <c r="A84" s="12">
        <v>39.5</v>
      </c>
      <c r="B84" s="32">
        <v>4685.08</v>
      </c>
      <c r="C84" s="12">
        <f t="shared" si="4"/>
        <v>4.6850800000000001</v>
      </c>
      <c r="D84" s="12">
        <f t="shared" si="5"/>
        <v>0.32655007600000002</v>
      </c>
      <c r="E84" s="12">
        <f t="shared" si="6"/>
        <v>1.4578128392857145E-2</v>
      </c>
      <c r="F84" s="12">
        <f>E84/Calculation!K$4*1000</f>
        <v>9.8634156920549016E-3</v>
      </c>
      <c r="G84" s="12">
        <f t="shared" si="7"/>
        <v>32.552789710395338</v>
      </c>
    </row>
    <row r="85" spans="1:7">
      <c r="A85" s="12">
        <v>40</v>
      </c>
      <c r="B85" s="32">
        <v>4759.72</v>
      </c>
      <c r="C85" s="12">
        <f t="shared" si="4"/>
        <v>4.7597200000000006</v>
      </c>
      <c r="D85" s="12">
        <f t="shared" si="5"/>
        <v>0.33175248400000001</v>
      </c>
      <c r="E85" s="12">
        <f t="shared" si="6"/>
        <v>1.4810378750000002E-2</v>
      </c>
      <c r="F85" s="12">
        <f>E85/Calculation!K$4*1000</f>
        <v>1.0020553958051423E-2</v>
      </c>
      <c r="G85" s="12">
        <f t="shared" si="7"/>
        <v>32.851049255146933</v>
      </c>
    </row>
    <row r="86" spans="1:7">
      <c r="A86" s="12">
        <v>40.5</v>
      </c>
      <c r="B86" s="32">
        <v>4406.49</v>
      </c>
      <c r="C86" s="12">
        <f t="shared" si="4"/>
        <v>4.4064899999999998</v>
      </c>
      <c r="D86" s="12">
        <f t="shared" si="5"/>
        <v>0.30713235300000002</v>
      </c>
      <c r="E86" s="12">
        <f t="shared" si="6"/>
        <v>1.3711265758928573E-2</v>
      </c>
      <c r="F86" s="12">
        <f>E86/Calculation!K$4*1000</f>
        <v>9.2769051142953807E-3</v>
      </c>
      <c r="G86" s="12">
        <f t="shared" si="7"/>
        <v>33.140511141232132</v>
      </c>
    </row>
    <row r="87" spans="1:7">
      <c r="A87" s="12">
        <v>41</v>
      </c>
      <c r="B87" s="32">
        <v>4293.43</v>
      </c>
      <c r="C87" s="12">
        <f t="shared" si="4"/>
        <v>4.2934299999999999</v>
      </c>
      <c r="D87" s="12">
        <f t="shared" si="5"/>
        <v>0.29925207100000001</v>
      </c>
      <c r="E87" s="12">
        <f t="shared" si="6"/>
        <v>1.3359467455357144E-2</v>
      </c>
      <c r="F87" s="12">
        <f>E87/Calculation!K$4*1000</f>
        <v>9.0388819048424513E-3</v>
      </c>
      <c r="G87" s="12">
        <f t="shared" si="7"/>
        <v>33.415247946519202</v>
      </c>
    </row>
    <row r="88" spans="1:7">
      <c r="A88" s="12">
        <v>41.5</v>
      </c>
      <c r="B88" s="32">
        <v>4104.99</v>
      </c>
      <c r="C88" s="12">
        <f t="shared" si="4"/>
        <v>4.1049899999999999</v>
      </c>
      <c r="D88" s="12">
        <f t="shared" si="5"/>
        <v>0.286117803</v>
      </c>
      <c r="E88" s="12">
        <f t="shared" si="6"/>
        <v>1.2773116205357144E-2</v>
      </c>
      <c r="F88" s="12">
        <f>E88/Calculation!K$4*1000</f>
        <v>8.6421625205393409E-3</v>
      </c>
      <c r="G88" s="12">
        <f t="shared" si="7"/>
        <v>33.680463612899928</v>
      </c>
    </row>
    <row r="89" spans="1:7">
      <c r="A89" s="12">
        <v>42</v>
      </c>
      <c r="B89" s="32">
        <v>3902.51</v>
      </c>
      <c r="C89" s="12">
        <f t="shared" si="4"/>
        <v>3.9025100000000004</v>
      </c>
      <c r="D89" s="12">
        <f t="shared" si="5"/>
        <v>0.27200494700000005</v>
      </c>
      <c r="E89" s="12">
        <f t="shared" si="6"/>
        <v>1.2143077991071432E-2</v>
      </c>
      <c r="F89" s="12">
        <f>E89/Calculation!K$4*1000</f>
        <v>8.2158849736613197E-3</v>
      </c>
      <c r="G89" s="12">
        <f t="shared" si="7"/>
        <v>33.933334325312934</v>
      </c>
    </row>
    <row r="90" spans="1:7">
      <c r="A90" s="12">
        <v>42.5</v>
      </c>
      <c r="B90" s="32">
        <v>4172.9799999999996</v>
      </c>
      <c r="C90" s="12">
        <f t="shared" si="4"/>
        <v>4.1729799999999999</v>
      </c>
      <c r="D90" s="12">
        <f t="shared" si="5"/>
        <v>0.29085670600000002</v>
      </c>
      <c r="E90" s="12">
        <f t="shared" si="6"/>
        <v>1.2984674375000001E-2</v>
      </c>
      <c r="F90" s="12">
        <f>E90/Calculation!K$4*1000</f>
        <v>8.7853006596752374E-3</v>
      </c>
      <c r="G90" s="12">
        <f t="shared" si="7"/>
        <v>34.188352109812982</v>
      </c>
    </row>
    <row r="91" spans="1:7">
      <c r="A91" s="12">
        <v>43</v>
      </c>
      <c r="B91" s="32">
        <v>3844.87</v>
      </c>
      <c r="C91" s="12">
        <f t="shared" si="4"/>
        <v>3.8448699999999998</v>
      </c>
      <c r="D91" s="12">
        <f t="shared" si="5"/>
        <v>0.26798743899999999</v>
      </c>
      <c r="E91" s="12">
        <f t="shared" si="6"/>
        <v>1.1963724955357143E-2</v>
      </c>
      <c r="F91" s="12">
        <f>E91/Calculation!K$4*1000</f>
        <v>8.0945365056543581E-3</v>
      </c>
      <c r="G91" s="12">
        <f t="shared" si="7"/>
        <v>34.441549667292925</v>
      </c>
    </row>
    <row r="92" spans="1:7">
      <c r="A92" s="12">
        <v>43.5</v>
      </c>
      <c r="B92" s="32">
        <v>3727.38</v>
      </c>
      <c r="C92" s="12">
        <f t="shared" si="4"/>
        <v>3.7273800000000001</v>
      </c>
      <c r="D92" s="12">
        <f t="shared" si="5"/>
        <v>0.25979838600000005</v>
      </c>
      <c r="E92" s="12">
        <f t="shared" si="6"/>
        <v>1.1598142232142859E-2</v>
      </c>
      <c r="F92" s="12">
        <f>E92/Calculation!K$4*1000</f>
        <v>7.8471868959017997E-3</v>
      </c>
      <c r="G92" s="12">
        <f t="shared" si="7"/>
        <v>34.680675518316271</v>
      </c>
    </row>
    <row r="93" spans="1:7">
      <c r="A93" s="12">
        <v>44</v>
      </c>
      <c r="B93" s="32">
        <v>3068.21</v>
      </c>
      <c r="C93" s="12">
        <f t="shared" si="4"/>
        <v>3.0682100000000001</v>
      </c>
      <c r="D93" s="12">
        <f t="shared" si="5"/>
        <v>0.213854237</v>
      </c>
      <c r="E93" s="12">
        <f t="shared" si="6"/>
        <v>9.5470641517857151E-3</v>
      </c>
      <c r="F93" s="12">
        <f>E93/Calculation!K$4*1000</f>
        <v>6.4594480052677372E-3</v>
      </c>
      <c r="G93" s="12">
        <f t="shared" si="7"/>
        <v>34.895275041833813</v>
      </c>
    </row>
    <row r="94" spans="1:7">
      <c r="A94" s="12">
        <v>44.5</v>
      </c>
      <c r="B94" s="32">
        <v>3540.42</v>
      </c>
      <c r="C94" s="12">
        <f t="shared" si="4"/>
        <v>3.5404200000000001</v>
      </c>
      <c r="D94" s="12">
        <f t="shared" si="5"/>
        <v>0.24676727400000004</v>
      </c>
      <c r="E94" s="12">
        <f t="shared" si="6"/>
        <v>1.1016396160714289E-2</v>
      </c>
      <c r="F94" s="12">
        <f>E94/Calculation!K$4*1000</f>
        <v>7.4535833293060136E-3</v>
      </c>
      <c r="G94" s="12">
        <f t="shared" si="7"/>
        <v>35.103970511852417</v>
      </c>
    </row>
    <row r="95" spans="1:7">
      <c r="A95" s="12">
        <v>45</v>
      </c>
      <c r="B95" s="32">
        <v>3194.58</v>
      </c>
      <c r="C95" s="12">
        <f t="shared" si="4"/>
        <v>3.1945799999999998</v>
      </c>
      <c r="D95" s="12">
        <f t="shared" si="5"/>
        <v>0.22266222599999999</v>
      </c>
      <c r="E95" s="12">
        <f t="shared" si="6"/>
        <v>9.9402779464285718E-3</v>
      </c>
      <c r="F95" s="12">
        <f>E95/Calculation!K$4*1000</f>
        <v>6.725492521264257E-3</v>
      </c>
      <c r="G95" s="12">
        <f t="shared" si="7"/>
        <v>35.31665664961097</v>
      </c>
    </row>
    <row r="96" spans="1:7">
      <c r="A96" s="12">
        <v>45.5</v>
      </c>
      <c r="B96" s="32">
        <v>3128.81</v>
      </c>
      <c r="C96" s="12">
        <f t="shared" si="4"/>
        <v>3.1288100000000001</v>
      </c>
      <c r="D96" s="12">
        <f t="shared" si="5"/>
        <v>0.21807805700000002</v>
      </c>
      <c r="E96" s="12">
        <f t="shared" si="6"/>
        <v>9.7356275446428588E-3</v>
      </c>
      <c r="F96" s="12">
        <f>E96/Calculation!K$4*1000</f>
        <v>6.58702810868935E-3</v>
      </c>
      <c r="G96" s="12">
        <f t="shared" si="7"/>
        <v>35.516344459060271</v>
      </c>
    </row>
    <row r="97" spans="1:7">
      <c r="A97" s="12">
        <v>46</v>
      </c>
      <c r="B97" s="32">
        <v>2966.23</v>
      </c>
      <c r="C97" s="12">
        <f t="shared" si="4"/>
        <v>2.9662299999999999</v>
      </c>
      <c r="D97" s="12">
        <f t="shared" si="5"/>
        <v>0.206746231</v>
      </c>
      <c r="E97" s="12">
        <f t="shared" si="6"/>
        <v>9.2297424553571435E-3</v>
      </c>
      <c r="F97" s="12">
        <f>E97/Calculation!K$4*1000</f>
        <v>6.2447513229750631E-3</v>
      </c>
      <c r="G97" s="12">
        <f t="shared" si="7"/>
        <v>35.708821150535236</v>
      </c>
    </row>
    <row r="98" spans="1:7">
      <c r="A98" s="12">
        <v>46.5</v>
      </c>
      <c r="B98" s="32">
        <v>2568.67</v>
      </c>
      <c r="C98" s="12">
        <f t="shared" si="4"/>
        <v>2.56867</v>
      </c>
      <c r="D98" s="12">
        <f t="shared" si="5"/>
        <v>0.17903629900000001</v>
      </c>
      <c r="E98" s="12">
        <f t="shared" si="6"/>
        <v>7.9926919196428581E-3</v>
      </c>
      <c r="F98" s="12">
        <f>E98/Calculation!K$4*1000</f>
        <v>5.4077753177556552E-3</v>
      </c>
      <c r="G98" s="12">
        <f t="shared" si="7"/>
        <v>35.883609050146198</v>
      </c>
    </row>
    <row r="99" spans="1:7">
      <c r="A99" s="12">
        <v>47</v>
      </c>
      <c r="B99" s="32">
        <v>2746.76</v>
      </c>
      <c r="C99" s="12">
        <f t="shared" si="4"/>
        <v>2.7467600000000001</v>
      </c>
      <c r="D99" s="12">
        <f t="shared" si="5"/>
        <v>0.191449172</v>
      </c>
      <c r="E99" s="12">
        <f t="shared" si="6"/>
        <v>8.5468380357142867E-3</v>
      </c>
      <c r="F99" s="12">
        <f>E99/Calculation!K$4*1000</f>
        <v>5.7827050309298281E-3</v>
      </c>
      <c r="G99" s="12">
        <f t="shared" si="7"/>
        <v>36.051466255376482</v>
      </c>
    </row>
    <row r="100" spans="1:7">
      <c r="A100" s="12">
        <v>47.5</v>
      </c>
      <c r="B100" s="32">
        <v>2533.1999999999998</v>
      </c>
      <c r="C100" s="12">
        <f t="shared" si="4"/>
        <v>2.5331999999999999</v>
      </c>
      <c r="D100" s="12">
        <f t="shared" si="5"/>
        <v>0.17656403999999998</v>
      </c>
      <c r="E100" s="12">
        <f t="shared" si="6"/>
        <v>7.8823232142857143E-3</v>
      </c>
      <c r="F100" s="12">
        <f>E100/Calculation!K$4*1000</f>
        <v>5.3331009568915524E-3</v>
      </c>
      <c r="G100" s="12">
        <f t="shared" si="7"/>
        <v>36.2182033451938</v>
      </c>
    </row>
    <row r="101" spans="1:7">
      <c r="A101" s="12">
        <v>48</v>
      </c>
      <c r="B101" s="32">
        <v>2498.46</v>
      </c>
      <c r="C101" s="12">
        <f t="shared" si="4"/>
        <v>2.4984600000000001</v>
      </c>
      <c r="D101" s="12">
        <f t="shared" si="5"/>
        <v>0.174142662</v>
      </c>
      <c r="E101" s="12">
        <f t="shared" si="6"/>
        <v>7.7742259821428576E-3</v>
      </c>
      <c r="F101" s="12">
        <f>E101/Calculation!K$4*1000</f>
        <v>5.2599634520587666E-3</v>
      </c>
      <c r="G101" s="12">
        <f t="shared" si="7"/>
        <v>36.377099311328053</v>
      </c>
    </row>
    <row r="102" spans="1:7">
      <c r="B102">
        <v>2225.7800000000002</v>
      </c>
    </row>
    <row r="103" spans="1:7">
      <c r="B103">
        <v>2134.15</v>
      </c>
    </row>
    <row r="104" spans="1:7">
      <c r="B104">
        <v>1934.63</v>
      </c>
    </row>
    <row r="105" spans="1:7">
      <c r="B105">
        <v>1762.45</v>
      </c>
    </row>
    <row r="106" spans="1:7">
      <c r="B106">
        <v>1538.54</v>
      </c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Charts</vt:lpstr>
      </vt:variant>
      <vt:variant>
        <vt:i4>2</vt:i4>
      </vt:variant>
    </vt:vector>
  </HeadingPairs>
  <TitlesOfParts>
    <vt:vector size="29" baseType="lpstr">
      <vt:lpstr>Fermentation</vt:lpstr>
      <vt:lpstr>Calculation</vt:lpstr>
      <vt:lpstr>Plate Count</vt:lpstr>
      <vt:lpstr>Flow cytometer</vt:lpstr>
      <vt:lpstr>CalibrationB. hydrogenotrophica</vt:lpstr>
      <vt:lpstr>Determination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Results Focus GC</vt:lpstr>
      <vt:lpstr>calibration ethanol</vt:lpstr>
      <vt:lpstr>Calibration acetic acid</vt:lpstr>
      <vt:lpstr>Calibration propionic acid</vt:lpstr>
      <vt:lpstr>Calibration butyric acid</vt:lpstr>
      <vt:lpstr>Calibration isobutyric acid</vt:lpstr>
      <vt:lpstr>Calibration isovaleric acid</vt:lpstr>
      <vt:lpstr>Calibration 2-methylbutyric a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2016-04-13T16:20:08Z</dcterms:modified>
</cp:coreProperties>
</file>