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880" yWindow="880" windowWidth="24640" windowHeight="14720" tabRatio="930" firstSheet="4" activeTab="16"/>
  </bookViews>
  <sheets>
    <sheet name="Fermentation" sheetId="25" r:id="rId1"/>
    <sheet name="Calculation" sheetId="2" r:id="rId2"/>
    <sheet name="Plate Count" sheetId="3" r:id="rId3"/>
    <sheet name="Flow cytometer" sheetId="22" r:id="rId4"/>
    <sheet name="OD600nm" sheetId="4" r:id="rId5"/>
    <sheet name="CDM" sheetId="5" r:id="rId6"/>
    <sheet name="H2" sheetId="17" r:id="rId7"/>
    <sheet name="CO2" sheetId="7" r:id="rId8"/>
    <sheet name="Metabolites" sheetId="8" r:id="rId9"/>
    <sheet name="D-Fructose" sheetId="19" r:id="rId10"/>
    <sheet name="Formic acid" sheetId="18" r:id="rId11"/>
    <sheet name="Acetic acid" sheetId="15" r:id="rId12"/>
    <sheet name="Propionic acid" sheetId="20" r:id="rId13"/>
    <sheet name="Butyric acid" sheetId="21" r:id="rId14"/>
    <sheet name="Lactic acid" sheetId="14" r:id="rId15"/>
    <sheet name="Ethanol" sheetId="16" r:id="rId16"/>
    <sheet name="Graph" sheetId="13" r:id="rId17"/>
    <sheet name="Graph (2)" sheetId="24" r:id="rId18"/>
    <sheet name="Carbon recovery" sheetId="23" r:id="rId19"/>
  </sheets>
  <definedNames>
    <definedName name="_2012_05_10_FPRAU_fruc1" localSheetId="7">'CO2'!$I$5:$I$293</definedName>
    <definedName name="_2012_06_08_BIF_REC_OLI_1" localSheetId="7">'CO2'!$N$5:$N$201</definedName>
    <definedName name="_2012_06_08_BIF_REC_OLI_1" localSheetId="6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8" l="1"/>
  <c r="T22" i="8"/>
  <c r="B4" i="23"/>
  <c r="B12" i="23"/>
  <c r="C153" i="7"/>
  <c r="D153" i="7"/>
  <c r="E153" i="7"/>
  <c r="F153" i="7"/>
  <c r="C152" i="7"/>
  <c r="D152" i="7"/>
  <c r="E152" i="7"/>
  <c r="F152" i="7"/>
  <c r="C151" i="7"/>
  <c r="D151" i="7"/>
  <c r="E151" i="7"/>
  <c r="F151" i="7"/>
  <c r="C150" i="7"/>
  <c r="D150" i="7"/>
  <c r="E150" i="7"/>
  <c r="F150" i="7"/>
  <c r="C149" i="7"/>
  <c r="D149" i="7"/>
  <c r="E149" i="7"/>
  <c r="F149" i="7"/>
  <c r="C148" i="7"/>
  <c r="D148" i="7"/>
  <c r="E148" i="7"/>
  <c r="F148" i="7"/>
  <c r="C147" i="7"/>
  <c r="D147" i="7"/>
  <c r="E147" i="7"/>
  <c r="F147" i="7"/>
  <c r="C146" i="7"/>
  <c r="D146" i="7"/>
  <c r="E146" i="7"/>
  <c r="F146" i="7"/>
  <c r="C145" i="7"/>
  <c r="D145" i="7"/>
  <c r="E145" i="7"/>
  <c r="F145" i="7"/>
  <c r="C144" i="7"/>
  <c r="D144" i="7"/>
  <c r="E144" i="7"/>
  <c r="F144" i="7"/>
  <c r="C143" i="7"/>
  <c r="D143" i="7"/>
  <c r="E143" i="7"/>
  <c r="F143" i="7"/>
  <c r="C142" i="7"/>
  <c r="D142" i="7"/>
  <c r="E142" i="7"/>
  <c r="F142" i="7"/>
  <c r="C141" i="7"/>
  <c r="D141" i="7"/>
  <c r="E141" i="7"/>
  <c r="F141" i="7"/>
  <c r="C140" i="7"/>
  <c r="D140" i="7"/>
  <c r="E140" i="7"/>
  <c r="F140" i="7"/>
  <c r="C139" i="7"/>
  <c r="D139" i="7"/>
  <c r="E139" i="7"/>
  <c r="F139" i="7"/>
  <c r="C138" i="7"/>
  <c r="D138" i="7"/>
  <c r="E138" i="7"/>
  <c r="F138" i="7"/>
  <c r="C137" i="7"/>
  <c r="D137" i="7"/>
  <c r="E137" i="7"/>
  <c r="F137" i="7"/>
  <c r="C136" i="7"/>
  <c r="D136" i="7"/>
  <c r="E136" i="7"/>
  <c r="F136" i="7"/>
  <c r="C135" i="7"/>
  <c r="D135" i="7"/>
  <c r="E135" i="7"/>
  <c r="F135" i="7"/>
  <c r="C134" i="7"/>
  <c r="D134" i="7"/>
  <c r="E134" i="7"/>
  <c r="F134" i="7"/>
  <c r="C133" i="7"/>
  <c r="D133" i="7"/>
  <c r="E133" i="7"/>
  <c r="F133" i="7"/>
  <c r="C132" i="7"/>
  <c r="D132" i="7"/>
  <c r="E132" i="7"/>
  <c r="F132" i="7"/>
  <c r="C131" i="7"/>
  <c r="D131" i="7"/>
  <c r="E131" i="7"/>
  <c r="F131" i="7"/>
  <c r="C130" i="7"/>
  <c r="D130" i="7"/>
  <c r="E130" i="7"/>
  <c r="F130" i="7"/>
  <c r="C129" i="7"/>
  <c r="D129" i="7"/>
  <c r="E129" i="7"/>
  <c r="F129" i="7"/>
  <c r="C128" i="7"/>
  <c r="D128" i="7"/>
  <c r="E128" i="7"/>
  <c r="F128" i="7"/>
  <c r="C127" i="7"/>
  <c r="D127" i="7"/>
  <c r="E127" i="7"/>
  <c r="F127" i="7"/>
  <c r="C126" i="7"/>
  <c r="D126" i="7"/>
  <c r="E126" i="7"/>
  <c r="F126" i="7"/>
  <c r="C125" i="7"/>
  <c r="D125" i="7"/>
  <c r="E125" i="7"/>
  <c r="F125" i="7"/>
  <c r="C124" i="7"/>
  <c r="D124" i="7"/>
  <c r="E124" i="7"/>
  <c r="F124" i="7"/>
  <c r="C123" i="7"/>
  <c r="D123" i="7"/>
  <c r="E123" i="7"/>
  <c r="F123" i="7"/>
  <c r="C122" i="7"/>
  <c r="D122" i="7"/>
  <c r="E122" i="7"/>
  <c r="F122" i="7"/>
  <c r="C121" i="7"/>
  <c r="D121" i="7"/>
  <c r="E121" i="7"/>
  <c r="F121" i="7"/>
  <c r="C120" i="7"/>
  <c r="D120" i="7"/>
  <c r="E120" i="7"/>
  <c r="F120" i="7"/>
  <c r="C119" i="7"/>
  <c r="D119" i="7"/>
  <c r="E119" i="7"/>
  <c r="F119" i="7"/>
  <c r="C118" i="7"/>
  <c r="D118" i="7"/>
  <c r="E118" i="7"/>
  <c r="F118" i="7"/>
  <c r="C117" i="7"/>
  <c r="D117" i="7"/>
  <c r="E117" i="7"/>
  <c r="F117" i="7"/>
  <c r="C116" i="7"/>
  <c r="D116" i="7"/>
  <c r="E116" i="7"/>
  <c r="F116" i="7"/>
  <c r="C115" i="7"/>
  <c r="D115" i="7"/>
  <c r="E115" i="7"/>
  <c r="F115" i="7"/>
  <c r="C114" i="7"/>
  <c r="D114" i="7"/>
  <c r="E114" i="7"/>
  <c r="F114" i="7"/>
  <c r="C113" i="7"/>
  <c r="D113" i="7"/>
  <c r="E113" i="7"/>
  <c r="F113" i="7"/>
  <c r="C112" i="7"/>
  <c r="D112" i="7"/>
  <c r="E112" i="7"/>
  <c r="F112" i="7"/>
  <c r="C111" i="7"/>
  <c r="D111" i="7"/>
  <c r="E111" i="7"/>
  <c r="F111" i="7"/>
  <c r="C110" i="7"/>
  <c r="D110" i="7"/>
  <c r="E110" i="7"/>
  <c r="F110" i="7"/>
  <c r="C109" i="7"/>
  <c r="D109" i="7"/>
  <c r="E109" i="7"/>
  <c r="F109" i="7"/>
  <c r="C108" i="7"/>
  <c r="D108" i="7"/>
  <c r="E108" i="7"/>
  <c r="F108" i="7"/>
  <c r="C107" i="7"/>
  <c r="D107" i="7"/>
  <c r="E107" i="7"/>
  <c r="F107" i="7"/>
  <c r="C106" i="7"/>
  <c r="D106" i="7"/>
  <c r="E106" i="7"/>
  <c r="F106" i="7"/>
  <c r="C105" i="7"/>
  <c r="D105" i="7"/>
  <c r="E105" i="7"/>
  <c r="F105" i="7"/>
  <c r="C104" i="7"/>
  <c r="D104" i="7"/>
  <c r="E104" i="7"/>
  <c r="F104" i="7"/>
  <c r="C103" i="7"/>
  <c r="D103" i="7"/>
  <c r="E103" i="7"/>
  <c r="F103" i="7"/>
  <c r="C102" i="7"/>
  <c r="D102" i="7"/>
  <c r="E102" i="7"/>
  <c r="F102" i="7"/>
  <c r="C101" i="7"/>
  <c r="D101" i="7"/>
  <c r="E101" i="7"/>
  <c r="F101" i="7"/>
  <c r="C100" i="7"/>
  <c r="D100" i="7"/>
  <c r="E100" i="7"/>
  <c r="F100" i="7"/>
  <c r="C99" i="7"/>
  <c r="D99" i="7"/>
  <c r="E99" i="7"/>
  <c r="F99" i="7"/>
  <c r="C98" i="7"/>
  <c r="D98" i="7"/>
  <c r="E98" i="7"/>
  <c r="F98" i="7"/>
  <c r="C97" i="7"/>
  <c r="D97" i="7"/>
  <c r="E97" i="7"/>
  <c r="F97" i="7"/>
  <c r="C96" i="7"/>
  <c r="D96" i="7"/>
  <c r="E96" i="7"/>
  <c r="F96" i="7"/>
  <c r="C95" i="7"/>
  <c r="D95" i="7"/>
  <c r="E95" i="7"/>
  <c r="F95" i="7"/>
  <c r="C94" i="7"/>
  <c r="D94" i="7"/>
  <c r="E94" i="7"/>
  <c r="F94" i="7"/>
  <c r="C93" i="7"/>
  <c r="D93" i="7"/>
  <c r="E93" i="7"/>
  <c r="F93" i="7"/>
  <c r="C92" i="7"/>
  <c r="D92" i="7"/>
  <c r="E92" i="7"/>
  <c r="F92" i="7"/>
  <c r="C91" i="7"/>
  <c r="D91" i="7"/>
  <c r="E91" i="7"/>
  <c r="F91" i="7"/>
  <c r="C90" i="7"/>
  <c r="D90" i="7"/>
  <c r="E90" i="7"/>
  <c r="F90" i="7"/>
  <c r="C89" i="7"/>
  <c r="D89" i="7"/>
  <c r="E89" i="7"/>
  <c r="F89" i="7"/>
  <c r="C88" i="7"/>
  <c r="D88" i="7"/>
  <c r="E88" i="7"/>
  <c r="F88" i="7"/>
  <c r="C87" i="7"/>
  <c r="D87" i="7"/>
  <c r="E87" i="7"/>
  <c r="F87" i="7"/>
  <c r="C86" i="7"/>
  <c r="D86" i="7"/>
  <c r="E86" i="7"/>
  <c r="F86" i="7"/>
  <c r="C85" i="7"/>
  <c r="D85" i="7"/>
  <c r="E85" i="7"/>
  <c r="F85" i="7"/>
  <c r="C84" i="7"/>
  <c r="D84" i="7"/>
  <c r="E84" i="7"/>
  <c r="F84" i="7"/>
  <c r="C83" i="7"/>
  <c r="D83" i="7"/>
  <c r="E83" i="7"/>
  <c r="F83" i="7"/>
  <c r="C82" i="7"/>
  <c r="D82" i="7"/>
  <c r="E82" i="7"/>
  <c r="F82" i="7"/>
  <c r="C81" i="7"/>
  <c r="D81" i="7"/>
  <c r="E81" i="7"/>
  <c r="F81" i="7"/>
  <c r="C80" i="7"/>
  <c r="D80" i="7"/>
  <c r="E80" i="7"/>
  <c r="F80" i="7"/>
  <c r="C79" i="7"/>
  <c r="D79" i="7"/>
  <c r="E79" i="7"/>
  <c r="F79" i="7"/>
  <c r="C78" i="7"/>
  <c r="D78" i="7"/>
  <c r="E78" i="7"/>
  <c r="F78" i="7"/>
  <c r="C77" i="7"/>
  <c r="D77" i="7"/>
  <c r="E77" i="7"/>
  <c r="F77" i="7"/>
  <c r="C76" i="7"/>
  <c r="D76" i="7"/>
  <c r="E76" i="7"/>
  <c r="F76" i="7"/>
  <c r="C75" i="7"/>
  <c r="D75" i="7"/>
  <c r="E75" i="7"/>
  <c r="F75" i="7"/>
  <c r="C74" i="7"/>
  <c r="D74" i="7"/>
  <c r="E74" i="7"/>
  <c r="F74" i="7"/>
  <c r="C73" i="7"/>
  <c r="D73" i="7"/>
  <c r="E73" i="7"/>
  <c r="F73" i="7"/>
  <c r="C72" i="7"/>
  <c r="D72" i="7"/>
  <c r="E72" i="7"/>
  <c r="F72" i="7"/>
  <c r="C71" i="7"/>
  <c r="D71" i="7"/>
  <c r="E71" i="7"/>
  <c r="F71" i="7"/>
  <c r="C70" i="7"/>
  <c r="D70" i="7"/>
  <c r="E70" i="7"/>
  <c r="F70" i="7"/>
  <c r="C69" i="7"/>
  <c r="D69" i="7"/>
  <c r="E69" i="7"/>
  <c r="F69" i="7"/>
  <c r="C68" i="7"/>
  <c r="D68" i="7"/>
  <c r="E68" i="7"/>
  <c r="F68" i="7"/>
  <c r="C67" i="7"/>
  <c r="D67" i="7"/>
  <c r="E67" i="7"/>
  <c r="F67" i="7"/>
  <c r="C66" i="7"/>
  <c r="D66" i="7"/>
  <c r="E66" i="7"/>
  <c r="F66" i="7"/>
  <c r="C65" i="7"/>
  <c r="D65" i="7"/>
  <c r="E65" i="7"/>
  <c r="F65" i="7"/>
  <c r="C64" i="7"/>
  <c r="D64" i="7"/>
  <c r="E64" i="7"/>
  <c r="F64" i="7"/>
  <c r="C63" i="7"/>
  <c r="D63" i="7"/>
  <c r="E63" i="7"/>
  <c r="F63" i="7"/>
  <c r="C62" i="7"/>
  <c r="D62" i="7"/>
  <c r="E62" i="7"/>
  <c r="F62" i="7"/>
  <c r="C61" i="7"/>
  <c r="D61" i="7"/>
  <c r="E61" i="7"/>
  <c r="F61" i="7"/>
  <c r="C60" i="7"/>
  <c r="D60" i="7"/>
  <c r="E60" i="7"/>
  <c r="F60" i="7"/>
  <c r="C59" i="7"/>
  <c r="D59" i="7"/>
  <c r="E59" i="7"/>
  <c r="F59" i="7"/>
  <c r="C58" i="7"/>
  <c r="D58" i="7"/>
  <c r="E58" i="7"/>
  <c r="F58" i="7"/>
  <c r="C57" i="7"/>
  <c r="D57" i="7"/>
  <c r="E57" i="7"/>
  <c r="F57" i="7"/>
  <c r="C56" i="7"/>
  <c r="D56" i="7"/>
  <c r="E56" i="7"/>
  <c r="F56" i="7"/>
  <c r="C55" i="7"/>
  <c r="D55" i="7"/>
  <c r="E55" i="7"/>
  <c r="F55" i="7"/>
  <c r="C54" i="7"/>
  <c r="D54" i="7"/>
  <c r="E54" i="7"/>
  <c r="F54" i="7"/>
  <c r="C53" i="7"/>
  <c r="D53" i="7"/>
  <c r="E53" i="7"/>
  <c r="F53" i="7"/>
  <c r="C52" i="7"/>
  <c r="D52" i="7"/>
  <c r="E52" i="7"/>
  <c r="F52" i="7"/>
  <c r="C51" i="7"/>
  <c r="D51" i="7"/>
  <c r="E51" i="7"/>
  <c r="F51" i="7"/>
  <c r="C50" i="7"/>
  <c r="D50" i="7"/>
  <c r="E50" i="7"/>
  <c r="F50" i="7"/>
  <c r="C49" i="7"/>
  <c r="D49" i="7"/>
  <c r="E49" i="7"/>
  <c r="F49" i="7"/>
  <c r="C48" i="7"/>
  <c r="D48" i="7"/>
  <c r="E48" i="7"/>
  <c r="F48" i="7"/>
  <c r="C47" i="7"/>
  <c r="D47" i="7"/>
  <c r="E47" i="7"/>
  <c r="F47" i="7"/>
  <c r="C46" i="7"/>
  <c r="D46" i="7"/>
  <c r="E46" i="7"/>
  <c r="F46" i="7"/>
  <c r="C45" i="7"/>
  <c r="D45" i="7"/>
  <c r="E45" i="7"/>
  <c r="F45" i="7"/>
  <c r="C44" i="7"/>
  <c r="D44" i="7"/>
  <c r="E44" i="7"/>
  <c r="F44" i="7"/>
  <c r="C43" i="7"/>
  <c r="D43" i="7"/>
  <c r="E43" i="7"/>
  <c r="F43" i="7"/>
  <c r="C42" i="7"/>
  <c r="D42" i="7"/>
  <c r="E42" i="7"/>
  <c r="F42" i="7"/>
  <c r="C41" i="7"/>
  <c r="D41" i="7"/>
  <c r="E41" i="7"/>
  <c r="F41" i="7"/>
  <c r="C40" i="7"/>
  <c r="D40" i="7"/>
  <c r="E40" i="7"/>
  <c r="F40" i="7"/>
  <c r="C39" i="7"/>
  <c r="D39" i="7"/>
  <c r="E39" i="7"/>
  <c r="F39" i="7"/>
  <c r="C38" i="7"/>
  <c r="D38" i="7"/>
  <c r="E38" i="7"/>
  <c r="F38" i="7"/>
  <c r="C37" i="7"/>
  <c r="D37" i="7"/>
  <c r="E37" i="7"/>
  <c r="F37" i="7"/>
  <c r="C36" i="7"/>
  <c r="D36" i="7"/>
  <c r="E36" i="7"/>
  <c r="F36" i="7"/>
  <c r="C35" i="7"/>
  <c r="D35" i="7"/>
  <c r="E35" i="7"/>
  <c r="F35" i="7"/>
  <c r="C34" i="7"/>
  <c r="D34" i="7"/>
  <c r="E34" i="7"/>
  <c r="F34" i="7"/>
  <c r="C33" i="7"/>
  <c r="D33" i="7"/>
  <c r="E33" i="7"/>
  <c r="F33" i="7"/>
  <c r="C32" i="7"/>
  <c r="D32" i="7"/>
  <c r="E32" i="7"/>
  <c r="F32" i="7"/>
  <c r="C31" i="7"/>
  <c r="D31" i="7"/>
  <c r="E31" i="7"/>
  <c r="F31" i="7"/>
  <c r="C30" i="7"/>
  <c r="D30" i="7"/>
  <c r="E30" i="7"/>
  <c r="F30" i="7"/>
  <c r="C29" i="7"/>
  <c r="D29" i="7"/>
  <c r="E29" i="7"/>
  <c r="F29" i="7"/>
  <c r="C28" i="7"/>
  <c r="D28" i="7"/>
  <c r="E28" i="7"/>
  <c r="F28" i="7"/>
  <c r="C27" i="7"/>
  <c r="D27" i="7"/>
  <c r="E27" i="7"/>
  <c r="F27" i="7"/>
  <c r="C26" i="7"/>
  <c r="D26" i="7"/>
  <c r="E26" i="7"/>
  <c r="F26" i="7"/>
  <c r="C25" i="7"/>
  <c r="D25" i="7"/>
  <c r="E25" i="7"/>
  <c r="F25" i="7"/>
  <c r="C24" i="7"/>
  <c r="D24" i="7"/>
  <c r="E24" i="7"/>
  <c r="F24" i="7"/>
  <c r="C23" i="7"/>
  <c r="D23" i="7"/>
  <c r="E23" i="7"/>
  <c r="F23" i="7"/>
  <c r="C22" i="7"/>
  <c r="D22" i="7"/>
  <c r="E22" i="7"/>
  <c r="F22" i="7"/>
  <c r="C21" i="7"/>
  <c r="D21" i="7"/>
  <c r="E21" i="7"/>
  <c r="F21" i="7"/>
  <c r="C20" i="7"/>
  <c r="D20" i="7"/>
  <c r="E20" i="7"/>
  <c r="F20" i="7"/>
  <c r="C19" i="7"/>
  <c r="D19" i="7"/>
  <c r="E19" i="7"/>
  <c r="F19" i="7"/>
  <c r="C18" i="7"/>
  <c r="D18" i="7"/>
  <c r="E18" i="7"/>
  <c r="F18" i="7"/>
  <c r="C17" i="7"/>
  <c r="D17" i="7"/>
  <c r="E17" i="7"/>
  <c r="F17" i="7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C8" i="7"/>
  <c r="D8" i="7"/>
  <c r="E8" i="7"/>
  <c r="F8" i="7"/>
  <c r="C7" i="7"/>
  <c r="D7" i="7"/>
  <c r="E7" i="7"/>
  <c r="F7" i="7"/>
  <c r="C6" i="7"/>
  <c r="D6" i="7"/>
  <c r="E6" i="7"/>
  <c r="F6" i="7"/>
  <c r="C5" i="7"/>
  <c r="D5" i="7"/>
  <c r="E5" i="7"/>
  <c r="F5" i="7"/>
  <c r="F150" i="17"/>
  <c r="F151" i="17"/>
  <c r="F152" i="17"/>
  <c r="F153" i="17"/>
  <c r="F154" i="17"/>
  <c r="F149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13" i="17"/>
  <c r="F102" i="17"/>
  <c r="F103" i="17"/>
  <c r="F104" i="17"/>
  <c r="F105" i="17"/>
  <c r="F106" i="17"/>
  <c r="F107" i="17"/>
  <c r="F108" i="17"/>
  <c r="F109" i="17"/>
  <c r="F110" i="17"/>
  <c r="F111" i="17"/>
  <c r="F112" i="1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7" i="17"/>
  <c r="F26" i="17"/>
  <c r="F24" i="17"/>
  <c r="F25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4" i="22"/>
  <c r="R4" i="22"/>
  <c r="U20" i="22"/>
  <c r="V20" i="22"/>
  <c r="W20" i="22"/>
  <c r="U21" i="22"/>
  <c r="V21" i="22"/>
  <c r="W21" i="22"/>
  <c r="U22" i="22"/>
  <c r="V22" i="22"/>
  <c r="W22" i="22"/>
  <c r="U19" i="22"/>
  <c r="V19" i="22"/>
  <c r="W19" i="22"/>
  <c r="U18" i="22"/>
  <c r="V18" i="22"/>
  <c r="W18" i="22"/>
  <c r="U17" i="22"/>
  <c r="V17" i="22"/>
  <c r="W17" i="22"/>
  <c r="U16" i="22"/>
  <c r="V16" i="22"/>
  <c r="W16" i="22"/>
  <c r="U15" i="22"/>
  <c r="V15" i="22"/>
  <c r="W15" i="22"/>
  <c r="U14" i="22"/>
  <c r="V14" i="22"/>
  <c r="W14" i="22"/>
  <c r="U13" i="22"/>
  <c r="V13" i="22"/>
  <c r="W13" i="22"/>
  <c r="U12" i="22"/>
  <c r="V12" i="22"/>
  <c r="W12" i="22"/>
  <c r="U11" i="22"/>
  <c r="V11" i="22"/>
  <c r="W11" i="22"/>
  <c r="U10" i="22"/>
  <c r="V10" i="22"/>
  <c r="W10" i="22"/>
  <c r="U9" i="22"/>
  <c r="V9" i="22"/>
  <c r="W9" i="22"/>
  <c r="U8" i="22"/>
  <c r="V8" i="22"/>
  <c r="W8" i="22"/>
  <c r="U7" i="22"/>
  <c r="V7" i="22"/>
  <c r="W7" i="22"/>
  <c r="U6" i="22"/>
  <c r="V6" i="22"/>
  <c r="W6" i="22"/>
  <c r="U5" i="22"/>
  <c r="V5" i="22"/>
  <c r="W5" i="22"/>
  <c r="U4" i="22"/>
  <c r="V4" i="22"/>
  <c r="W4" i="22"/>
  <c r="D32" i="23"/>
  <c r="D31" i="2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B8" i="23"/>
  <c r="F32" i="23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B7" i="23"/>
  <c r="F31" i="23"/>
  <c r="D28" i="23"/>
  <c r="D27" i="23"/>
  <c r="D26" i="23"/>
  <c r="B3" i="23"/>
  <c r="F25" i="23"/>
  <c r="F24" i="2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I2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L46" i="8"/>
  <c r="L28" i="8"/>
  <c r="B6" i="23"/>
  <c r="L22" i="8"/>
  <c r="L4" i="8"/>
  <c r="B5" i="23"/>
  <c r="P22" i="8"/>
  <c r="P4" i="8"/>
  <c r="H4" i="8"/>
  <c r="H22" i="8"/>
  <c r="B2" i="23"/>
  <c r="G150" i="7"/>
  <c r="G151" i="7"/>
  <c r="G152" i="7"/>
  <c r="G153" i="7"/>
  <c r="C5" i="17"/>
  <c r="D5" i="17"/>
  <c r="E5" i="17"/>
  <c r="F5" i="17"/>
  <c r="G5" i="17"/>
  <c r="C6" i="17"/>
  <c r="D6" i="17"/>
  <c r="E6" i="17"/>
  <c r="F6" i="17"/>
  <c r="G6" i="17"/>
  <c r="C7" i="17"/>
  <c r="D7" i="17"/>
  <c r="E7" i="17"/>
  <c r="F7" i="17"/>
  <c r="G7" i="17"/>
  <c r="C8" i="17"/>
  <c r="D8" i="17"/>
  <c r="E8" i="17"/>
  <c r="F8" i="17"/>
  <c r="G8" i="17"/>
  <c r="C9" i="17"/>
  <c r="D9" i="17"/>
  <c r="E9" i="17"/>
  <c r="C10" i="17"/>
  <c r="D10" i="17"/>
  <c r="E10" i="17"/>
  <c r="C11" i="17"/>
  <c r="D11" i="17"/>
  <c r="E11" i="17"/>
  <c r="C12" i="17"/>
  <c r="D12" i="17"/>
  <c r="E12" i="17"/>
  <c r="C13" i="17"/>
  <c r="D13" i="17"/>
  <c r="E13" i="17"/>
  <c r="C14" i="17"/>
  <c r="D14" i="17"/>
  <c r="E14" i="17"/>
  <c r="C15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0" i="17"/>
  <c r="D30" i="17"/>
  <c r="E30" i="17"/>
  <c r="C31" i="17"/>
  <c r="D31" i="17"/>
  <c r="E31" i="17"/>
  <c r="C32" i="17"/>
  <c r="D32" i="17"/>
  <c r="E32" i="17"/>
  <c r="C33" i="17"/>
  <c r="D33" i="17"/>
  <c r="E33" i="17"/>
  <c r="C34" i="17"/>
  <c r="D34" i="17"/>
  <c r="E34" i="17"/>
  <c r="C35" i="17"/>
  <c r="D35" i="17"/>
  <c r="E35" i="17"/>
  <c r="C36" i="17"/>
  <c r="D36" i="17"/>
  <c r="E36" i="17"/>
  <c r="C37" i="17"/>
  <c r="D37" i="17"/>
  <c r="E37" i="17"/>
  <c r="C38" i="17"/>
  <c r="D38" i="17"/>
  <c r="E38" i="17"/>
  <c r="C39" i="17"/>
  <c r="D39" i="17"/>
  <c r="E39" i="17"/>
  <c r="C40" i="17"/>
  <c r="D40" i="17"/>
  <c r="E40" i="17"/>
  <c r="C41" i="17"/>
  <c r="D41" i="17"/>
  <c r="E41" i="17"/>
  <c r="C42" i="17"/>
  <c r="D42" i="17"/>
  <c r="E42" i="17"/>
  <c r="C43" i="17"/>
  <c r="D43" i="17"/>
  <c r="E43" i="17"/>
  <c r="C44" i="17"/>
  <c r="D44" i="17"/>
  <c r="E44" i="17"/>
  <c r="C45" i="17"/>
  <c r="D45" i="17"/>
  <c r="E45" i="17"/>
  <c r="C46" i="17"/>
  <c r="D46" i="17"/>
  <c r="E46" i="17"/>
  <c r="C47" i="17"/>
  <c r="D47" i="17"/>
  <c r="E47" i="17"/>
  <c r="C48" i="17"/>
  <c r="D48" i="17"/>
  <c r="E48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C53" i="17"/>
  <c r="D53" i="17"/>
  <c r="E53" i="17"/>
  <c r="C54" i="17"/>
  <c r="D54" i="17"/>
  <c r="E54" i="17"/>
  <c r="C55" i="17"/>
  <c r="D55" i="17"/>
  <c r="E55" i="17"/>
  <c r="C56" i="17"/>
  <c r="D56" i="17"/>
  <c r="E56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C63" i="17"/>
  <c r="D63" i="17"/>
  <c r="E63" i="17"/>
  <c r="C64" i="17"/>
  <c r="D64" i="17"/>
  <c r="E64" i="17"/>
  <c r="C65" i="17"/>
  <c r="D65" i="17"/>
  <c r="E65" i="17"/>
  <c r="C66" i="17"/>
  <c r="D66" i="17"/>
  <c r="E66" i="17"/>
  <c r="C67" i="17"/>
  <c r="D67" i="17"/>
  <c r="E67" i="17"/>
  <c r="C68" i="17"/>
  <c r="D68" i="17"/>
  <c r="E68" i="17"/>
  <c r="C69" i="17"/>
  <c r="D69" i="17"/>
  <c r="E69" i="17"/>
  <c r="C70" i="17"/>
  <c r="D70" i="17"/>
  <c r="E70" i="17"/>
  <c r="C71" i="17"/>
  <c r="D71" i="17"/>
  <c r="E71" i="17"/>
  <c r="C72" i="17"/>
  <c r="D72" i="17"/>
  <c r="E72" i="17"/>
  <c r="C73" i="17"/>
  <c r="D73" i="17"/>
  <c r="E73" i="17"/>
  <c r="C74" i="17"/>
  <c r="D74" i="17"/>
  <c r="E74" i="17"/>
  <c r="C75" i="17"/>
  <c r="D75" i="17"/>
  <c r="E75" i="17"/>
  <c r="C76" i="17"/>
  <c r="D76" i="17"/>
  <c r="E76" i="17"/>
  <c r="C77" i="17"/>
  <c r="D77" i="17"/>
  <c r="E77" i="17"/>
  <c r="C78" i="17"/>
  <c r="D78" i="17"/>
  <c r="E78" i="17"/>
  <c r="C79" i="17"/>
  <c r="D79" i="17"/>
  <c r="E79" i="17"/>
  <c r="C80" i="17"/>
  <c r="D80" i="17"/>
  <c r="E80" i="17"/>
  <c r="C81" i="17"/>
  <c r="D81" i="17"/>
  <c r="E81" i="17"/>
  <c r="C82" i="17"/>
  <c r="D82" i="17"/>
  <c r="E82" i="17"/>
  <c r="C83" i="17"/>
  <c r="D83" i="17"/>
  <c r="E83" i="17"/>
  <c r="C84" i="17"/>
  <c r="D84" i="17"/>
  <c r="E84" i="17"/>
  <c r="C85" i="17"/>
  <c r="D85" i="17"/>
  <c r="E85" i="17"/>
  <c r="C86" i="17"/>
  <c r="D86" i="17"/>
  <c r="E86" i="17"/>
  <c r="C87" i="17"/>
  <c r="D87" i="17"/>
  <c r="E87" i="17"/>
  <c r="C88" i="17"/>
  <c r="D88" i="17"/>
  <c r="E88" i="17"/>
  <c r="C89" i="17"/>
  <c r="D89" i="17"/>
  <c r="E89" i="17"/>
  <c r="C90" i="17"/>
  <c r="D90" i="17"/>
  <c r="E90" i="17"/>
  <c r="C91" i="17"/>
  <c r="D91" i="17"/>
  <c r="E91" i="17"/>
  <c r="C92" i="17"/>
  <c r="D92" i="17"/>
  <c r="E92" i="17"/>
  <c r="C93" i="17"/>
  <c r="D93" i="17"/>
  <c r="E93" i="17"/>
  <c r="C94" i="17"/>
  <c r="D94" i="17"/>
  <c r="E94" i="17"/>
  <c r="C95" i="17"/>
  <c r="D95" i="17"/>
  <c r="E95" i="17"/>
  <c r="C96" i="17"/>
  <c r="D96" i="17"/>
  <c r="E96" i="17"/>
  <c r="C97" i="17"/>
  <c r="D97" i="17"/>
  <c r="E97" i="17"/>
  <c r="C98" i="17"/>
  <c r="D98" i="17"/>
  <c r="E98" i="17"/>
  <c r="C99" i="17"/>
  <c r="D99" i="17"/>
  <c r="E99" i="17"/>
  <c r="C100" i="17"/>
  <c r="D100" i="17"/>
  <c r="E100" i="17"/>
  <c r="C101" i="17"/>
  <c r="D101" i="17"/>
  <c r="E101" i="17"/>
  <c r="C102" i="17"/>
  <c r="D102" i="17"/>
  <c r="E102" i="17"/>
  <c r="C103" i="17"/>
  <c r="D103" i="17"/>
  <c r="E103" i="17"/>
  <c r="C104" i="17"/>
  <c r="D104" i="17"/>
  <c r="E104" i="17"/>
  <c r="C105" i="17"/>
  <c r="D105" i="17"/>
  <c r="E105" i="17"/>
  <c r="C106" i="17"/>
  <c r="D106" i="17"/>
  <c r="E106" i="17"/>
  <c r="C107" i="17"/>
  <c r="D107" i="17"/>
  <c r="E107" i="17"/>
  <c r="C108" i="17"/>
  <c r="D108" i="17"/>
  <c r="E108" i="17"/>
  <c r="C109" i="17"/>
  <c r="D109" i="17"/>
  <c r="E109" i="17"/>
  <c r="C110" i="17"/>
  <c r="D110" i="17"/>
  <c r="E110" i="17"/>
  <c r="C111" i="17"/>
  <c r="D111" i="17"/>
  <c r="E111" i="17"/>
  <c r="C112" i="17"/>
  <c r="D112" i="17"/>
  <c r="E112" i="17"/>
  <c r="C113" i="17"/>
  <c r="D113" i="17"/>
  <c r="E113" i="17"/>
  <c r="C114" i="17"/>
  <c r="D114" i="17"/>
  <c r="E114" i="17"/>
  <c r="C115" i="17"/>
  <c r="D115" i="17"/>
  <c r="E115" i="17"/>
  <c r="C116" i="17"/>
  <c r="D116" i="17"/>
  <c r="E116" i="17"/>
  <c r="C117" i="17"/>
  <c r="D117" i="17"/>
  <c r="E117" i="17"/>
  <c r="C118" i="17"/>
  <c r="D118" i="17"/>
  <c r="E118" i="17"/>
  <c r="C119" i="17"/>
  <c r="D119" i="17"/>
  <c r="E119" i="17"/>
  <c r="C120" i="17"/>
  <c r="D120" i="17"/>
  <c r="E120" i="17"/>
  <c r="C121" i="17"/>
  <c r="D121" i="17"/>
  <c r="E121" i="17"/>
  <c r="C122" i="17"/>
  <c r="D122" i="17"/>
  <c r="E122" i="17"/>
  <c r="C123" i="17"/>
  <c r="D123" i="17"/>
  <c r="E123" i="17"/>
  <c r="C124" i="17"/>
  <c r="D124" i="17"/>
  <c r="E124" i="17"/>
  <c r="C125" i="17"/>
  <c r="D125" i="17"/>
  <c r="E125" i="17"/>
  <c r="C126" i="17"/>
  <c r="D126" i="17"/>
  <c r="E126" i="17"/>
  <c r="C127" i="17"/>
  <c r="D127" i="17"/>
  <c r="E127" i="17"/>
  <c r="C128" i="17"/>
  <c r="D128" i="17"/>
  <c r="E128" i="17"/>
  <c r="C129" i="17"/>
  <c r="D129" i="17"/>
  <c r="E129" i="17"/>
  <c r="C130" i="17"/>
  <c r="D130" i="17"/>
  <c r="E130" i="17"/>
  <c r="C131" i="17"/>
  <c r="D131" i="17"/>
  <c r="E131" i="17"/>
  <c r="C132" i="17"/>
  <c r="D132" i="17"/>
  <c r="E132" i="17"/>
  <c r="C133" i="17"/>
  <c r="D133" i="17"/>
  <c r="E133" i="17"/>
  <c r="C134" i="17"/>
  <c r="D134" i="17"/>
  <c r="E134" i="17"/>
  <c r="C135" i="17"/>
  <c r="D135" i="17"/>
  <c r="E135" i="17"/>
  <c r="C136" i="17"/>
  <c r="D136" i="17"/>
  <c r="E136" i="17"/>
  <c r="C137" i="17"/>
  <c r="D137" i="17"/>
  <c r="E137" i="17"/>
  <c r="C138" i="17"/>
  <c r="D138" i="17"/>
  <c r="E138" i="17"/>
  <c r="C139" i="17"/>
  <c r="D139" i="17"/>
  <c r="E139" i="17"/>
  <c r="C140" i="17"/>
  <c r="D140" i="17"/>
  <c r="E140" i="17"/>
  <c r="C141" i="17"/>
  <c r="D141" i="17"/>
  <c r="E141" i="17"/>
  <c r="C142" i="17"/>
  <c r="D142" i="17"/>
  <c r="E142" i="17"/>
  <c r="C143" i="17"/>
  <c r="D143" i="17"/>
  <c r="E143" i="17"/>
  <c r="C144" i="17"/>
  <c r="D144" i="17"/>
  <c r="E144" i="17"/>
  <c r="C145" i="17"/>
  <c r="D145" i="17"/>
  <c r="E145" i="17"/>
  <c r="C146" i="17"/>
  <c r="D146" i="17"/>
  <c r="E146" i="17"/>
  <c r="C147" i="17"/>
  <c r="D147" i="17"/>
  <c r="E147" i="17"/>
  <c r="C148" i="17"/>
  <c r="D148" i="17"/>
  <c r="E148" i="17"/>
  <c r="C149" i="17"/>
  <c r="D149" i="17"/>
  <c r="E149" i="17"/>
  <c r="C150" i="17"/>
  <c r="D150" i="17"/>
  <c r="E150" i="17"/>
  <c r="G150" i="17"/>
  <c r="C151" i="17"/>
  <c r="D151" i="17"/>
  <c r="E151" i="17"/>
  <c r="G151" i="17"/>
  <c r="C152" i="17"/>
  <c r="D152" i="17"/>
  <c r="E152" i="17"/>
  <c r="G152" i="17"/>
  <c r="C153" i="17"/>
  <c r="D153" i="17"/>
  <c r="E153" i="17"/>
  <c r="G153" i="17"/>
  <c r="C154" i="17"/>
  <c r="D154" i="17"/>
  <c r="E154" i="17"/>
  <c r="G154" i="17"/>
  <c r="M46" i="8"/>
  <c r="M28" i="8"/>
  <c r="C6" i="23"/>
  <c r="M22" i="8"/>
  <c r="M4" i="8"/>
  <c r="C5" i="23"/>
  <c r="U4" i="8"/>
  <c r="U22" i="8"/>
  <c r="C4" i="23"/>
  <c r="Q4" i="8"/>
  <c r="Q22" i="8"/>
  <c r="C3" i="23"/>
  <c r="I4" i="8"/>
  <c r="I22" i="8"/>
  <c r="C2" i="23"/>
  <c r="J22" i="2"/>
  <c r="K22" i="2"/>
  <c r="F22" i="2"/>
  <c r="P44" i="8"/>
  <c r="Q44" i="8"/>
  <c r="P45" i="8"/>
  <c r="Q45" i="8"/>
  <c r="P46" i="8"/>
  <c r="Q46" i="8"/>
  <c r="L44" i="8"/>
  <c r="M44" i="8"/>
  <c r="L45" i="8"/>
  <c r="M45" i="8"/>
  <c r="H44" i="8"/>
  <c r="I44" i="8"/>
  <c r="H45" i="8"/>
  <c r="I45" i="8"/>
  <c r="H46" i="8"/>
  <c r="I46" i="8"/>
  <c r="T20" i="8"/>
  <c r="U20" i="8"/>
  <c r="T21" i="8"/>
  <c r="U21" i="8"/>
  <c r="P20" i="8"/>
  <c r="Q20" i="8"/>
  <c r="P21" i="8"/>
  <c r="Q21" i="8"/>
  <c r="L19" i="8"/>
  <c r="M19" i="8"/>
  <c r="L20" i="8"/>
  <c r="M20" i="8"/>
  <c r="L21" i="8"/>
  <c r="M21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I3" i="8"/>
  <c r="H3" i="8"/>
  <c r="L3" i="8"/>
  <c r="G25" i="16"/>
  <c r="H25" i="16"/>
  <c r="G26" i="16"/>
  <c r="H26" i="16"/>
  <c r="G25" i="14"/>
  <c r="H25" i="14"/>
  <c r="G26" i="14"/>
  <c r="H26" i="14"/>
  <c r="G25" i="21"/>
  <c r="H25" i="21"/>
  <c r="G26" i="21"/>
  <c r="H26" i="21"/>
  <c r="G25" i="20"/>
  <c r="H25" i="20"/>
  <c r="G26" i="20"/>
  <c r="H26" i="20"/>
  <c r="G25" i="15"/>
  <c r="H25" i="15"/>
  <c r="G26" i="15"/>
  <c r="H26" i="15"/>
  <c r="G25" i="18"/>
  <c r="H25" i="18"/>
  <c r="G26" i="18"/>
  <c r="H26" i="18"/>
  <c r="G25" i="19"/>
  <c r="H25" i="19"/>
  <c r="G26" i="19"/>
  <c r="H26" i="19"/>
  <c r="P43" i="8"/>
  <c r="G21" i="5"/>
  <c r="G22" i="5"/>
  <c r="I21" i="4"/>
  <c r="J21" i="4"/>
  <c r="I22" i="4"/>
  <c r="J22" i="4"/>
  <c r="H21" i="22"/>
  <c r="L21" i="22"/>
  <c r="P21" i="22"/>
  <c r="R21" i="22"/>
  <c r="Q21" i="22"/>
  <c r="S21" i="22"/>
  <c r="T21" i="22"/>
  <c r="H22" i="22"/>
  <c r="L22" i="22"/>
  <c r="P22" i="22"/>
  <c r="Q22" i="22"/>
  <c r="R22" i="22"/>
  <c r="S22" i="22"/>
  <c r="T22" i="22"/>
  <c r="Q21" i="3"/>
  <c r="R21" i="3"/>
  <c r="S21" i="3"/>
  <c r="Q22" i="3"/>
  <c r="R22" i="3"/>
  <c r="S2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1" i="2"/>
  <c r="C22" i="2"/>
  <c r="D22" i="2"/>
  <c r="D20" i="2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G20" i="5"/>
  <c r="H20" i="22"/>
  <c r="L20" i="22"/>
  <c r="P20" i="22"/>
  <c r="Q20" i="22"/>
  <c r="R20" i="22"/>
  <c r="S20" i="22"/>
  <c r="T20" i="22"/>
  <c r="Q20" i="3"/>
  <c r="R20" i="3"/>
  <c r="S20" i="3"/>
  <c r="J20" i="4"/>
  <c r="I20" i="4"/>
  <c r="L43" i="8"/>
  <c r="T19" i="8"/>
  <c r="P19" i="8"/>
  <c r="M43" i="8"/>
  <c r="U19" i="8"/>
  <c r="Q19" i="8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4" i="22"/>
  <c r="G7" i="19"/>
  <c r="R75" i="22"/>
  <c r="R80" i="22"/>
  <c r="R70" i="22"/>
  <c r="B10" i="23"/>
  <c r="B9" i="2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T75" i="2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Q4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T13" i="8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3" i="4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14"/>
  <c r="H18" i="14"/>
  <c r="G19" i="14"/>
  <c r="H19" i="14"/>
  <c r="G20" i="14"/>
  <c r="H20" i="14"/>
  <c r="G21" i="14"/>
  <c r="H21" i="14"/>
  <c r="G22" i="14"/>
  <c r="H22" i="14"/>
  <c r="G23" i="14"/>
  <c r="H23" i="14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8"/>
  <c r="H18" i="18"/>
  <c r="G19" i="18"/>
  <c r="H19" i="18"/>
  <c r="G20" i="18"/>
  <c r="H20" i="18"/>
  <c r="G21" i="18"/>
  <c r="H21" i="18"/>
  <c r="G22" i="18"/>
  <c r="H22" i="18"/>
  <c r="G23" i="18"/>
  <c r="H23" i="18"/>
  <c r="G18" i="15"/>
  <c r="H18" i="15"/>
  <c r="G19" i="15"/>
  <c r="H19" i="15"/>
  <c r="G20" i="15"/>
  <c r="H20" i="15"/>
  <c r="G21" i="15"/>
  <c r="H21" i="15"/>
  <c r="G22" i="15"/>
  <c r="H22" i="15"/>
  <c r="G23" i="15"/>
  <c r="H23" i="15"/>
  <c r="H38" i="8"/>
  <c r="I38" i="8"/>
  <c r="L38" i="8"/>
  <c r="M38" i="8"/>
  <c r="P38" i="8"/>
  <c r="Q38" i="8"/>
  <c r="H39" i="8"/>
  <c r="I39" i="8"/>
  <c r="L39" i="8"/>
  <c r="M39" i="8"/>
  <c r="P39" i="8"/>
  <c r="Q39" i="8"/>
  <c r="H40" i="8"/>
  <c r="I40" i="8"/>
  <c r="L40" i="8"/>
  <c r="M40" i="8"/>
  <c r="P40" i="8"/>
  <c r="Q40" i="8"/>
  <c r="H41" i="8"/>
  <c r="I41" i="8"/>
  <c r="L41" i="8"/>
  <c r="M41" i="8"/>
  <c r="P41" i="8"/>
  <c r="Q41" i="8"/>
  <c r="H42" i="8"/>
  <c r="I42" i="8"/>
  <c r="L42" i="8"/>
  <c r="M42" i="8"/>
  <c r="P42" i="8"/>
  <c r="Q42" i="8"/>
  <c r="H43" i="8"/>
  <c r="I43" i="8"/>
  <c r="Q43" i="8"/>
  <c r="L14" i="8"/>
  <c r="M14" i="8"/>
  <c r="P14" i="8"/>
  <c r="Q14" i="8"/>
  <c r="T14" i="8"/>
  <c r="U14" i="8"/>
  <c r="L15" i="8"/>
  <c r="M15" i="8"/>
  <c r="P15" i="8"/>
  <c r="Q15" i="8"/>
  <c r="T15" i="8"/>
  <c r="U15" i="8"/>
  <c r="L16" i="8"/>
  <c r="M16" i="8"/>
  <c r="P16" i="8"/>
  <c r="Q16" i="8"/>
  <c r="T16" i="8"/>
  <c r="U16" i="8"/>
  <c r="L17" i="8"/>
  <c r="M17" i="8"/>
  <c r="P17" i="8"/>
  <c r="Q17" i="8"/>
  <c r="T17" i="8"/>
  <c r="U17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7" i="8"/>
  <c r="L27" i="8"/>
  <c r="H27" i="8"/>
  <c r="U3" i="8"/>
  <c r="Q3" i="8"/>
  <c r="M3" i="8"/>
  <c r="Q27" i="8"/>
  <c r="M27" i="8"/>
  <c r="I27" i="8"/>
  <c r="T3" i="8"/>
  <c r="P3" i="8"/>
  <c r="G3" i="5"/>
  <c r="P28" i="8"/>
  <c r="I28" i="8"/>
  <c r="Q28" i="8"/>
  <c r="H28" i="8"/>
  <c r="G4" i="5"/>
  <c r="L29" i="8"/>
  <c r="P5" i="8"/>
  <c r="T5" i="8"/>
  <c r="Q29" i="8"/>
  <c r="Q5" i="8"/>
  <c r="P29" i="8"/>
  <c r="H29" i="8"/>
  <c r="L5" i="8"/>
  <c r="M29" i="8"/>
  <c r="U5" i="8"/>
  <c r="I29" i="8"/>
  <c r="M5" i="8"/>
  <c r="L7" i="8"/>
  <c r="G5" i="5"/>
  <c r="M30" i="8"/>
  <c r="I30" i="8"/>
  <c r="L30" i="8"/>
  <c r="Q30" i="8"/>
  <c r="P6" i="8"/>
  <c r="P30" i="8"/>
  <c r="H30" i="8"/>
  <c r="L6" i="8"/>
  <c r="U6" i="8"/>
  <c r="Q6" i="8"/>
  <c r="T6" i="8"/>
  <c r="M6" i="8"/>
  <c r="P31" i="8"/>
  <c r="Q31" i="8"/>
  <c r="I31" i="8"/>
  <c r="M7" i="8"/>
  <c r="H31" i="8"/>
  <c r="T7" i="8"/>
  <c r="U7" i="8"/>
  <c r="M31" i="8"/>
  <c r="Q7" i="8"/>
  <c r="L31" i="8"/>
  <c r="P7" i="8"/>
  <c r="G6" i="5"/>
  <c r="U8" i="8"/>
  <c r="M8" i="8"/>
  <c r="I32" i="8"/>
  <c r="P32" i="8"/>
  <c r="L32" i="8"/>
  <c r="H32" i="8"/>
  <c r="G7" i="5"/>
  <c r="T8" i="8"/>
  <c r="Q8" i="8"/>
  <c r="M32" i="8"/>
  <c r="T9" i="8"/>
  <c r="L8" i="8"/>
  <c r="P8" i="8"/>
  <c r="Q32" i="8"/>
  <c r="L9" i="8"/>
  <c r="M33" i="8"/>
  <c r="U9" i="8"/>
  <c r="M9" i="8"/>
  <c r="H33" i="8"/>
  <c r="I33" i="8"/>
  <c r="P33" i="8"/>
  <c r="P9" i="8"/>
  <c r="Q9" i="8"/>
  <c r="L33" i="8"/>
  <c r="G8" i="5"/>
  <c r="Q33" i="8"/>
  <c r="Q34" i="8"/>
  <c r="U10" i="8"/>
  <c r="M34" i="8"/>
  <c r="H34" i="8"/>
  <c r="Q10" i="8"/>
  <c r="T10" i="8"/>
  <c r="L10" i="8"/>
  <c r="G9" i="5"/>
  <c r="P34" i="8"/>
  <c r="P10" i="8"/>
  <c r="M10" i="8"/>
  <c r="L34" i="8"/>
  <c r="I34" i="8"/>
  <c r="P35" i="8"/>
  <c r="L35" i="8"/>
  <c r="T11" i="8"/>
  <c r="L11" i="8"/>
  <c r="I35" i="8"/>
  <c r="Q11" i="8"/>
  <c r="G10" i="5"/>
  <c r="M35" i="8"/>
  <c r="H35" i="8"/>
  <c r="P11" i="8"/>
  <c r="Q35" i="8"/>
  <c r="U11" i="8"/>
  <c r="M11" i="8"/>
  <c r="Q36" i="8"/>
  <c r="U12" i="8"/>
  <c r="M12" i="8"/>
  <c r="M36" i="8"/>
  <c r="H36" i="8"/>
  <c r="P12" i="8"/>
  <c r="G11" i="5"/>
  <c r="I36" i="8"/>
  <c r="Q12" i="8"/>
  <c r="P36" i="8"/>
  <c r="L36" i="8"/>
  <c r="T12" i="8"/>
  <c r="L12" i="8"/>
  <c r="G12" i="5"/>
  <c r="H37" i="8"/>
  <c r="U13" i="8"/>
  <c r="L37" i="8"/>
  <c r="L13" i="8"/>
  <c r="Q37" i="8"/>
  <c r="I37" i="8"/>
  <c r="Q13" i="8"/>
  <c r="P37" i="8"/>
  <c r="P13" i="8"/>
  <c r="M37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<sst xmlns="http://schemas.openxmlformats.org/spreadsheetml/2006/main" count="456" uniqueCount="195">
  <si>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</si>
  <si>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</si>
  <si>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</si>
  <si>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</si>
  <si>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</si>
  <si>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</si>
  <si>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</si>
  <si>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</si>
  <si>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</si>
  <si>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</si>
  <si>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</si>
  <si>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</si>
  <si>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</si>
  <si>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</si>
  <si>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</si>
  <si>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</si>
  <si>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</si>
  <si>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</si>
  <si>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</si>
  <si>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</si>
  <si>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</si>
  <si>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</si>
  <si>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</si>
  <si>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</si>
  <si>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</si>
  <si>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</si>
  <si>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</si>
  <si>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</si>
  <si>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</si>
  <si>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</si>
  <si>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</si>
  <si>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</si>
  <si>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</si>
  <si>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</si>
  <si>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</si>
  <si>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</si>
  <si>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</si>
  <si>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</si>
  <si>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</si>
  <si>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</si>
  <si>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</si>
  <si>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</si>
  <si>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</si>
  <si>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</si>
  <si>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</si>
  <si>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</si>
  <si>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</si>
  <si>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</si>
  <si>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</si>
  <si>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</si>
  <si>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</si>
  <si>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</si>
  <si>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</si>
  <si>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</si>
  <si>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</si>
  <si>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</si>
  <si>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</si>
  <si>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</si>
  <si>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</si>
  <si>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</si>
  <si>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</si>
  <si>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</si>
  <si>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</si>
  <si>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</si>
  <si>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</si>
  <si>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</si>
  <si>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</si>
  <si>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</si>
  <si>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</si>
  <si>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</si>
  <si>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</si>
  <si>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</si>
  <si>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</si>
  <si>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</si>
  <si>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</si>
  <si>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</si>
  <si>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</si>
  <si>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</si>
  <si>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</si>
  <si>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</si>
  <si>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</si>
  <si>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</si>
  <si>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</si>
  <si>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</si>
  <si>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</si>
  <si>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</si>
  <si>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</si>
  <si>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</si>
  <si>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</si>
  <si>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</si>
  <si>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</si>
  <si>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</si>
  <si>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</si>
  <si>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</si>
  <si>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</si>
  <si>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</si>
  <si>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</si>
  <si>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</si>
  <si>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</si>
  <si>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</si>
  <si>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</si>
  <si>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</si>
  <si>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</si>
  <si>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</si>
  <si>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</si>
  <si>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</si>
  <si>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</si>
  <si>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</si>
  <si>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</si>
  <si>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</si>
  <si>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</si>
  <si>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</si>
  <si>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</si>
  <si>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</si>
  <si>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</si>
  <si>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</si>
  <si>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LN(Count/mL)</t>
  </si>
  <si>
    <t>y = lnN</t>
  </si>
  <si>
    <t>a= umax</t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</si>
  <si>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</si>
  <si>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t>x =t (h)</t>
  </si>
  <si>
    <r>
      <t>b = ln N</t>
    </r>
    <r>
      <rPr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</si>
  <si>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</si>
  <si>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doubling time td</t>
  </si>
  <si>
    <t>h</t>
  </si>
  <si>
    <t>umax average</t>
  </si>
  <si>
    <t>umax STDEV</t>
  </si>
  <si>
    <r>
      <t>h</t>
    </r>
    <r>
      <rPr>
        <vertAlign val="superscript"/>
        <sz val="11"/>
        <color rgb="FF000000"/>
        <rFont val="Calibri"/>
        <family val="2"/>
        <scheme val="minor"/>
      </rPr>
      <t>-1</t>
    </r>
  </si>
  <si>
    <t>doubling time average</t>
  </si>
  <si>
    <t>D-Fructose</t>
  </si>
  <si>
    <t>D Fructose</t>
  </si>
  <si>
    <t>D-Fructose consumed</t>
  </si>
  <si>
    <t>10 ml of a 0,1 g/l stock solution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</si>
  <si>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</si>
  <si>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</si>
  <si>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</si>
  <si>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</si>
  <si>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0 g per 1.5 l</t>
  </si>
  <si>
    <t>D - Fructose (50 mM)</t>
  </si>
  <si>
    <t>Formate (300 mM)</t>
  </si>
  <si>
    <r>
      <t>30,6  g in 250 ml MilliQ,H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1.5l</t>
    </r>
  </si>
  <si>
    <t>Growth was detected on anaerobic plates</t>
  </si>
  <si>
    <t>Formic acid consumed</t>
  </si>
  <si>
    <t>Acetic acid produced</t>
  </si>
  <si>
    <t>Na-acetate trihydrate (0 mM)</t>
  </si>
  <si>
    <t>mM formate consumed</t>
  </si>
  <si>
    <t>mM acetate produced</t>
  </si>
  <si>
    <t>4H2 + 2CO2</t>
  </si>
  <si>
    <t>&gt;</t>
  </si>
  <si>
    <t xml:space="preserve">CH3COOH </t>
  </si>
  <si>
    <t>Wood-Ljungdahl pathway</t>
  </si>
  <si>
    <t>HCOOH</t>
  </si>
  <si>
    <t>CO2 + H2</t>
  </si>
  <si>
    <t xml:space="preserve"> HCOOH </t>
  </si>
  <si>
    <t>CO2 + 3H2</t>
  </si>
  <si>
    <t>CH3COOH</t>
  </si>
  <si>
    <t>CO2 + 3 H2</t>
  </si>
  <si>
    <t>3HCOOH</t>
  </si>
  <si>
    <t>CO2 + 5 H2</t>
  </si>
  <si>
    <t>2CH3COOH</t>
  </si>
  <si>
    <t>en 2 H2O</t>
  </si>
  <si>
    <t>en  2H2O</t>
  </si>
  <si>
    <t>en  4H2O</t>
  </si>
  <si>
    <t xml:space="preserve"> en cell biomass</t>
  </si>
  <si>
    <t>en  cell biomass</t>
  </si>
  <si>
    <t xml:space="preserve">Total amount of  H2 en CO2 produced </t>
  </si>
  <si>
    <t>Total amount of  H2 converted into acetate</t>
  </si>
  <si>
    <t>Total amount of  CO2 converted into acetate</t>
  </si>
  <si>
    <t>Total amount of left-over hydrogen</t>
  </si>
  <si>
    <t>Total amount of left-over carbon dioxide</t>
  </si>
  <si>
    <t>Total nett reation:</t>
  </si>
  <si>
    <t>Total nett reaction in absence of formate</t>
  </si>
  <si>
    <t>LOG</t>
  </si>
  <si>
    <t>STDEV LOG(Count/mL)</t>
  </si>
  <si>
    <r>
      <t>13,5  g in 100 ml MilliQ,H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1.5l</t>
    </r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</si>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</sst>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1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18" fillId="0" borderId="20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0" fontId="0" fillId="0" borderId="16" xfId="0" applyBorder="1"/>
    <xf numFmtId="1" fontId="0" fillId="0" borderId="0" xfId="0" applyNumberForma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10" borderId="16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12" borderId="0" xfId="0" applyFill="1"/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371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4948F1"/>
      <color rgb="FFDC02FA"/>
      <color rgb="FFFEC109"/>
      <color rgb="FF41CBFF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13.0</c:v>
                </c:pt>
              </c:numCache>
            </c:numRef>
          </c:xVal>
          <c:yVal>
            <c:numRef>
              <c:f>'Flow cytometer'!$S$10:$S$13</c:f>
              <c:numCache>
                <c:formatCode>0.00</c:formatCode>
                <c:ptCount val="4"/>
                <c:pt idx="0">
                  <c:v>7.795890294961074</c:v>
                </c:pt>
                <c:pt idx="1">
                  <c:v>7.87930715128438</c:v>
                </c:pt>
                <c:pt idx="2">
                  <c:v>7.987460444971727</c:v>
                </c:pt>
                <c:pt idx="3">
                  <c:v>8.077320295818317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68616"/>
        <c:axId val="2081440168"/>
      </c:scatterChart>
      <c:valAx>
        <c:axId val="208176861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1440168"/>
        <c:crossesAt val="0.0"/>
        <c:crossBetween val="midCat"/>
        <c:majorUnit val="6.0"/>
      </c:valAx>
      <c:valAx>
        <c:axId val="2081440168"/>
        <c:scaling>
          <c:orientation val="minMax"/>
          <c:max val="10.0"/>
          <c:min val="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(log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17686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13.0</c:v>
                </c:pt>
              </c:numCache>
            </c:numRef>
          </c:xVal>
          <c:yVal>
            <c:numRef>
              <c:f>'Flow cytometer'!$T$10:$T$13</c:f>
              <c:numCache>
                <c:formatCode>0.00</c:formatCode>
                <c:ptCount val="4"/>
                <c:pt idx="0">
                  <c:v>17.95070077979432</c:v>
                </c:pt>
                <c:pt idx="1">
                  <c:v>18.1427751896688</c:v>
                </c:pt>
                <c:pt idx="2">
                  <c:v>18.39180735147149</c:v>
                </c:pt>
                <c:pt idx="3">
                  <c:v>18.59871730448952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90040"/>
        <c:axId val="2081445304"/>
      </c:scatterChart>
      <c:valAx>
        <c:axId val="207809004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1445304"/>
        <c:crossesAt val="0.0"/>
        <c:crossBetween val="midCat"/>
        <c:majorUnit val="6.0"/>
      </c:valAx>
      <c:valAx>
        <c:axId val="2081445304"/>
        <c:scaling>
          <c:orientation val="minMax"/>
          <c:max val="2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(ln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80900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2"/>
          <c:order val="0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Metabolites!$Q$4:$Q$22</c:f>
                <c:numCache>
                  <c:formatCode>General</c:formatCode>
                  <c:ptCount val="19"/>
                  <c:pt idx="0">
                    <c:v>0.0577235210923103</c:v>
                  </c:pt>
                  <c:pt idx="1">
                    <c:v>0.150278370634469</c:v>
                  </c:pt>
                  <c:pt idx="2">
                    <c:v>0.0838703317022394</c:v>
                  </c:pt>
                  <c:pt idx="3">
                    <c:v>0.0333266904412181</c:v>
                  </c:pt>
                  <c:pt idx="4">
                    <c:v>0.126172813656358</c:v>
                  </c:pt>
                  <c:pt idx="5">
                    <c:v>0.115447042184621</c:v>
                  </c:pt>
                  <c:pt idx="6">
                    <c:v>0.171019292640157</c:v>
                  </c:pt>
                  <c:pt idx="7">
                    <c:v>0.0693750383662173</c:v>
                  </c:pt>
                  <c:pt idx="8">
                    <c:v>0.0385162824454863</c:v>
                  </c:pt>
                  <c:pt idx="9">
                    <c:v>0.150410891243494</c:v>
                  </c:pt>
                  <c:pt idx="10">
                    <c:v>0.0192581412227431</c:v>
                  </c:pt>
                  <c:pt idx="11">
                    <c:v>0.280018180228902</c:v>
                  </c:pt>
                  <c:pt idx="12">
                    <c:v>0.0963862326078761</c:v>
                  </c:pt>
                  <c:pt idx="13">
                    <c:v>0.0510028002581729</c:v>
                  </c:pt>
                  <c:pt idx="14">
                    <c:v>0.177901573980995</c:v>
                  </c:pt>
                  <c:pt idx="15">
                    <c:v>0.445532099348809</c:v>
                  </c:pt>
                  <c:pt idx="16">
                    <c:v>0.701438320829615</c:v>
                  </c:pt>
                  <c:pt idx="17">
                    <c:v>0.328428403236626</c:v>
                  </c:pt>
                  <c:pt idx="18">
                    <c:v>0.153723312168976</c:v>
                  </c:pt>
                </c:numCache>
              </c:numRef>
            </c:plus>
            <c:minus>
              <c:numRef>
                <c:f>Metabolites!$Q$4:$Q$22</c:f>
                <c:numCache>
                  <c:formatCode>General</c:formatCode>
                  <c:ptCount val="19"/>
                  <c:pt idx="0">
                    <c:v>0.0577235210923103</c:v>
                  </c:pt>
                  <c:pt idx="1">
                    <c:v>0.150278370634469</c:v>
                  </c:pt>
                  <c:pt idx="2">
                    <c:v>0.0838703317022394</c:v>
                  </c:pt>
                  <c:pt idx="3">
                    <c:v>0.0333266904412181</c:v>
                  </c:pt>
                  <c:pt idx="4">
                    <c:v>0.126172813656358</c:v>
                  </c:pt>
                  <c:pt idx="5">
                    <c:v>0.115447042184621</c:v>
                  </c:pt>
                  <c:pt idx="6">
                    <c:v>0.171019292640157</c:v>
                  </c:pt>
                  <c:pt idx="7">
                    <c:v>0.0693750383662173</c:v>
                  </c:pt>
                  <c:pt idx="8">
                    <c:v>0.0385162824454863</c:v>
                  </c:pt>
                  <c:pt idx="9">
                    <c:v>0.150410891243494</c:v>
                  </c:pt>
                  <c:pt idx="10">
                    <c:v>0.0192581412227431</c:v>
                  </c:pt>
                  <c:pt idx="11">
                    <c:v>0.280018180228902</c:v>
                  </c:pt>
                  <c:pt idx="12">
                    <c:v>0.0963862326078761</c:v>
                  </c:pt>
                  <c:pt idx="13">
                    <c:v>0.0510028002581729</c:v>
                  </c:pt>
                  <c:pt idx="14">
                    <c:v>0.177901573980995</c:v>
                  </c:pt>
                  <c:pt idx="15">
                    <c:v>0.445532099348809</c:v>
                  </c:pt>
                  <c:pt idx="16">
                    <c:v>0.701438320829615</c:v>
                  </c:pt>
                  <c:pt idx="17">
                    <c:v>0.328428403236626</c:v>
                  </c:pt>
                  <c:pt idx="18">
                    <c:v>0.153723312168976</c:v>
                  </c:pt>
                </c:numCache>
              </c:numRef>
            </c:minus>
          </c:errBars>
          <c:xVal>
            <c:numRef>
              <c:f>Metabolites!$E$4:$E$22</c:f>
              <c:numCache>
                <c:formatCode>0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17.0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  <c:pt idx="17">
                  <c:v>54.0</c:v>
                </c:pt>
                <c:pt idx="18">
                  <c:v>72.0</c:v>
                </c:pt>
              </c:numCache>
            </c:numRef>
          </c:xVal>
          <c:yVal>
            <c:numRef>
              <c:f>Metabolites!$P$4:$P$22</c:f>
              <c:numCache>
                <c:formatCode>0</c:formatCode>
                <c:ptCount val="19"/>
                <c:pt idx="0">
                  <c:v>2.099581497796756</c:v>
                </c:pt>
                <c:pt idx="1">
                  <c:v>2.288432743630326</c:v>
                </c:pt>
                <c:pt idx="2">
                  <c:v>2.310650537257806</c:v>
                </c:pt>
                <c:pt idx="3">
                  <c:v>2.366195021326503</c:v>
                </c:pt>
                <c:pt idx="4">
                  <c:v>2.388412814953981</c:v>
                </c:pt>
                <c:pt idx="5">
                  <c:v>2.099581497796755</c:v>
                </c:pt>
                <c:pt idx="6">
                  <c:v>2.555046267160073</c:v>
                </c:pt>
                <c:pt idx="7">
                  <c:v>2.977184346082172</c:v>
                </c:pt>
                <c:pt idx="8">
                  <c:v>2.990928422122451</c:v>
                </c:pt>
                <c:pt idx="9">
                  <c:v>3.24665836156043</c:v>
                </c:pt>
                <c:pt idx="10">
                  <c:v>3.457913528922238</c:v>
                </c:pt>
                <c:pt idx="11">
                  <c:v>3.717327638467717</c:v>
                </c:pt>
                <c:pt idx="12">
                  <c:v>4.79691081490894</c:v>
                </c:pt>
                <c:pt idx="13">
                  <c:v>6.36620182396268</c:v>
                </c:pt>
                <c:pt idx="14">
                  <c:v>10.11969143591444</c:v>
                </c:pt>
                <c:pt idx="15">
                  <c:v>12.57208504480486</c:v>
                </c:pt>
                <c:pt idx="16">
                  <c:v>35.96046428890005</c:v>
                </c:pt>
                <c:pt idx="17">
                  <c:v>41.16618556197315</c:v>
                </c:pt>
                <c:pt idx="18">
                  <c:v>45.8093155545977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Metabolites!$U$4:$U$22</c:f>
                <c:numCache>
                  <c:formatCode>General</c:formatCode>
                  <c:ptCount val="19"/>
                  <c:pt idx="0">
                    <c:v>1.013127582327364</c:v>
                  </c:pt>
                  <c:pt idx="1">
                    <c:v>0.577339714364857</c:v>
                  </c:pt>
                  <c:pt idx="2">
                    <c:v>2.17227854238915</c:v>
                  </c:pt>
                  <c:pt idx="3">
                    <c:v>2.550389787443452</c:v>
                  </c:pt>
                  <c:pt idx="4">
                    <c:v>1.176572315893722</c:v>
                  </c:pt>
                  <c:pt idx="5">
                    <c:v>0.305375685373194</c:v>
                  </c:pt>
                  <c:pt idx="6">
                    <c:v>1.577818746905817</c:v>
                  </c:pt>
                  <c:pt idx="7">
                    <c:v>2.565661719069638</c:v>
                  </c:pt>
                  <c:pt idx="8">
                    <c:v>1.886967646130722</c:v>
                  </c:pt>
                  <c:pt idx="9">
                    <c:v>0.957677339117491</c:v>
                  </c:pt>
                  <c:pt idx="10">
                    <c:v>1.718920236733646</c:v>
                  </c:pt>
                  <c:pt idx="11">
                    <c:v>2.880277271484143</c:v>
                  </c:pt>
                  <c:pt idx="12">
                    <c:v>1.66343588719492</c:v>
                  </c:pt>
                  <c:pt idx="13">
                    <c:v>3.069388558607542</c:v>
                  </c:pt>
                  <c:pt idx="14">
                    <c:v>3.824249914137681</c:v>
                  </c:pt>
                  <c:pt idx="15">
                    <c:v>8.82093719867626</c:v>
                  </c:pt>
                  <c:pt idx="16">
                    <c:v>1.330191596673131</c:v>
                  </c:pt>
                  <c:pt idx="17">
                    <c:v>0.520133661450909</c:v>
                  </c:pt>
                  <c:pt idx="18">
                    <c:v>0.0</c:v>
                  </c:pt>
                </c:numCache>
              </c:numRef>
            </c:plus>
            <c:minus>
              <c:numRef>
                <c:f>Metabolites!$U$4:$U$22</c:f>
                <c:numCache>
                  <c:formatCode>General</c:formatCode>
                  <c:ptCount val="19"/>
                  <c:pt idx="0">
                    <c:v>1.013127582327364</c:v>
                  </c:pt>
                  <c:pt idx="1">
                    <c:v>0.577339714364857</c:v>
                  </c:pt>
                  <c:pt idx="2">
                    <c:v>2.17227854238915</c:v>
                  </c:pt>
                  <c:pt idx="3">
                    <c:v>2.550389787443452</c:v>
                  </c:pt>
                  <c:pt idx="4">
                    <c:v>1.176572315893722</c:v>
                  </c:pt>
                  <c:pt idx="5">
                    <c:v>0.305375685373194</c:v>
                  </c:pt>
                  <c:pt idx="6">
                    <c:v>1.577818746905817</c:v>
                  </c:pt>
                  <c:pt idx="7">
                    <c:v>2.565661719069638</c:v>
                  </c:pt>
                  <c:pt idx="8">
                    <c:v>1.886967646130722</c:v>
                  </c:pt>
                  <c:pt idx="9">
                    <c:v>0.957677339117491</c:v>
                  </c:pt>
                  <c:pt idx="10">
                    <c:v>1.718920236733646</c:v>
                  </c:pt>
                  <c:pt idx="11">
                    <c:v>2.880277271484143</c:v>
                  </c:pt>
                  <c:pt idx="12">
                    <c:v>1.66343588719492</c:v>
                  </c:pt>
                  <c:pt idx="13">
                    <c:v>3.069388558607542</c:v>
                  </c:pt>
                  <c:pt idx="14">
                    <c:v>3.824249914137681</c:v>
                  </c:pt>
                  <c:pt idx="15">
                    <c:v>8.82093719867626</c:v>
                  </c:pt>
                  <c:pt idx="16">
                    <c:v>1.330191596673131</c:v>
                  </c:pt>
                  <c:pt idx="17">
                    <c:v>0.520133661450909</c:v>
                  </c:pt>
                  <c:pt idx="18">
                    <c:v>0.0</c:v>
                  </c:pt>
                </c:numCache>
              </c:numRef>
            </c:minus>
          </c:errBars>
          <c:xVal>
            <c:numRef>
              <c:f>Metabolites!$E$4:$E$22</c:f>
              <c:numCache>
                <c:formatCode>0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17.0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  <c:pt idx="17">
                  <c:v>54.0</c:v>
                </c:pt>
                <c:pt idx="18">
                  <c:v>72.0</c:v>
                </c:pt>
              </c:numCache>
            </c:numRef>
          </c:xVal>
          <c:yVal>
            <c:numRef>
              <c:f>Metabolites!$T$4:$T$22</c:f>
              <c:numCache>
                <c:formatCode>0</c:formatCode>
                <c:ptCount val="19"/>
                <c:pt idx="0">
                  <c:v>293.2555083187566</c:v>
                </c:pt>
                <c:pt idx="1">
                  <c:v>292.5308838850556</c:v>
                </c:pt>
                <c:pt idx="2">
                  <c:v>293.7047754676511</c:v>
                </c:pt>
                <c:pt idx="3">
                  <c:v>290.9512026195877</c:v>
                </c:pt>
                <c:pt idx="4">
                  <c:v>295.313441710467</c:v>
                </c:pt>
                <c:pt idx="5">
                  <c:v>300.009008040849</c:v>
                </c:pt>
                <c:pt idx="6">
                  <c:v>294.2120125712417</c:v>
                </c:pt>
                <c:pt idx="7">
                  <c:v>293.4004332054968</c:v>
                </c:pt>
                <c:pt idx="8">
                  <c:v>291.2222786136481</c:v>
                </c:pt>
                <c:pt idx="9">
                  <c:v>293.0064266571545</c:v>
                </c:pt>
                <c:pt idx="10">
                  <c:v>290.8016258229027</c:v>
                </c:pt>
                <c:pt idx="11">
                  <c:v>286.7632611787438</c:v>
                </c:pt>
                <c:pt idx="12">
                  <c:v>290.6835690530861</c:v>
                </c:pt>
                <c:pt idx="13">
                  <c:v>287.8231962706957</c:v>
                </c:pt>
                <c:pt idx="14">
                  <c:v>260.9110338167923</c:v>
                </c:pt>
                <c:pt idx="15">
                  <c:v>223.0997167730351</c:v>
                </c:pt>
                <c:pt idx="16">
                  <c:v>88.7677493531353</c:v>
                </c:pt>
                <c:pt idx="17">
                  <c:v>47.28284172920412</c:v>
                </c:pt>
                <c:pt idx="18">
                  <c:v>0.0</c:v>
                </c:pt>
              </c:numCache>
            </c:numRef>
          </c:yVal>
          <c:smooth val="0"/>
        </c:ser>
        <c:ser>
          <c:idx val="0"/>
          <c:order val="4"/>
          <c:tx>
            <c:v>H2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'H2'!$A$5:$A$149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'H2'!$G$5:$G$149</c:f>
              <c:numCache>
                <c:formatCode>0.0</c:formatCode>
                <c:ptCount val="145"/>
                <c:pt idx="0">
                  <c:v>0.0343775410141133</c:v>
                </c:pt>
                <c:pt idx="1">
                  <c:v>0.159289856527009</c:v>
                </c:pt>
                <c:pt idx="2">
                  <c:v>0.346204738566201</c:v>
                </c:pt>
                <c:pt idx="3">
                  <c:v>0.54440995625839</c:v>
                </c:pt>
                <c:pt idx="4">
                  <c:v>0.754697953428534</c:v>
                </c:pt>
                <c:pt idx="5">
                  <c:v>0.971900405899783</c:v>
                </c:pt>
                <c:pt idx="6">
                  <c:v>1.194604806668926</c:v>
                </c:pt>
                <c:pt idx="7">
                  <c:v>1.42905683555776</c:v>
                </c:pt>
                <c:pt idx="8">
                  <c:v>1.670830899157394</c:v>
                </c:pt>
                <c:pt idx="9">
                  <c:v>1.921141874562477</c:v>
                </c:pt>
                <c:pt idx="10">
                  <c:v>2.184400029220972</c:v>
                </c:pt>
                <c:pt idx="11">
                  <c:v>2.457686424768183</c:v>
                </c:pt>
                <c:pt idx="12">
                  <c:v>2.763714648511292</c:v>
                </c:pt>
                <c:pt idx="13">
                  <c:v>3.086791466843204</c:v>
                </c:pt>
                <c:pt idx="14">
                  <c:v>3.399115264884117</c:v>
                </c:pt>
                <c:pt idx="15">
                  <c:v>3.73016834635617</c:v>
                </c:pt>
                <c:pt idx="16">
                  <c:v>4.090686318322461</c:v>
                </c:pt>
                <c:pt idx="17">
                  <c:v>4.470228620204454</c:v>
                </c:pt>
                <c:pt idx="18">
                  <c:v>4.879969428039584</c:v>
                </c:pt>
                <c:pt idx="19">
                  <c:v>5.319405927941291</c:v>
                </c:pt>
                <c:pt idx="20">
                  <c:v>5.782133218460934</c:v>
                </c:pt>
                <c:pt idx="21">
                  <c:v>6.28764251316585</c:v>
                </c:pt>
                <c:pt idx="22">
                  <c:v>6.824606252928612</c:v>
                </c:pt>
                <c:pt idx="23">
                  <c:v>7.388541786716297</c:v>
                </c:pt>
                <c:pt idx="24">
                  <c:v>7.987413183936204</c:v>
                </c:pt>
                <c:pt idx="25">
                  <c:v>8.616148787561048</c:v>
                </c:pt>
                <c:pt idx="26">
                  <c:v>9.288023061578848</c:v>
                </c:pt>
                <c:pt idx="27">
                  <c:v>10.01506058418844</c:v>
                </c:pt>
                <c:pt idx="28">
                  <c:v>10.79255336260264</c:v>
                </c:pt>
                <c:pt idx="29">
                  <c:v>11.61574272364738</c:v>
                </c:pt>
                <c:pt idx="30">
                  <c:v>12.50072866472483</c:v>
                </c:pt>
                <c:pt idx="31">
                  <c:v>13.49932110166028</c:v>
                </c:pt>
                <c:pt idx="32">
                  <c:v>14.59049366181003</c:v>
                </c:pt>
                <c:pt idx="33">
                  <c:v>15.75978866163837</c:v>
                </c:pt>
                <c:pt idx="34">
                  <c:v>17.09459091282588</c:v>
                </c:pt>
                <c:pt idx="35">
                  <c:v>18.59719472370003</c:v>
                </c:pt>
                <c:pt idx="36">
                  <c:v>20.28147803532068</c:v>
                </c:pt>
                <c:pt idx="37">
                  <c:v>22.30108947995977</c:v>
                </c:pt>
                <c:pt idx="38">
                  <c:v>24.41697021827731</c:v>
                </c:pt>
                <c:pt idx="39">
                  <c:v>26.55574866016357</c:v>
                </c:pt>
                <c:pt idx="40">
                  <c:v>28.99314820729464</c:v>
                </c:pt>
                <c:pt idx="41">
                  <c:v>31.9563262461496</c:v>
                </c:pt>
                <c:pt idx="42">
                  <c:v>35.2280295427952</c:v>
                </c:pt>
                <c:pt idx="43">
                  <c:v>38.60249917925073</c:v>
                </c:pt>
                <c:pt idx="44">
                  <c:v>42.20694335689332</c:v>
                </c:pt>
                <c:pt idx="45">
                  <c:v>46.04935727444458</c:v>
                </c:pt>
                <c:pt idx="46">
                  <c:v>50.11652060128073</c:v>
                </c:pt>
                <c:pt idx="47">
                  <c:v>54.31847923318202</c:v>
                </c:pt>
                <c:pt idx="48">
                  <c:v>58.79485009119753</c:v>
                </c:pt>
                <c:pt idx="49">
                  <c:v>63.42594423671892</c:v>
                </c:pt>
                <c:pt idx="50">
                  <c:v>68.03505809052568</c:v>
                </c:pt>
                <c:pt idx="51">
                  <c:v>72.66996909022206</c:v>
                </c:pt>
                <c:pt idx="52">
                  <c:v>77.26314101691071</c:v>
                </c:pt>
                <c:pt idx="53">
                  <c:v>81.80882556849573</c:v>
                </c:pt>
                <c:pt idx="54">
                  <c:v>86.41175602645568</c:v>
                </c:pt>
                <c:pt idx="55">
                  <c:v>91.09159390906258</c:v>
                </c:pt>
                <c:pt idx="56">
                  <c:v>95.78350909638334</c:v>
                </c:pt>
                <c:pt idx="57">
                  <c:v>100.4648450597227</c:v>
                </c:pt>
                <c:pt idx="58">
                  <c:v>105.1166159422684</c:v>
                </c:pt>
                <c:pt idx="59">
                  <c:v>109.7398358117309</c:v>
                </c:pt>
                <c:pt idx="60">
                  <c:v>114.8283517679726</c:v>
                </c:pt>
                <c:pt idx="61">
                  <c:v>120.991601623087</c:v>
                </c:pt>
                <c:pt idx="62">
                  <c:v>126.7759027773746</c:v>
                </c:pt>
                <c:pt idx="63">
                  <c:v>131.6139144657086</c:v>
                </c:pt>
                <c:pt idx="64">
                  <c:v>136.3654599038539</c:v>
                </c:pt>
                <c:pt idx="65">
                  <c:v>140.8742491192474</c:v>
                </c:pt>
                <c:pt idx="66">
                  <c:v>145.225666689853</c:v>
                </c:pt>
                <c:pt idx="67">
                  <c:v>149.4677899379979</c:v>
                </c:pt>
                <c:pt idx="68">
                  <c:v>153.623961988733</c:v>
                </c:pt>
                <c:pt idx="69">
                  <c:v>157.7124755032094</c:v>
                </c:pt>
                <c:pt idx="70">
                  <c:v>161.6998876563541</c:v>
                </c:pt>
                <c:pt idx="71">
                  <c:v>165.5939285370729</c:v>
                </c:pt>
                <c:pt idx="72">
                  <c:v>169.3832614592298</c:v>
                </c:pt>
                <c:pt idx="73">
                  <c:v>173.065000531152</c:v>
                </c:pt>
                <c:pt idx="74">
                  <c:v>176.6276028000364</c:v>
                </c:pt>
                <c:pt idx="75">
                  <c:v>180.0438607102683</c:v>
                </c:pt>
                <c:pt idx="76">
                  <c:v>183.3290275591029</c:v>
                </c:pt>
                <c:pt idx="77">
                  <c:v>186.4715088270707</c:v>
                </c:pt>
                <c:pt idx="78">
                  <c:v>189.4826412003075</c:v>
                </c:pt>
                <c:pt idx="79">
                  <c:v>192.4674936040424</c:v>
                </c:pt>
                <c:pt idx="80">
                  <c:v>195.5257757134931</c:v>
                </c:pt>
                <c:pt idx="81">
                  <c:v>198.6117810452266</c:v>
                </c:pt>
                <c:pt idx="82">
                  <c:v>201.6397640546112</c:v>
                </c:pt>
                <c:pt idx="83">
                  <c:v>204.5966875832852</c:v>
                </c:pt>
                <c:pt idx="84">
                  <c:v>207.4716274784471</c:v>
                </c:pt>
                <c:pt idx="85">
                  <c:v>210.6394617436924</c:v>
                </c:pt>
                <c:pt idx="86">
                  <c:v>213.7543235366</c:v>
                </c:pt>
                <c:pt idx="87">
                  <c:v>216.4402010007936</c:v>
                </c:pt>
                <c:pt idx="88">
                  <c:v>219.1410217483533</c:v>
                </c:pt>
                <c:pt idx="89">
                  <c:v>221.8304032903325</c:v>
                </c:pt>
                <c:pt idx="90">
                  <c:v>224.4423875626983</c:v>
                </c:pt>
                <c:pt idx="91">
                  <c:v>227.0547837545095</c:v>
                </c:pt>
                <c:pt idx="92">
                  <c:v>229.7113922241949</c:v>
                </c:pt>
                <c:pt idx="93">
                  <c:v>232.4118010523092</c:v>
                </c:pt>
                <c:pt idx="94">
                  <c:v>235.1552373527396</c:v>
                </c:pt>
                <c:pt idx="95">
                  <c:v>237.9506154060612</c:v>
                </c:pt>
                <c:pt idx="96">
                  <c:v>240.969745911814</c:v>
                </c:pt>
                <c:pt idx="97">
                  <c:v>244.3275227131747</c:v>
                </c:pt>
                <c:pt idx="98">
                  <c:v>247.8142712136006</c:v>
                </c:pt>
                <c:pt idx="99">
                  <c:v>251.3224517624073</c:v>
                </c:pt>
                <c:pt idx="100">
                  <c:v>254.9034339696306</c:v>
                </c:pt>
                <c:pt idx="101">
                  <c:v>258.5202443196927</c:v>
                </c:pt>
                <c:pt idx="102">
                  <c:v>262.6698992194133</c:v>
                </c:pt>
                <c:pt idx="103">
                  <c:v>266.827188421493</c:v>
                </c:pt>
                <c:pt idx="104">
                  <c:v>270.5360508778656</c:v>
                </c:pt>
                <c:pt idx="105">
                  <c:v>274.7533821691055</c:v>
                </c:pt>
                <c:pt idx="106">
                  <c:v>278.8986745175249</c:v>
                </c:pt>
                <c:pt idx="107">
                  <c:v>282.5305904044902</c:v>
                </c:pt>
                <c:pt idx="108">
                  <c:v>286.6455653078475</c:v>
                </c:pt>
                <c:pt idx="109">
                  <c:v>290.8182733919226</c:v>
                </c:pt>
                <c:pt idx="110">
                  <c:v>294.814745730024</c:v>
                </c:pt>
                <c:pt idx="111">
                  <c:v>298.7281653107164</c:v>
                </c:pt>
                <c:pt idx="112">
                  <c:v>302.8787220378251</c:v>
                </c:pt>
                <c:pt idx="113">
                  <c:v>307.0185757420327</c:v>
                </c:pt>
                <c:pt idx="114">
                  <c:v>310.4966435927872</c:v>
                </c:pt>
                <c:pt idx="115">
                  <c:v>313.8381988051167</c:v>
                </c:pt>
                <c:pt idx="116">
                  <c:v>317.0902334865779</c:v>
                </c:pt>
                <c:pt idx="117">
                  <c:v>320.2794779186262</c:v>
                </c:pt>
                <c:pt idx="118">
                  <c:v>323.4081646252791</c:v>
                </c:pt>
                <c:pt idx="119">
                  <c:v>326.4223754921243</c:v>
                </c:pt>
                <c:pt idx="120">
                  <c:v>329.3630930866555</c:v>
                </c:pt>
                <c:pt idx="121">
                  <c:v>332.7916499099631</c:v>
                </c:pt>
                <c:pt idx="122">
                  <c:v>336.1627393557211</c:v>
                </c:pt>
                <c:pt idx="123">
                  <c:v>338.9607615704508</c:v>
                </c:pt>
                <c:pt idx="124">
                  <c:v>341.6826004373475</c:v>
                </c:pt>
                <c:pt idx="125">
                  <c:v>344.3286562287383</c:v>
                </c:pt>
                <c:pt idx="126">
                  <c:v>347.1961655830383</c:v>
                </c:pt>
                <c:pt idx="127">
                  <c:v>349.9594445689303</c:v>
                </c:pt>
                <c:pt idx="128">
                  <c:v>352.302481934751</c:v>
                </c:pt>
                <c:pt idx="129">
                  <c:v>354.5406595431386</c:v>
                </c:pt>
                <c:pt idx="130">
                  <c:v>356.6753514123873</c:v>
                </c:pt>
                <c:pt idx="131">
                  <c:v>358.7090178194228</c:v>
                </c:pt>
                <c:pt idx="132">
                  <c:v>360.6011917093223</c:v>
                </c:pt>
                <c:pt idx="133">
                  <c:v>362.3430016289803</c:v>
                </c:pt>
                <c:pt idx="134">
                  <c:v>363.9261475532469</c:v>
                </c:pt>
                <c:pt idx="135">
                  <c:v>365.301519408897</c:v>
                </c:pt>
                <c:pt idx="136">
                  <c:v>366.4555522599869</c:v>
                </c:pt>
                <c:pt idx="137">
                  <c:v>367.372505243835</c:v>
                </c:pt>
                <c:pt idx="138">
                  <c:v>368.1099023352704</c:v>
                </c:pt>
                <c:pt idx="139">
                  <c:v>368.577422458771</c:v>
                </c:pt>
                <c:pt idx="140">
                  <c:v>368.7546312688171</c:v>
                </c:pt>
                <c:pt idx="141">
                  <c:v>368.8340774839144</c:v>
                </c:pt>
                <c:pt idx="142">
                  <c:v>368.880440202446</c:v>
                </c:pt>
                <c:pt idx="143">
                  <c:v>368.9196484793187</c:v>
                </c:pt>
                <c:pt idx="144">
                  <c:v>368.9585684089902</c:v>
                </c:pt>
              </c:numCache>
            </c:numRef>
          </c:yVal>
          <c:smooth val="0"/>
        </c:ser>
        <c:ser>
          <c:idx val="1"/>
          <c:order val="5"/>
          <c:tx>
            <c:v>CO2</c:v>
          </c:tx>
          <c:spPr>
            <a:ln>
              <a:solidFill>
                <a:srgbClr val="41CBFF"/>
              </a:solidFill>
            </a:ln>
          </c:spPr>
          <c:marker>
            <c:symbol val="none"/>
          </c:marker>
          <c:xVal>
            <c:numRef>
              <c:f>'CO2'!$A$5:$A$149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'CO2'!$G$5:$G$149</c:f>
              <c:numCache>
                <c:formatCode>0.0</c:formatCode>
                <c:ptCount val="145"/>
                <c:pt idx="0">
                  <c:v>0.0232334738264999</c:v>
                </c:pt>
                <c:pt idx="1">
                  <c:v>0.0868876021119327</c:v>
                </c:pt>
                <c:pt idx="2">
                  <c:v>0.169052958616446</c:v>
                </c:pt>
                <c:pt idx="3">
                  <c:v>0.251824693302451</c:v>
                </c:pt>
                <c:pt idx="4">
                  <c:v>0.336550779021768</c:v>
                </c:pt>
                <c:pt idx="5">
                  <c:v>0.422869180526743</c:v>
                </c:pt>
                <c:pt idx="6">
                  <c:v>0.509743903312557</c:v>
                </c:pt>
                <c:pt idx="7">
                  <c:v>0.599871657937895</c:v>
                </c:pt>
                <c:pt idx="8">
                  <c:v>0.691787170310943</c:v>
                </c:pt>
                <c:pt idx="9">
                  <c:v>0.786291171760389</c:v>
                </c:pt>
                <c:pt idx="10">
                  <c:v>0.886368250061625</c:v>
                </c:pt>
                <c:pt idx="11">
                  <c:v>0.990701882325651</c:v>
                </c:pt>
                <c:pt idx="12">
                  <c:v>1.100071094632341</c:v>
                </c:pt>
                <c:pt idx="13">
                  <c:v>1.215675433941154</c:v>
                </c:pt>
                <c:pt idx="14">
                  <c:v>1.334481259678367</c:v>
                </c:pt>
                <c:pt idx="15">
                  <c:v>1.459730457066595</c:v>
                </c:pt>
                <c:pt idx="16">
                  <c:v>1.593991006486556</c:v>
                </c:pt>
                <c:pt idx="17">
                  <c:v>1.733769882460256</c:v>
                </c:pt>
                <c:pt idx="18">
                  <c:v>1.884859612472375</c:v>
                </c:pt>
                <c:pt idx="19">
                  <c:v>2.049262728774265</c:v>
                </c:pt>
                <c:pt idx="20">
                  <c:v>2.221069364729018</c:v>
                </c:pt>
                <c:pt idx="21">
                  <c:v>2.404649142796764</c:v>
                </c:pt>
                <c:pt idx="22">
                  <c:v>2.602003990389741</c:v>
                </c:pt>
                <c:pt idx="23">
                  <c:v>2.816057606179202</c:v>
                </c:pt>
                <c:pt idx="24">
                  <c:v>3.04991468378091</c:v>
                </c:pt>
                <c:pt idx="25">
                  <c:v>3.297792065701727</c:v>
                </c:pt>
                <c:pt idx="26">
                  <c:v>3.56347820796187</c:v>
                </c:pt>
                <c:pt idx="27">
                  <c:v>3.848128627255493</c:v>
                </c:pt>
                <c:pt idx="28">
                  <c:v>4.15527234070005</c:v>
                </c:pt>
                <c:pt idx="29">
                  <c:v>4.48868394852617</c:v>
                </c:pt>
                <c:pt idx="30">
                  <c:v>4.849621162073528</c:v>
                </c:pt>
                <c:pt idx="31">
                  <c:v>5.25231033270763</c:v>
                </c:pt>
                <c:pt idx="32">
                  <c:v>5.697210617147645</c:v>
                </c:pt>
                <c:pt idx="33">
                  <c:v>6.187033904594057</c:v>
                </c:pt>
                <c:pt idx="34">
                  <c:v>6.75338291755493</c:v>
                </c:pt>
                <c:pt idx="35">
                  <c:v>7.403232010425354</c:v>
                </c:pt>
                <c:pt idx="36">
                  <c:v>8.15477581317565</c:v>
                </c:pt>
                <c:pt idx="37">
                  <c:v>8.98969441144104</c:v>
                </c:pt>
                <c:pt idx="38">
                  <c:v>9.895967939212542</c:v>
                </c:pt>
                <c:pt idx="39">
                  <c:v>10.88972589263849</c:v>
                </c:pt>
                <c:pt idx="40">
                  <c:v>11.96740204071585</c:v>
                </c:pt>
                <c:pt idx="41">
                  <c:v>13.15883116134417</c:v>
                </c:pt>
                <c:pt idx="42">
                  <c:v>14.48446942401194</c:v>
                </c:pt>
                <c:pt idx="43">
                  <c:v>15.9692090020475</c:v>
                </c:pt>
                <c:pt idx="44">
                  <c:v>17.61410910232184</c:v>
                </c:pt>
                <c:pt idx="45">
                  <c:v>19.4025054834702</c:v>
                </c:pt>
                <c:pt idx="46">
                  <c:v>21.32623407986051</c:v>
                </c:pt>
                <c:pt idx="47">
                  <c:v>23.37119233950991</c:v>
                </c:pt>
                <c:pt idx="48">
                  <c:v>25.60631712960122</c:v>
                </c:pt>
                <c:pt idx="49">
                  <c:v>28.01172947859965</c:v>
                </c:pt>
                <c:pt idx="50">
                  <c:v>30.47578740064272</c:v>
                </c:pt>
                <c:pt idx="51">
                  <c:v>32.96981787223036</c:v>
                </c:pt>
                <c:pt idx="52">
                  <c:v>35.48068232822972</c:v>
                </c:pt>
                <c:pt idx="53">
                  <c:v>38.02045059158382</c:v>
                </c:pt>
                <c:pt idx="54">
                  <c:v>40.58523386801333</c:v>
                </c:pt>
                <c:pt idx="55">
                  <c:v>43.15748625383413</c:v>
                </c:pt>
                <c:pt idx="56">
                  <c:v>45.73103816569944</c:v>
                </c:pt>
                <c:pt idx="57">
                  <c:v>48.30285775985264</c:v>
                </c:pt>
                <c:pt idx="58">
                  <c:v>50.87979776287117</c:v>
                </c:pt>
                <c:pt idx="59">
                  <c:v>53.46361006017553</c:v>
                </c:pt>
                <c:pt idx="60">
                  <c:v>56.1697516513232</c:v>
                </c:pt>
                <c:pt idx="61">
                  <c:v>58.99015918247712</c:v>
                </c:pt>
                <c:pt idx="62">
                  <c:v>61.78678956913473</c:v>
                </c:pt>
                <c:pt idx="63">
                  <c:v>64.54820544738217</c:v>
                </c:pt>
                <c:pt idx="64">
                  <c:v>67.27780469222685</c:v>
                </c:pt>
                <c:pt idx="65">
                  <c:v>69.99501197593338</c:v>
                </c:pt>
                <c:pt idx="66">
                  <c:v>72.7162027846486</c:v>
                </c:pt>
                <c:pt idx="67">
                  <c:v>75.43744454614171</c:v>
                </c:pt>
                <c:pt idx="68">
                  <c:v>78.16266983264353</c:v>
                </c:pt>
                <c:pt idx="69">
                  <c:v>80.90278192473338</c:v>
                </c:pt>
                <c:pt idx="70">
                  <c:v>83.65279113351149</c:v>
                </c:pt>
                <c:pt idx="71">
                  <c:v>86.41000739786087</c:v>
                </c:pt>
                <c:pt idx="72">
                  <c:v>89.18097047612913</c:v>
                </c:pt>
                <c:pt idx="73">
                  <c:v>91.96850425721133</c:v>
                </c:pt>
                <c:pt idx="74">
                  <c:v>94.78701241613889</c:v>
                </c:pt>
                <c:pt idx="75">
                  <c:v>97.62642349177873</c:v>
                </c:pt>
                <c:pt idx="76">
                  <c:v>100.486747920242</c:v>
                </c:pt>
                <c:pt idx="77">
                  <c:v>103.3821020765594</c:v>
                </c:pt>
                <c:pt idx="78">
                  <c:v>106.3029277107103</c:v>
                </c:pt>
                <c:pt idx="79">
                  <c:v>109.247448842135</c:v>
                </c:pt>
                <c:pt idx="80">
                  <c:v>112.2074522513713</c:v>
                </c:pt>
                <c:pt idx="81">
                  <c:v>115.1728456050638</c:v>
                </c:pt>
                <c:pt idx="82">
                  <c:v>118.1345531698594</c:v>
                </c:pt>
                <c:pt idx="83">
                  <c:v>121.0930267679812</c:v>
                </c:pt>
                <c:pt idx="84">
                  <c:v>124.0412643827474</c:v>
                </c:pt>
                <c:pt idx="85">
                  <c:v>126.9699134169153</c:v>
                </c:pt>
                <c:pt idx="86">
                  <c:v>129.8967662121904</c:v>
                </c:pt>
                <c:pt idx="87">
                  <c:v>132.8133621518875</c:v>
                </c:pt>
                <c:pt idx="88">
                  <c:v>135.6865506220455</c:v>
                </c:pt>
                <c:pt idx="89">
                  <c:v>138.5318654671426</c:v>
                </c:pt>
                <c:pt idx="90">
                  <c:v>141.359110492756</c:v>
                </c:pt>
                <c:pt idx="91">
                  <c:v>144.155945304414</c:v>
                </c:pt>
                <c:pt idx="92">
                  <c:v>146.9266622132373</c:v>
                </c:pt>
                <c:pt idx="93">
                  <c:v>149.6695159331109</c:v>
                </c:pt>
                <c:pt idx="94">
                  <c:v>152.371251375117</c:v>
                </c:pt>
                <c:pt idx="95">
                  <c:v>155.0416318281658</c:v>
                </c:pt>
                <c:pt idx="96">
                  <c:v>157.7838680736245</c:v>
                </c:pt>
                <c:pt idx="97">
                  <c:v>160.5772125953462</c:v>
                </c:pt>
                <c:pt idx="98">
                  <c:v>163.3176874130701</c:v>
                </c:pt>
                <c:pt idx="99">
                  <c:v>166.0076501885494</c:v>
                </c:pt>
                <c:pt idx="100">
                  <c:v>168.6464928282594</c:v>
                </c:pt>
                <c:pt idx="101">
                  <c:v>171.2405385953147</c:v>
                </c:pt>
                <c:pt idx="102">
                  <c:v>173.8020760463594</c:v>
                </c:pt>
                <c:pt idx="103">
                  <c:v>176.3162198834908</c:v>
                </c:pt>
                <c:pt idx="104">
                  <c:v>178.7986376103847</c:v>
                </c:pt>
                <c:pt idx="105">
                  <c:v>181.254620810116</c:v>
                </c:pt>
                <c:pt idx="106">
                  <c:v>183.6796925890112</c:v>
                </c:pt>
                <c:pt idx="107">
                  <c:v>186.0825124327435</c:v>
                </c:pt>
                <c:pt idx="108">
                  <c:v>188.5043386024994</c:v>
                </c:pt>
                <c:pt idx="109">
                  <c:v>190.9561757146883</c:v>
                </c:pt>
                <c:pt idx="110">
                  <c:v>193.3802556116494</c:v>
                </c:pt>
                <c:pt idx="111">
                  <c:v>195.7577048053694</c:v>
                </c:pt>
                <c:pt idx="112">
                  <c:v>198.075237254933</c:v>
                </c:pt>
                <c:pt idx="113">
                  <c:v>200.336228340269</c:v>
                </c:pt>
                <c:pt idx="114">
                  <c:v>202.5430271894286</c:v>
                </c:pt>
                <c:pt idx="115">
                  <c:v>204.6951667043813</c:v>
                </c:pt>
                <c:pt idx="116">
                  <c:v>206.8068678039985</c:v>
                </c:pt>
                <c:pt idx="117">
                  <c:v>208.8730101392126</c:v>
                </c:pt>
                <c:pt idx="118">
                  <c:v>210.8889404589864</c:v>
                </c:pt>
                <c:pt idx="119">
                  <c:v>212.7966813283591</c:v>
                </c:pt>
                <c:pt idx="120">
                  <c:v>214.6517928647466</c:v>
                </c:pt>
                <c:pt idx="121">
                  <c:v>216.5110435033902</c:v>
                </c:pt>
                <c:pt idx="122">
                  <c:v>218.3184292132709</c:v>
                </c:pt>
                <c:pt idx="123">
                  <c:v>220.076972152741</c:v>
                </c:pt>
                <c:pt idx="124">
                  <c:v>221.7917347097987</c:v>
                </c:pt>
                <c:pt idx="125">
                  <c:v>223.4565245965384</c:v>
                </c:pt>
                <c:pt idx="126">
                  <c:v>225.0554338860195</c:v>
                </c:pt>
                <c:pt idx="127">
                  <c:v>226.5906289584506</c:v>
                </c:pt>
                <c:pt idx="128">
                  <c:v>228.0640143463856</c:v>
                </c:pt>
                <c:pt idx="129">
                  <c:v>229.479775520936</c:v>
                </c:pt>
                <c:pt idx="130">
                  <c:v>230.8385964227216</c:v>
                </c:pt>
                <c:pt idx="131">
                  <c:v>232.1362349833513</c:v>
                </c:pt>
                <c:pt idx="132">
                  <c:v>233.3655408525358</c:v>
                </c:pt>
                <c:pt idx="133">
                  <c:v>234.5169688649737</c:v>
                </c:pt>
                <c:pt idx="134">
                  <c:v>235.5847597360431</c:v>
                </c:pt>
                <c:pt idx="135">
                  <c:v>236.5612039616081</c:v>
                </c:pt>
                <c:pt idx="136">
                  <c:v>237.431317582365</c:v>
                </c:pt>
                <c:pt idx="137">
                  <c:v>238.187186525697</c:v>
                </c:pt>
                <c:pt idx="138">
                  <c:v>238.8189342253644</c:v>
                </c:pt>
                <c:pt idx="139">
                  <c:v>239.3175855802316</c:v>
                </c:pt>
                <c:pt idx="140">
                  <c:v>239.6885807480907</c:v>
                </c:pt>
                <c:pt idx="141">
                  <c:v>239.9532562214606</c:v>
                </c:pt>
                <c:pt idx="142">
                  <c:v>240.1402815909923</c:v>
                </c:pt>
                <c:pt idx="143">
                  <c:v>240.2731610932032</c:v>
                </c:pt>
                <c:pt idx="144">
                  <c:v>240.3743845967713</c:v>
                </c:pt>
              </c:numCache>
            </c:numRef>
          </c:yVal>
          <c:smooth val="0"/>
        </c:ser>
        <c:ser>
          <c:idx val="3"/>
          <c:order val="6"/>
          <c:tx>
            <c:v>Lactic acid</c:v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</c:numCache>
              </c:numRef>
            </c:plus>
            <c:minus>
              <c:numRef>
                <c:f>Metabolites!$M$4:$M$22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</c:numCache>
              </c:numRef>
            </c:minus>
          </c:errBars>
          <c:xVal>
            <c:numRef>
              <c:f>Metabolites!$E$4:$E$22</c:f>
              <c:numCache>
                <c:formatCode>0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17.0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  <c:pt idx="17">
                  <c:v>54.0</c:v>
                </c:pt>
                <c:pt idx="18">
                  <c:v>72.0</c:v>
                </c:pt>
              </c:numCache>
            </c:numRef>
          </c:xVal>
          <c:yVal>
            <c:numRef>
              <c:f>Metabolites!$L$4:$L$22</c:f>
              <c:numCache>
                <c:formatCode>0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17256"/>
        <c:axId val="2077261800"/>
      </c:scatterChart>
      <c:scatterChart>
        <c:scatterStyle val="lineMarker"/>
        <c:varyColors val="0"/>
        <c:ser>
          <c:idx val="8"/>
          <c:order val="2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8795.0</c:v>
                </c:pt>
                <c:pt idx="1">
                  <c:v>9724.0</c:v>
                </c:pt>
                <c:pt idx="2">
                  <c:v>10742.0</c:v>
                </c:pt>
                <c:pt idx="3">
                  <c:v>16626.0</c:v>
                </c:pt>
                <c:pt idx="4">
                  <c:v>20880.0</c:v>
                </c:pt>
                <c:pt idx="5">
                  <c:v>29358.0</c:v>
                </c:pt>
                <c:pt idx="6">
                  <c:v>45356.0</c:v>
                </c:pt>
                <c:pt idx="7">
                  <c:v>5363.0</c:v>
                </c:pt>
                <c:pt idx="8">
                  <c:v>6798.0</c:v>
                </c:pt>
                <c:pt idx="9">
                  <c:v>8676.0</c:v>
                </c:pt>
              </c:numCache>
            </c:numRef>
          </c:yVal>
          <c:smooth val="0"/>
        </c:ser>
        <c:ser>
          <c:idx val="9"/>
          <c:order val="3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cytometer'!$X$4:$X$22</c:f>
                <c:numCache>
                  <c:formatCode>General</c:formatCode>
                  <c:ptCount val="19"/>
                  <c:pt idx="0">
                    <c:v>0.0130301122321263</c:v>
                  </c:pt>
                  <c:pt idx="1">
                    <c:v>0.032449589229668</c:v>
                  </c:pt>
                  <c:pt idx="2">
                    <c:v>0.0515498198214988</c:v>
                  </c:pt>
                  <c:pt idx="3">
                    <c:v>0.00346486443664024</c:v>
                  </c:pt>
                  <c:pt idx="4">
                    <c:v>0.00722381735643602</c:v>
                  </c:pt>
                  <c:pt idx="5">
                    <c:v>0.0142388961750196</c:v>
                  </c:pt>
                  <c:pt idx="6">
                    <c:v>0.0302437731422993</c:v>
                  </c:pt>
                  <c:pt idx="7">
                    <c:v>0.0122573923395998</c:v>
                  </c:pt>
                  <c:pt idx="8">
                    <c:v>0.0112791390863642</c:v>
                  </c:pt>
                  <c:pt idx="9">
                    <c:v>0.0280126388541729</c:v>
                  </c:pt>
                  <c:pt idx="10">
                    <c:v>0.0204385829998348</c:v>
                  </c:pt>
                  <c:pt idx="11">
                    <c:v>0.0385198376871396</c:v>
                  </c:pt>
                  <c:pt idx="12">
                    <c:v>0.00757245404351719</c:v>
                  </c:pt>
                  <c:pt idx="13">
                    <c:v>0.0213846424710425</c:v>
                  </c:pt>
                  <c:pt idx="14">
                    <c:v>0.0219952785020635</c:v>
                  </c:pt>
                  <c:pt idx="15">
                    <c:v>0.048782040580456</c:v>
                  </c:pt>
                  <c:pt idx="16">
                    <c:v>0.0559974481841826</c:v>
                  </c:pt>
                  <c:pt idx="17">
                    <c:v>0.0287284549147999</c:v>
                  </c:pt>
                  <c:pt idx="18">
                    <c:v>0.0206702345685918</c:v>
                  </c:pt>
                </c:numCache>
              </c:numRef>
            </c:plus>
            <c:minus>
              <c:numRef>
                <c:f>'Flow cytometer'!$X$4:$X$22</c:f>
                <c:numCache>
                  <c:formatCode>General</c:formatCode>
                  <c:ptCount val="19"/>
                  <c:pt idx="0">
                    <c:v>0.0130301122321263</c:v>
                  </c:pt>
                  <c:pt idx="1">
                    <c:v>0.032449589229668</c:v>
                  </c:pt>
                  <c:pt idx="2">
                    <c:v>0.0515498198214988</c:v>
                  </c:pt>
                  <c:pt idx="3">
                    <c:v>0.00346486443664024</c:v>
                  </c:pt>
                  <c:pt idx="4">
                    <c:v>0.00722381735643602</c:v>
                  </c:pt>
                  <c:pt idx="5">
                    <c:v>0.0142388961750196</c:v>
                  </c:pt>
                  <c:pt idx="6">
                    <c:v>0.0302437731422993</c:v>
                  </c:pt>
                  <c:pt idx="7">
                    <c:v>0.0122573923395998</c:v>
                  </c:pt>
                  <c:pt idx="8">
                    <c:v>0.0112791390863642</c:v>
                  </c:pt>
                  <c:pt idx="9">
                    <c:v>0.0280126388541729</c:v>
                  </c:pt>
                  <c:pt idx="10">
                    <c:v>0.0204385829998348</c:v>
                  </c:pt>
                  <c:pt idx="11">
                    <c:v>0.0385198376871396</c:v>
                  </c:pt>
                  <c:pt idx="12">
                    <c:v>0.00757245404351719</c:v>
                  </c:pt>
                  <c:pt idx="13">
                    <c:v>0.0213846424710425</c:v>
                  </c:pt>
                  <c:pt idx="14">
                    <c:v>0.0219952785020635</c:v>
                  </c:pt>
                  <c:pt idx="15">
                    <c:v>0.048782040580456</c:v>
                  </c:pt>
                  <c:pt idx="16">
                    <c:v>0.0559974481841826</c:v>
                  </c:pt>
                  <c:pt idx="17">
                    <c:v>0.0287284549147999</c:v>
                  </c:pt>
                  <c:pt idx="18">
                    <c:v>0.0206702345685918</c:v>
                  </c:pt>
                </c:numCache>
              </c:numRef>
            </c:minus>
          </c:errBars>
          <c:xVal>
            <c:numRef>
              <c:f>'Flow cytometer'!$D$4:$D$22</c:f>
              <c:numCache>
                <c:formatCode>0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17.0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  <c:pt idx="17">
                  <c:v>54.0</c:v>
                </c:pt>
                <c:pt idx="18">
                  <c:v>72.0</c:v>
                </c:pt>
              </c:numCache>
            </c:numRef>
          </c:xVal>
          <c:yVal>
            <c:numRef>
              <c:f>'Flow cytometer'!$S$4:$S$22</c:f>
              <c:numCache>
                <c:formatCode>0.00</c:formatCode>
                <c:ptCount val="19"/>
                <c:pt idx="0">
                  <c:v>7.102597160362275</c:v>
                </c:pt>
                <c:pt idx="1">
                  <c:v>7.180448611686068</c:v>
                </c:pt>
                <c:pt idx="2">
                  <c:v>7.255033834334622</c:v>
                </c:pt>
                <c:pt idx="3">
                  <c:v>7.388362189067595</c:v>
                </c:pt>
                <c:pt idx="4">
                  <c:v>7.48891655651017</c:v>
                </c:pt>
                <c:pt idx="5">
                  <c:v>7.631064718988187</c:v>
                </c:pt>
                <c:pt idx="6">
                  <c:v>7.795890294961074</c:v>
                </c:pt>
                <c:pt idx="7">
                  <c:v>7.87930715128438</c:v>
                </c:pt>
                <c:pt idx="8">
                  <c:v>7.987460444971727</c:v>
                </c:pt>
                <c:pt idx="9">
                  <c:v>8.077320295818317</c:v>
                </c:pt>
                <c:pt idx="10">
                  <c:v>8.137087743070845</c:v>
                </c:pt>
                <c:pt idx="11">
                  <c:v>8.321099545185122</c:v>
                </c:pt>
                <c:pt idx="12">
                  <c:v>8.497796149061066</c:v>
                </c:pt>
                <c:pt idx="13">
                  <c:v>8.714321342658989</c:v>
                </c:pt>
                <c:pt idx="14">
                  <c:v>8.852942445884314</c:v>
                </c:pt>
                <c:pt idx="15">
                  <c:v>8.85242131659443</c:v>
                </c:pt>
                <c:pt idx="16">
                  <c:v>9.212401989994627</c:v>
                </c:pt>
                <c:pt idx="17">
                  <c:v>9.307300131677351</c:v>
                </c:pt>
                <c:pt idx="18">
                  <c:v>9.411489028608023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10680"/>
        <c:axId val="2086355640"/>
      </c:scatterChart>
      <c:valAx>
        <c:axId val="2082417256"/>
        <c:scaling>
          <c:orientation val="minMax"/>
          <c:max val="72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7261800"/>
        <c:crosses val="autoZero"/>
        <c:crossBetween val="midCat"/>
        <c:majorUnit val="6.0"/>
      </c:valAx>
      <c:valAx>
        <c:axId val="2077261800"/>
        <c:scaling>
          <c:orientation val="minMax"/>
          <c:max val="3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2417256"/>
        <c:crosses val="autoZero"/>
        <c:crossBetween val="midCat"/>
      </c:valAx>
      <c:valAx>
        <c:axId val="2086355640"/>
        <c:scaling>
          <c:orientation val="minMax"/>
          <c:max val="10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85910680"/>
        <c:crosses val="max"/>
        <c:crossBetween val="midCat"/>
        <c:majorUnit val="1.0"/>
        <c:minorUnit val="0.2"/>
      </c:valAx>
      <c:valAx>
        <c:axId val="2085910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863556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2"/>
          <c:order val="0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Metabolites!$Q$4:$Q$22</c:f>
                <c:numCache>
                  <c:formatCode>General</c:formatCode>
                  <c:ptCount val="19"/>
                  <c:pt idx="0">
                    <c:v>0.0577235210923103</c:v>
                  </c:pt>
                  <c:pt idx="1">
                    <c:v>0.150278370634469</c:v>
                  </c:pt>
                  <c:pt idx="2">
                    <c:v>0.0838703317022394</c:v>
                  </c:pt>
                  <c:pt idx="3">
                    <c:v>0.0333266904412181</c:v>
                  </c:pt>
                  <c:pt idx="4">
                    <c:v>0.126172813656358</c:v>
                  </c:pt>
                  <c:pt idx="5">
                    <c:v>0.115447042184621</c:v>
                  </c:pt>
                  <c:pt idx="6">
                    <c:v>0.171019292640157</c:v>
                  </c:pt>
                  <c:pt idx="7">
                    <c:v>0.0693750383662173</c:v>
                  </c:pt>
                  <c:pt idx="8">
                    <c:v>0.0385162824454863</c:v>
                  </c:pt>
                  <c:pt idx="9">
                    <c:v>0.150410891243494</c:v>
                  </c:pt>
                  <c:pt idx="10">
                    <c:v>0.0192581412227431</c:v>
                  </c:pt>
                  <c:pt idx="11">
                    <c:v>0.280018180228902</c:v>
                  </c:pt>
                  <c:pt idx="12">
                    <c:v>0.0963862326078761</c:v>
                  </c:pt>
                  <c:pt idx="13">
                    <c:v>0.0510028002581729</c:v>
                  </c:pt>
                  <c:pt idx="14">
                    <c:v>0.177901573980995</c:v>
                  </c:pt>
                  <c:pt idx="15">
                    <c:v>0.445532099348809</c:v>
                  </c:pt>
                  <c:pt idx="16">
                    <c:v>0.701438320829615</c:v>
                  </c:pt>
                  <c:pt idx="17">
                    <c:v>0.328428403236626</c:v>
                  </c:pt>
                  <c:pt idx="18">
                    <c:v>0.153723312168976</c:v>
                  </c:pt>
                </c:numCache>
              </c:numRef>
            </c:plus>
            <c:minus>
              <c:numRef>
                <c:f>Metabolites!$Q$4:$Q$22</c:f>
                <c:numCache>
                  <c:formatCode>General</c:formatCode>
                  <c:ptCount val="19"/>
                  <c:pt idx="0">
                    <c:v>0.0577235210923103</c:v>
                  </c:pt>
                  <c:pt idx="1">
                    <c:v>0.150278370634469</c:v>
                  </c:pt>
                  <c:pt idx="2">
                    <c:v>0.0838703317022394</c:v>
                  </c:pt>
                  <c:pt idx="3">
                    <c:v>0.0333266904412181</c:v>
                  </c:pt>
                  <c:pt idx="4">
                    <c:v>0.126172813656358</c:v>
                  </c:pt>
                  <c:pt idx="5">
                    <c:v>0.115447042184621</c:v>
                  </c:pt>
                  <c:pt idx="6">
                    <c:v>0.171019292640157</c:v>
                  </c:pt>
                  <c:pt idx="7">
                    <c:v>0.0693750383662173</c:v>
                  </c:pt>
                  <c:pt idx="8">
                    <c:v>0.0385162824454863</c:v>
                  </c:pt>
                  <c:pt idx="9">
                    <c:v>0.150410891243494</c:v>
                  </c:pt>
                  <c:pt idx="10">
                    <c:v>0.0192581412227431</c:v>
                  </c:pt>
                  <c:pt idx="11">
                    <c:v>0.280018180228902</c:v>
                  </c:pt>
                  <c:pt idx="12">
                    <c:v>0.0963862326078761</c:v>
                  </c:pt>
                  <c:pt idx="13">
                    <c:v>0.0510028002581729</c:v>
                  </c:pt>
                  <c:pt idx="14">
                    <c:v>0.177901573980995</c:v>
                  </c:pt>
                  <c:pt idx="15">
                    <c:v>0.445532099348809</c:v>
                  </c:pt>
                  <c:pt idx="16">
                    <c:v>0.701438320829615</c:v>
                  </c:pt>
                  <c:pt idx="17">
                    <c:v>0.328428403236626</c:v>
                  </c:pt>
                  <c:pt idx="18">
                    <c:v>0.153723312168976</c:v>
                  </c:pt>
                </c:numCache>
              </c:numRef>
            </c:minus>
          </c:errBars>
          <c:xVal>
            <c:numRef>
              <c:f>Metabolites!$E$4:$E$22</c:f>
              <c:numCache>
                <c:formatCode>0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17.0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  <c:pt idx="17">
                  <c:v>54.0</c:v>
                </c:pt>
                <c:pt idx="18">
                  <c:v>72.0</c:v>
                </c:pt>
              </c:numCache>
            </c:numRef>
          </c:xVal>
          <c:yVal>
            <c:numRef>
              <c:f>Metabolites!$P$4:$P$22</c:f>
              <c:numCache>
                <c:formatCode>0</c:formatCode>
                <c:ptCount val="19"/>
                <c:pt idx="0">
                  <c:v>2.099581497796756</c:v>
                </c:pt>
                <c:pt idx="1">
                  <c:v>2.288432743630326</c:v>
                </c:pt>
                <c:pt idx="2">
                  <c:v>2.310650537257806</c:v>
                </c:pt>
                <c:pt idx="3">
                  <c:v>2.366195021326503</c:v>
                </c:pt>
                <c:pt idx="4">
                  <c:v>2.388412814953981</c:v>
                </c:pt>
                <c:pt idx="5">
                  <c:v>2.099581497796755</c:v>
                </c:pt>
                <c:pt idx="6">
                  <c:v>2.555046267160073</c:v>
                </c:pt>
                <c:pt idx="7">
                  <c:v>2.977184346082172</c:v>
                </c:pt>
                <c:pt idx="8">
                  <c:v>2.990928422122451</c:v>
                </c:pt>
                <c:pt idx="9">
                  <c:v>3.24665836156043</c:v>
                </c:pt>
                <c:pt idx="10">
                  <c:v>3.457913528922238</c:v>
                </c:pt>
                <c:pt idx="11">
                  <c:v>3.717327638467717</c:v>
                </c:pt>
                <c:pt idx="12">
                  <c:v>4.79691081490894</c:v>
                </c:pt>
                <c:pt idx="13">
                  <c:v>6.36620182396268</c:v>
                </c:pt>
                <c:pt idx="14">
                  <c:v>10.11969143591444</c:v>
                </c:pt>
                <c:pt idx="15">
                  <c:v>12.57208504480486</c:v>
                </c:pt>
                <c:pt idx="16">
                  <c:v>35.96046428890005</c:v>
                </c:pt>
                <c:pt idx="17">
                  <c:v>41.16618556197315</c:v>
                </c:pt>
                <c:pt idx="18">
                  <c:v>45.8093155545977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Metabolites!$U$4:$U$22</c:f>
                <c:numCache>
                  <c:formatCode>General</c:formatCode>
                  <c:ptCount val="19"/>
                  <c:pt idx="0">
                    <c:v>1.013127582327364</c:v>
                  </c:pt>
                  <c:pt idx="1">
                    <c:v>0.577339714364857</c:v>
                  </c:pt>
                  <c:pt idx="2">
                    <c:v>2.17227854238915</c:v>
                  </c:pt>
                  <c:pt idx="3">
                    <c:v>2.550389787443452</c:v>
                  </c:pt>
                  <c:pt idx="4">
                    <c:v>1.176572315893722</c:v>
                  </c:pt>
                  <c:pt idx="5">
                    <c:v>0.305375685373194</c:v>
                  </c:pt>
                  <c:pt idx="6">
                    <c:v>1.577818746905817</c:v>
                  </c:pt>
                  <c:pt idx="7">
                    <c:v>2.565661719069638</c:v>
                  </c:pt>
                  <c:pt idx="8">
                    <c:v>1.886967646130722</c:v>
                  </c:pt>
                  <c:pt idx="9">
                    <c:v>0.957677339117491</c:v>
                  </c:pt>
                  <c:pt idx="10">
                    <c:v>1.718920236733646</c:v>
                  </c:pt>
                  <c:pt idx="11">
                    <c:v>2.880277271484143</c:v>
                  </c:pt>
                  <c:pt idx="12">
                    <c:v>1.66343588719492</c:v>
                  </c:pt>
                  <c:pt idx="13">
                    <c:v>3.069388558607542</c:v>
                  </c:pt>
                  <c:pt idx="14">
                    <c:v>3.824249914137681</c:v>
                  </c:pt>
                  <c:pt idx="15">
                    <c:v>8.82093719867626</c:v>
                  </c:pt>
                  <c:pt idx="16">
                    <c:v>1.330191596673131</c:v>
                  </c:pt>
                  <c:pt idx="17">
                    <c:v>0.520133661450909</c:v>
                  </c:pt>
                  <c:pt idx="18">
                    <c:v>0.0</c:v>
                  </c:pt>
                </c:numCache>
              </c:numRef>
            </c:plus>
            <c:minus>
              <c:numRef>
                <c:f>Metabolites!$U$4:$U$22</c:f>
                <c:numCache>
                  <c:formatCode>General</c:formatCode>
                  <c:ptCount val="19"/>
                  <c:pt idx="0">
                    <c:v>1.013127582327364</c:v>
                  </c:pt>
                  <c:pt idx="1">
                    <c:v>0.577339714364857</c:v>
                  </c:pt>
                  <c:pt idx="2">
                    <c:v>2.17227854238915</c:v>
                  </c:pt>
                  <c:pt idx="3">
                    <c:v>2.550389787443452</c:v>
                  </c:pt>
                  <c:pt idx="4">
                    <c:v>1.176572315893722</c:v>
                  </c:pt>
                  <c:pt idx="5">
                    <c:v>0.305375685373194</c:v>
                  </c:pt>
                  <c:pt idx="6">
                    <c:v>1.577818746905817</c:v>
                  </c:pt>
                  <c:pt idx="7">
                    <c:v>2.565661719069638</c:v>
                  </c:pt>
                  <c:pt idx="8">
                    <c:v>1.886967646130722</c:v>
                  </c:pt>
                  <c:pt idx="9">
                    <c:v>0.957677339117491</c:v>
                  </c:pt>
                  <c:pt idx="10">
                    <c:v>1.718920236733646</c:v>
                  </c:pt>
                  <c:pt idx="11">
                    <c:v>2.880277271484143</c:v>
                  </c:pt>
                  <c:pt idx="12">
                    <c:v>1.66343588719492</c:v>
                  </c:pt>
                  <c:pt idx="13">
                    <c:v>3.069388558607542</c:v>
                  </c:pt>
                  <c:pt idx="14">
                    <c:v>3.824249914137681</c:v>
                  </c:pt>
                  <c:pt idx="15">
                    <c:v>8.82093719867626</c:v>
                  </c:pt>
                  <c:pt idx="16">
                    <c:v>1.330191596673131</c:v>
                  </c:pt>
                  <c:pt idx="17">
                    <c:v>0.520133661450909</c:v>
                  </c:pt>
                  <c:pt idx="18">
                    <c:v>0.0</c:v>
                  </c:pt>
                </c:numCache>
              </c:numRef>
            </c:minus>
          </c:errBars>
          <c:xVal>
            <c:numRef>
              <c:f>Metabolites!$E$4:$E$22</c:f>
              <c:numCache>
                <c:formatCode>0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17.0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  <c:pt idx="17">
                  <c:v>54.0</c:v>
                </c:pt>
                <c:pt idx="18">
                  <c:v>72.0</c:v>
                </c:pt>
              </c:numCache>
            </c:numRef>
          </c:xVal>
          <c:yVal>
            <c:numRef>
              <c:f>Metabolites!$T$4:$T$22</c:f>
              <c:numCache>
                <c:formatCode>0</c:formatCode>
                <c:ptCount val="19"/>
                <c:pt idx="0">
                  <c:v>293.2555083187566</c:v>
                </c:pt>
                <c:pt idx="1">
                  <c:v>292.5308838850556</c:v>
                </c:pt>
                <c:pt idx="2">
                  <c:v>293.7047754676511</c:v>
                </c:pt>
                <c:pt idx="3">
                  <c:v>290.9512026195877</c:v>
                </c:pt>
                <c:pt idx="4">
                  <c:v>295.313441710467</c:v>
                </c:pt>
                <c:pt idx="5">
                  <c:v>300.009008040849</c:v>
                </c:pt>
                <c:pt idx="6">
                  <c:v>294.2120125712417</c:v>
                </c:pt>
                <c:pt idx="7">
                  <c:v>293.4004332054968</c:v>
                </c:pt>
                <c:pt idx="8">
                  <c:v>291.2222786136481</c:v>
                </c:pt>
                <c:pt idx="9">
                  <c:v>293.0064266571545</c:v>
                </c:pt>
                <c:pt idx="10">
                  <c:v>290.8016258229027</c:v>
                </c:pt>
                <c:pt idx="11">
                  <c:v>286.7632611787438</c:v>
                </c:pt>
                <c:pt idx="12">
                  <c:v>290.6835690530861</c:v>
                </c:pt>
                <c:pt idx="13">
                  <c:v>287.8231962706957</c:v>
                </c:pt>
                <c:pt idx="14">
                  <c:v>260.9110338167923</c:v>
                </c:pt>
                <c:pt idx="15">
                  <c:v>223.0997167730351</c:v>
                </c:pt>
                <c:pt idx="16">
                  <c:v>88.7677493531353</c:v>
                </c:pt>
                <c:pt idx="17">
                  <c:v>47.28284172920412</c:v>
                </c:pt>
                <c:pt idx="18">
                  <c:v>0.0</c:v>
                </c:pt>
              </c:numCache>
            </c:numRef>
          </c:yVal>
          <c:smooth val="0"/>
        </c:ser>
        <c:ser>
          <c:idx val="0"/>
          <c:order val="4"/>
          <c:tx>
            <c:v>H2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'H2'!$A$5:$A$149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'H2'!$G$5:$G$149</c:f>
              <c:numCache>
                <c:formatCode>0.0</c:formatCode>
                <c:ptCount val="145"/>
                <c:pt idx="0">
                  <c:v>0.0343775410141133</c:v>
                </c:pt>
                <c:pt idx="1">
                  <c:v>0.159289856527009</c:v>
                </c:pt>
                <c:pt idx="2">
                  <c:v>0.346204738566201</c:v>
                </c:pt>
                <c:pt idx="3">
                  <c:v>0.54440995625839</c:v>
                </c:pt>
                <c:pt idx="4">
                  <c:v>0.754697953428534</c:v>
                </c:pt>
                <c:pt idx="5">
                  <c:v>0.971900405899783</c:v>
                </c:pt>
                <c:pt idx="6">
                  <c:v>1.194604806668926</c:v>
                </c:pt>
                <c:pt idx="7">
                  <c:v>1.42905683555776</c:v>
                </c:pt>
                <c:pt idx="8">
                  <c:v>1.670830899157394</c:v>
                </c:pt>
                <c:pt idx="9">
                  <c:v>1.921141874562477</c:v>
                </c:pt>
                <c:pt idx="10">
                  <c:v>2.184400029220972</c:v>
                </c:pt>
                <c:pt idx="11">
                  <c:v>2.457686424768183</c:v>
                </c:pt>
                <c:pt idx="12">
                  <c:v>2.763714648511292</c:v>
                </c:pt>
                <c:pt idx="13">
                  <c:v>3.086791466843204</c:v>
                </c:pt>
                <c:pt idx="14">
                  <c:v>3.399115264884117</c:v>
                </c:pt>
                <c:pt idx="15">
                  <c:v>3.73016834635617</c:v>
                </c:pt>
                <c:pt idx="16">
                  <c:v>4.090686318322461</c:v>
                </c:pt>
                <c:pt idx="17">
                  <c:v>4.470228620204454</c:v>
                </c:pt>
                <c:pt idx="18">
                  <c:v>4.879969428039584</c:v>
                </c:pt>
                <c:pt idx="19">
                  <c:v>5.319405927941291</c:v>
                </c:pt>
                <c:pt idx="20">
                  <c:v>5.782133218460934</c:v>
                </c:pt>
                <c:pt idx="21">
                  <c:v>6.28764251316585</c:v>
                </c:pt>
                <c:pt idx="22">
                  <c:v>6.824606252928612</c:v>
                </c:pt>
                <c:pt idx="23">
                  <c:v>7.388541786716297</c:v>
                </c:pt>
                <c:pt idx="24">
                  <c:v>7.987413183936204</c:v>
                </c:pt>
                <c:pt idx="25">
                  <c:v>8.616148787561048</c:v>
                </c:pt>
                <c:pt idx="26">
                  <c:v>9.288023061578848</c:v>
                </c:pt>
                <c:pt idx="27">
                  <c:v>10.01506058418844</c:v>
                </c:pt>
                <c:pt idx="28">
                  <c:v>10.79255336260264</c:v>
                </c:pt>
                <c:pt idx="29">
                  <c:v>11.61574272364738</c:v>
                </c:pt>
                <c:pt idx="30">
                  <c:v>12.50072866472483</c:v>
                </c:pt>
                <c:pt idx="31">
                  <c:v>13.49932110166028</c:v>
                </c:pt>
                <c:pt idx="32">
                  <c:v>14.59049366181003</c:v>
                </c:pt>
                <c:pt idx="33">
                  <c:v>15.75978866163837</c:v>
                </c:pt>
                <c:pt idx="34">
                  <c:v>17.09459091282588</c:v>
                </c:pt>
                <c:pt idx="35">
                  <c:v>18.59719472370003</c:v>
                </c:pt>
                <c:pt idx="36">
                  <c:v>20.28147803532068</c:v>
                </c:pt>
                <c:pt idx="37">
                  <c:v>22.30108947995977</c:v>
                </c:pt>
                <c:pt idx="38">
                  <c:v>24.41697021827731</c:v>
                </c:pt>
                <c:pt idx="39">
                  <c:v>26.55574866016357</c:v>
                </c:pt>
                <c:pt idx="40">
                  <c:v>28.99314820729464</c:v>
                </c:pt>
                <c:pt idx="41">
                  <c:v>31.9563262461496</c:v>
                </c:pt>
                <c:pt idx="42">
                  <c:v>35.2280295427952</c:v>
                </c:pt>
                <c:pt idx="43">
                  <c:v>38.60249917925073</c:v>
                </c:pt>
                <c:pt idx="44">
                  <c:v>42.20694335689332</c:v>
                </c:pt>
                <c:pt idx="45">
                  <c:v>46.04935727444458</c:v>
                </c:pt>
                <c:pt idx="46">
                  <c:v>50.11652060128073</c:v>
                </c:pt>
                <c:pt idx="47">
                  <c:v>54.31847923318202</c:v>
                </c:pt>
                <c:pt idx="48">
                  <c:v>58.79485009119753</c:v>
                </c:pt>
                <c:pt idx="49">
                  <c:v>63.42594423671892</c:v>
                </c:pt>
                <c:pt idx="50">
                  <c:v>68.03505809052568</c:v>
                </c:pt>
                <c:pt idx="51">
                  <c:v>72.66996909022206</c:v>
                </c:pt>
                <c:pt idx="52">
                  <c:v>77.26314101691071</c:v>
                </c:pt>
                <c:pt idx="53">
                  <c:v>81.80882556849573</c:v>
                </c:pt>
                <c:pt idx="54">
                  <c:v>86.41175602645568</c:v>
                </c:pt>
                <c:pt idx="55">
                  <c:v>91.09159390906258</c:v>
                </c:pt>
                <c:pt idx="56">
                  <c:v>95.78350909638334</c:v>
                </c:pt>
                <c:pt idx="57">
                  <c:v>100.4648450597227</c:v>
                </c:pt>
                <c:pt idx="58">
                  <c:v>105.1166159422684</c:v>
                </c:pt>
                <c:pt idx="59">
                  <c:v>109.7398358117309</c:v>
                </c:pt>
                <c:pt idx="60">
                  <c:v>114.8283517679726</c:v>
                </c:pt>
                <c:pt idx="61">
                  <c:v>120.991601623087</c:v>
                </c:pt>
                <c:pt idx="62">
                  <c:v>126.7759027773746</c:v>
                </c:pt>
                <c:pt idx="63">
                  <c:v>131.6139144657086</c:v>
                </c:pt>
                <c:pt idx="64">
                  <c:v>136.3654599038539</c:v>
                </c:pt>
                <c:pt idx="65">
                  <c:v>140.8742491192474</c:v>
                </c:pt>
                <c:pt idx="66">
                  <c:v>145.225666689853</c:v>
                </c:pt>
                <c:pt idx="67">
                  <c:v>149.4677899379979</c:v>
                </c:pt>
                <c:pt idx="68">
                  <c:v>153.623961988733</c:v>
                </c:pt>
                <c:pt idx="69">
                  <c:v>157.7124755032094</c:v>
                </c:pt>
                <c:pt idx="70">
                  <c:v>161.6998876563541</c:v>
                </c:pt>
                <c:pt idx="71">
                  <c:v>165.5939285370729</c:v>
                </c:pt>
                <c:pt idx="72">
                  <c:v>169.3832614592298</c:v>
                </c:pt>
                <c:pt idx="73">
                  <c:v>173.065000531152</c:v>
                </c:pt>
                <c:pt idx="74">
                  <c:v>176.6276028000364</c:v>
                </c:pt>
                <c:pt idx="75">
                  <c:v>180.0438607102683</c:v>
                </c:pt>
                <c:pt idx="76">
                  <c:v>183.3290275591029</c:v>
                </c:pt>
                <c:pt idx="77">
                  <c:v>186.4715088270707</c:v>
                </c:pt>
                <c:pt idx="78">
                  <c:v>189.4826412003075</c:v>
                </c:pt>
                <c:pt idx="79">
                  <c:v>192.4674936040424</c:v>
                </c:pt>
                <c:pt idx="80">
                  <c:v>195.5257757134931</c:v>
                </c:pt>
                <c:pt idx="81">
                  <c:v>198.6117810452266</c:v>
                </c:pt>
                <c:pt idx="82">
                  <c:v>201.6397640546112</c:v>
                </c:pt>
                <c:pt idx="83">
                  <c:v>204.5966875832852</c:v>
                </c:pt>
                <c:pt idx="84">
                  <c:v>207.4716274784471</c:v>
                </c:pt>
                <c:pt idx="85">
                  <c:v>210.6394617436924</c:v>
                </c:pt>
                <c:pt idx="86">
                  <c:v>213.7543235366</c:v>
                </c:pt>
                <c:pt idx="87">
                  <c:v>216.4402010007936</c:v>
                </c:pt>
                <c:pt idx="88">
                  <c:v>219.1410217483533</c:v>
                </c:pt>
                <c:pt idx="89">
                  <c:v>221.8304032903325</c:v>
                </c:pt>
                <c:pt idx="90">
                  <c:v>224.4423875626983</c:v>
                </c:pt>
                <c:pt idx="91">
                  <c:v>227.0547837545095</c:v>
                </c:pt>
                <c:pt idx="92">
                  <c:v>229.7113922241949</c:v>
                </c:pt>
                <c:pt idx="93">
                  <c:v>232.4118010523092</c:v>
                </c:pt>
                <c:pt idx="94">
                  <c:v>235.1552373527396</c:v>
                </c:pt>
                <c:pt idx="95">
                  <c:v>237.9506154060612</c:v>
                </c:pt>
                <c:pt idx="96">
                  <c:v>240.969745911814</c:v>
                </c:pt>
                <c:pt idx="97">
                  <c:v>244.3275227131747</c:v>
                </c:pt>
                <c:pt idx="98">
                  <c:v>247.8142712136006</c:v>
                </c:pt>
                <c:pt idx="99">
                  <c:v>251.3224517624073</c:v>
                </c:pt>
                <c:pt idx="100">
                  <c:v>254.9034339696306</c:v>
                </c:pt>
                <c:pt idx="101">
                  <c:v>258.5202443196927</c:v>
                </c:pt>
                <c:pt idx="102">
                  <c:v>262.6698992194133</c:v>
                </c:pt>
                <c:pt idx="103">
                  <c:v>266.827188421493</c:v>
                </c:pt>
                <c:pt idx="104">
                  <c:v>270.5360508778656</c:v>
                </c:pt>
                <c:pt idx="105">
                  <c:v>274.7533821691055</c:v>
                </c:pt>
                <c:pt idx="106">
                  <c:v>278.8986745175249</c:v>
                </c:pt>
                <c:pt idx="107">
                  <c:v>282.5305904044902</c:v>
                </c:pt>
                <c:pt idx="108">
                  <c:v>286.6455653078475</c:v>
                </c:pt>
                <c:pt idx="109">
                  <c:v>290.8182733919226</c:v>
                </c:pt>
                <c:pt idx="110">
                  <c:v>294.814745730024</c:v>
                </c:pt>
                <c:pt idx="111">
                  <c:v>298.7281653107164</c:v>
                </c:pt>
                <c:pt idx="112">
                  <c:v>302.8787220378251</c:v>
                </c:pt>
                <c:pt idx="113">
                  <c:v>307.0185757420327</c:v>
                </c:pt>
                <c:pt idx="114">
                  <c:v>310.4966435927872</c:v>
                </c:pt>
                <c:pt idx="115">
                  <c:v>313.8381988051167</c:v>
                </c:pt>
                <c:pt idx="116">
                  <c:v>317.0902334865779</c:v>
                </c:pt>
                <c:pt idx="117">
                  <c:v>320.2794779186262</c:v>
                </c:pt>
                <c:pt idx="118">
                  <c:v>323.4081646252791</c:v>
                </c:pt>
                <c:pt idx="119">
                  <c:v>326.4223754921243</c:v>
                </c:pt>
                <c:pt idx="120">
                  <c:v>329.3630930866555</c:v>
                </c:pt>
                <c:pt idx="121">
                  <c:v>332.7916499099631</c:v>
                </c:pt>
                <c:pt idx="122">
                  <c:v>336.1627393557211</c:v>
                </c:pt>
                <c:pt idx="123">
                  <c:v>338.9607615704508</c:v>
                </c:pt>
                <c:pt idx="124">
                  <c:v>341.6826004373475</c:v>
                </c:pt>
                <c:pt idx="125">
                  <c:v>344.3286562287383</c:v>
                </c:pt>
                <c:pt idx="126">
                  <c:v>347.1961655830383</c:v>
                </c:pt>
                <c:pt idx="127">
                  <c:v>349.9594445689303</c:v>
                </c:pt>
                <c:pt idx="128">
                  <c:v>352.302481934751</c:v>
                </c:pt>
                <c:pt idx="129">
                  <c:v>354.5406595431386</c:v>
                </c:pt>
                <c:pt idx="130">
                  <c:v>356.6753514123873</c:v>
                </c:pt>
                <c:pt idx="131">
                  <c:v>358.7090178194228</c:v>
                </c:pt>
                <c:pt idx="132">
                  <c:v>360.6011917093223</c:v>
                </c:pt>
                <c:pt idx="133">
                  <c:v>362.3430016289803</c:v>
                </c:pt>
                <c:pt idx="134">
                  <c:v>363.9261475532469</c:v>
                </c:pt>
                <c:pt idx="135">
                  <c:v>365.301519408897</c:v>
                </c:pt>
                <c:pt idx="136">
                  <c:v>366.4555522599869</c:v>
                </c:pt>
                <c:pt idx="137">
                  <c:v>367.372505243835</c:v>
                </c:pt>
                <c:pt idx="138">
                  <c:v>368.1099023352704</c:v>
                </c:pt>
                <c:pt idx="139">
                  <c:v>368.577422458771</c:v>
                </c:pt>
                <c:pt idx="140">
                  <c:v>368.7546312688171</c:v>
                </c:pt>
                <c:pt idx="141">
                  <c:v>368.8340774839144</c:v>
                </c:pt>
                <c:pt idx="142">
                  <c:v>368.880440202446</c:v>
                </c:pt>
                <c:pt idx="143">
                  <c:v>368.9196484793187</c:v>
                </c:pt>
                <c:pt idx="144">
                  <c:v>368.9585684089902</c:v>
                </c:pt>
              </c:numCache>
            </c:numRef>
          </c:yVal>
          <c:smooth val="0"/>
        </c:ser>
        <c:ser>
          <c:idx val="1"/>
          <c:order val="5"/>
          <c:tx>
            <c:v>CO2</c:v>
          </c:tx>
          <c:spPr>
            <a:ln>
              <a:solidFill>
                <a:srgbClr val="41CBFF"/>
              </a:solidFill>
            </a:ln>
          </c:spPr>
          <c:marker>
            <c:symbol val="none"/>
          </c:marker>
          <c:xVal>
            <c:numRef>
              <c:f>'CO2'!$A$5:$A$149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'CO2'!$G$5:$G$149</c:f>
              <c:numCache>
                <c:formatCode>0.0</c:formatCode>
                <c:ptCount val="145"/>
                <c:pt idx="0">
                  <c:v>0.0232334738264999</c:v>
                </c:pt>
                <c:pt idx="1">
                  <c:v>0.0868876021119327</c:v>
                </c:pt>
                <c:pt idx="2">
                  <c:v>0.169052958616446</c:v>
                </c:pt>
                <c:pt idx="3">
                  <c:v>0.251824693302451</c:v>
                </c:pt>
                <c:pt idx="4">
                  <c:v>0.336550779021768</c:v>
                </c:pt>
                <c:pt idx="5">
                  <c:v>0.422869180526743</c:v>
                </c:pt>
                <c:pt idx="6">
                  <c:v>0.509743903312557</c:v>
                </c:pt>
                <c:pt idx="7">
                  <c:v>0.599871657937895</c:v>
                </c:pt>
                <c:pt idx="8">
                  <c:v>0.691787170310943</c:v>
                </c:pt>
                <c:pt idx="9">
                  <c:v>0.786291171760389</c:v>
                </c:pt>
                <c:pt idx="10">
                  <c:v>0.886368250061625</c:v>
                </c:pt>
                <c:pt idx="11">
                  <c:v>0.990701882325651</c:v>
                </c:pt>
                <c:pt idx="12">
                  <c:v>1.100071094632341</c:v>
                </c:pt>
                <c:pt idx="13">
                  <c:v>1.215675433941154</c:v>
                </c:pt>
                <c:pt idx="14">
                  <c:v>1.334481259678367</c:v>
                </c:pt>
                <c:pt idx="15">
                  <c:v>1.459730457066595</c:v>
                </c:pt>
                <c:pt idx="16">
                  <c:v>1.593991006486556</c:v>
                </c:pt>
                <c:pt idx="17">
                  <c:v>1.733769882460256</c:v>
                </c:pt>
                <c:pt idx="18">
                  <c:v>1.884859612472375</c:v>
                </c:pt>
                <c:pt idx="19">
                  <c:v>2.049262728774265</c:v>
                </c:pt>
                <c:pt idx="20">
                  <c:v>2.221069364729018</c:v>
                </c:pt>
                <c:pt idx="21">
                  <c:v>2.404649142796764</c:v>
                </c:pt>
                <c:pt idx="22">
                  <c:v>2.602003990389741</c:v>
                </c:pt>
                <c:pt idx="23">
                  <c:v>2.816057606179202</c:v>
                </c:pt>
                <c:pt idx="24">
                  <c:v>3.04991468378091</c:v>
                </c:pt>
                <c:pt idx="25">
                  <c:v>3.297792065701727</c:v>
                </c:pt>
                <c:pt idx="26">
                  <c:v>3.56347820796187</c:v>
                </c:pt>
                <c:pt idx="27">
                  <c:v>3.848128627255493</c:v>
                </c:pt>
                <c:pt idx="28">
                  <c:v>4.15527234070005</c:v>
                </c:pt>
                <c:pt idx="29">
                  <c:v>4.48868394852617</c:v>
                </c:pt>
                <c:pt idx="30">
                  <c:v>4.849621162073528</c:v>
                </c:pt>
                <c:pt idx="31">
                  <c:v>5.25231033270763</c:v>
                </c:pt>
                <c:pt idx="32">
                  <c:v>5.697210617147645</c:v>
                </c:pt>
                <c:pt idx="33">
                  <c:v>6.187033904594057</c:v>
                </c:pt>
                <c:pt idx="34">
                  <c:v>6.75338291755493</c:v>
                </c:pt>
                <c:pt idx="35">
                  <c:v>7.403232010425354</c:v>
                </c:pt>
                <c:pt idx="36">
                  <c:v>8.15477581317565</c:v>
                </c:pt>
                <c:pt idx="37">
                  <c:v>8.98969441144104</c:v>
                </c:pt>
                <c:pt idx="38">
                  <c:v>9.895967939212542</c:v>
                </c:pt>
                <c:pt idx="39">
                  <c:v>10.88972589263849</c:v>
                </c:pt>
                <c:pt idx="40">
                  <c:v>11.96740204071585</c:v>
                </c:pt>
                <c:pt idx="41">
                  <c:v>13.15883116134417</c:v>
                </c:pt>
                <c:pt idx="42">
                  <c:v>14.48446942401194</c:v>
                </c:pt>
                <c:pt idx="43">
                  <c:v>15.9692090020475</c:v>
                </c:pt>
                <c:pt idx="44">
                  <c:v>17.61410910232184</c:v>
                </c:pt>
                <c:pt idx="45">
                  <c:v>19.4025054834702</c:v>
                </c:pt>
                <c:pt idx="46">
                  <c:v>21.32623407986051</c:v>
                </c:pt>
                <c:pt idx="47">
                  <c:v>23.37119233950991</c:v>
                </c:pt>
                <c:pt idx="48">
                  <c:v>25.60631712960122</c:v>
                </c:pt>
                <c:pt idx="49">
                  <c:v>28.01172947859965</c:v>
                </c:pt>
                <c:pt idx="50">
                  <c:v>30.47578740064272</c:v>
                </c:pt>
                <c:pt idx="51">
                  <c:v>32.96981787223036</c:v>
                </c:pt>
                <c:pt idx="52">
                  <c:v>35.48068232822972</c:v>
                </c:pt>
                <c:pt idx="53">
                  <c:v>38.02045059158382</c:v>
                </c:pt>
                <c:pt idx="54">
                  <c:v>40.58523386801333</c:v>
                </c:pt>
                <c:pt idx="55">
                  <c:v>43.15748625383413</c:v>
                </c:pt>
                <c:pt idx="56">
                  <c:v>45.73103816569944</c:v>
                </c:pt>
                <c:pt idx="57">
                  <c:v>48.30285775985264</c:v>
                </c:pt>
                <c:pt idx="58">
                  <c:v>50.87979776287117</c:v>
                </c:pt>
                <c:pt idx="59">
                  <c:v>53.46361006017553</c:v>
                </c:pt>
                <c:pt idx="60">
                  <c:v>56.1697516513232</c:v>
                </c:pt>
                <c:pt idx="61">
                  <c:v>58.99015918247712</c:v>
                </c:pt>
                <c:pt idx="62">
                  <c:v>61.78678956913473</c:v>
                </c:pt>
                <c:pt idx="63">
                  <c:v>64.54820544738217</c:v>
                </c:pt>
                <c:pt idx="64">
                  <c:v>67.27780469222685</c:v>
                </c:pt>
                <c:pt idx="65">
                  <c:v>69.99501197593338</c:v>
                </c:pt>
                <c:pt idx="66">
                  <c:v>72.7162027846486</c:v>
                </c:pt>
                <c:pt idx="67">
                  <c:v>75.43744454614171</c:v>
                </c:pt>
                <c:pt idx="68">
                  <c:v>78.16266983264353</c:v>
                </c:pt>
                <c:pt idx="69">
                  <c:v>80.90278192473338</c:v>
                </c:pt>
                <c:pt idx="70">
                  <c:v>83.65279113351149</c:v>
                </c:pt>
                <c:pt idx="71">
                  <c:v>86.41000739786087</c:v>
                </c:pt>
                <c:pt idx="72">
                  <c:v>89.18097047612913</c:v>
                </c:pt>
                <c:pt idx="73">
                  <c:v>91.96850425721133</c:v>
                </c:pt>
                <c:pt idx="74">
                  <c:v>94.78701241613889</c:v>
                </c:pt>
                <c:pt idx="75">
                  <c:v>97.62642349177873</c:v>
                </c:pt>
                <c:pt idx="76">
                  <c:v>100.486747920242</c:v>
                </c:pt>
                <c:pt idx="77">
                  <c:v>103.3821020765594</c:v>
                </c:pt>
                <c:pt idx="78">
                  <c:v>106.3029277107103</c:v>
                </c:pt>
                <c:pt idx="79">
                  <c:v>109.247448842135</c:v>
                </c:pt>
                <c:pt idx="80">
                  <c:v>112.2074522513713</c:v>
                </c:pt>
                <c:pt idx="81">
                  <c:v>115.1728456050638</c:v>
                </c:pt>
                <c:pt idx="82">
                  <c:v>118.1345531698594</c:v>
                </c:pt>
                <c:pt idx="83">
                  <c:v>121.0930267679812</c:v>
                </c:pt>
                <c:pt idx="84">
                  <c:v>124.0412643827474</c:v>
                </c:pt>
                <c:pt idx="85">
                  <c:v>126.9699134169153</c:v>
                </c:pt>
                <c:pt idx="86">
                  <c:v>129.8967662121904</c:v>
                </c:pt>
                <c:pt idx="87">
                  <c:v>132.8133621518875</c:v>
                </c:pt>
                <c:pt idx="88">
                  <c:v>135.6865506220455</c:v>
                </c:pt>
                <c:pt idx="89">
                  <c:v>138.5318654671426</c:v>
                </c:pt>
                <c:pt idx="90">
                  <c:v>141.359110492756</c:v>
                </c:pt>
                <c:pt idx="91">
                  <c:v>144.155945304414</c:v>
                </c:pt>
                <c:pt idx="92">
                  <c:v>146.9266622132373</c:v>
                </c:pt>
                <c:pt idx="93">
                  <c:v>149.6695159331109</c:v>
                </c:pt>
                <c:pt idx="94">
                  <c:v>152.371251375117</c:v>
                </c:pt>
                <c:pt idx="95">
                  <c:v>155.0416318281658</c:v>
                </c:pt>
                <c:pt idx="96">
                  <c:v>157.7838680736245</c:v>
                </c:pt>
                <c:pt idx="97">
                  <c:v>160.5772125953462</c:v>
                </c:pt>
                <c:pt idx="98">
                  <c:v>163.3176874130701</c:v>
                </c:pt>
                <c:pt idx="99">
                  <c:v>166.0076501885494</c:v>
                </c:pt>
                <c:pt idx="100">
                  <c:v>168.6464928282594</c:v>
                </c:pt>
                <c:pt idx="101">
                  <c:v>171.2405385953147</c:v>
                </c:pt>
                <c:pt idx="102">
                  <c:v>173.8020760463594</c:v>
                </c:pt>
                <c:pt idx="103">
                  <c:v>176.3162198834908</c:v>
                </c:pt>
                <c:pt idx="104">
                  <c:v>178.7986376103847</c:v>
                </c:pt>
                <c:pt idx="105">
                  <c:v>181.254620810116</c:v>
                </c:pt>
                <c:pt idx="106">
                  <c:v>183.6796925890112</c:v>
                </c:pt>
                <c:pt idx="107">
                  <c:v>186.0825124327435</c:v>
                </c:pt>
                <c:pt idx="108">
                  <c:v>188.5043386024994</c:v>
                </c:pt>
                <c:pt idx="109">
                  <c:v>190.9561757146883</c:v>
                </c:pt>
                <c:pt idx="110">
                  <c:v>193.3802556116494</c:v>
                </c:pt>
                <c:pt idx="111">
                  <c:v>195.7577048053694</c:v>
                </c:pt>
                <c:pt idx="112">
                  <c:v>198.075237254933</c:v>
                </c:pt>
                <c:pt idx="113">
                  <c:v>200.336228340269</c:v>
                </c:pt>
                <c:pt idx="114">
                  <c:v>202.5430271894286</c:v>
                </c:pt>
                <c:pt idx="115">
                  <c:v>204.6951667043813</c:v>
                </c:pt>
                <c:pt idx="116">
                  <c:v>206.8068678039985</c:v>
                </c:pt>
                <c:pt idx="117">
                  <c:v>208.8730101392126</c:v>
                </c:pt>
                <c:pt idx="118">
                  <c:v>210.8889404589864</c:v>
                </c:pt>
                <c:pt idx="119">
                  <c:v>212.7966813283591</c:v>
                </c:pt>
                <c:pt idx="120">
                  <c:v>214.6517928647466</c:v>
                </c:pt>
                <c:pt idx="121">
                  <c:v>216.5110435033902</c:v>
                </c:pt>
                <c:pt idx="122">
                  <c:v>218.3184292132709</c:v>
                </c:pt>
                <c:pt idx="123">
                  <c:v>220.076972152741</c:v>
                </c:pt>
                <c:pt idx="124">
                  <c:v>221.7917347097987</c:v>
                </c:pt>
                <c:pt idx="125">
                  <c:v>223.4565245965384</c:v>
                </c:pt>
                <c:pt idx="126">
                  <c:v>225.0554338860195</c:v>
                </c:pt>
                <c:pt idx="127">
                  <c:v>226.5906289584506</c:v>
                </c:pt>
                <c:pt idx="128">
                  <c:v>228.0640143463856</c:v>
                </c:pt>
                <c:pt idx="129">
                  <c:v>229.479775520936</c:v>
                </c:pt>
                <c:pt idx="130">
                  <c:v>230.8385964227216</c:v>
                </c:pt>
                <c:pt idx="131">
                  <c:v>232.1362349833513</c:v>
                </c:pt>
                <c:pt idx="132">
                  <c:v>233.3655408525358</c:v>
                </c:pt>
                <c:pt idx="133">
                  <c:v>234.5169688649737</c:v>
                </c:pt>
                <c:pt idx="134">
                  <c:v>235.5847597360431</c:v>
                </c:pt>
                <c:pt idx="135">
                  <c:v>236.5612039616081</c:v>
                </c:pt>
                <c:pt idx="136">
                  <c:v>237.431317582365</c:v>
                </c:pt>
                <c:pt idx="137">
                  <c:v>238.187186525697</c:v>
                </c:pt>
                <c:pt idx="138">
                  <c:v>238.8189342253644</c:v>
                </c:pt>
                <c:pt idx="139">
                  <c:v>239.3175855802316</c:v>
                </c:pt>
                <c:pt idx="140">
                  <c:v>239.6885807480907</c:v>
                </c:pt>
                <c:pt idx="141">
                  <c:v>239.9532562214606</c:v>
                </c:pt>
                <c:pt idx="142">
                  <c:v>240.1402815909923</c:v>
                </c:pt>
                <c:pt idx="143">
                  <c:v>240.2731610932032</c:v>
                </c:pt>
                <c:pt idx="144">
                  <c:v>240.3743845967713</c:v>
                </c:pt>
              </c:numCache>
            </c:numRef>
          </c:yVal>
          <c:smooth val="1"/>
        </c:ser>
        <c:ser>
          <c:idx val="3"/>
          <c:order val="6"/>
          <c:tx>
            <c:v>lactic acid</c:v>
          </c:tx>
          <c:spPr>
            <a:ln>
              <a:solidFill>
                <a:srgbClr val="4948F1"/>
              </a:solidFill>
            </a:ln>
          </c:spPr>
          <c:marker>
            <c:symbol val="triangle"/>
            <c:size val="8"/>
            <c:spPr>
              <a:solidFill>
                <a:srgbClr val="4948F1"/>
              </a:solidFill>
              <a:ln>
                <a:solidFill>
                  <a:srgbClr val="4948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</c:numCache>
              </c:numRef>
            </c:plus>
            <c:minus>
              <c:numRef>
                <c:f>Metabolites!$M$4:$M$22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</c:numCache>
              </c:numRef>
            </c:minus>
          </c:errBars>
          <c:xVal>
            <c:numRef>
              <c:f>Metabolites!$E$4:$E$22</c:f>
              <c:numCache>
                <c:formatCode>0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17.0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  <c:pt idx="17">
                  <c:v>54.0</c:v>
                </c:pt>
                <c:pt idx="18">
                  <c:v>72.0</c:v>
                </c:pt>
              </c:numCache>
            </c:numRef>
          </c:xVal>
          <c:yVal>
            <c:numRef>
              <c:f>Metabolites!$L$4:$L$22</c:f>
              <c:numCache>
                <c:formatCode>0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21944"/>
        <c:axId val="2063434328"/>
      </c:scatterChart>
      <c:scatterChart>
        <c:scatterStyle val="lineMarker"/>
        <c:varyColors val="0"/>
        <c:ser>
          <c:idx val="8"/>
          <c:order val="2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8795.0</c:v>
                </c:pt>
                <c:pt idx="1">
                  <c:v>9724.0</c:v>
                </c:pt>
                <c:pt idx="2">
                  <c:v>10742.0</c:v>
                </c:pt>
                <c:pt idx="3">
                  <c:v>16626.0</c:v>
                </c:pt>
                <c:pt idx="4">
                  <c:v>20880.0</c:v>
                </c:pt>
                <c:pt idx="5">
                  <c:v>29358.0</c:v>
                </c:pt>
                <c:pt idx="6">
                  <c:v>45356.0</c:v>
                </c:pt>
                <c:pt idx="7">
                  <c:v>5363.0</c:v>
                </c:pt>
                <c:pt idx="8">
                  <c:v>6798.0</c:v>
                </c:pt>
                <c:pt idx="9">
                  <c:v>8676.0</c:v>
                </c:pt>
              </c:numCache>
            </c:numRef>
          </c:yVal>
          <c:smooth val="0"/>
        </c:ser>
        <c:ser>
          <c:idx val="5"/>
          <c:order val="3"/>
          <c:tx>
            <c:v>OD600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2.72066968348211E-17</c:v>
                  </c:pt>
                  <c:pt idx="2">
                    <c:v>2.72066968348211E-17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5.44133936696422E-17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0.0756461307294254</c:v>
                  </c:pt>
                  <c:pt idx="15">
                    <c:v>0.11579748945609</c:v>
                  </c:pt>
                  <c:pt idx="16">
                    <c:v>0.0402833999351263</c:v>
                  </c:pt>
                  <c:pt idx="17">
                    <c:v>0.016007</c:v>
                  </c:pt>
                  <c:pt idx="18">
                    <c:v>0.0184832915178367</c:v>
                  </c:pt>
                </c:numCache>
              </c:numRef>
            </c:plus>
            <c:minus>
              <c:numRef>
                <c:f>OD600nm!$J$4:$J$22</c:f>
                <c:numCache>
                  <c:formatCode>General</c:formatCode>
                  <c:ptCount val="19"/>
                  <c:pt idx="0">
                    <c:v>0.0</c:v>
                  </c:pt>
                  <c:pt idx="1">
                    <c:v>2.72066968348211E-17</c:v>
                  </c:pt>
                  <c:pt idx="2">
                    <c:v>2.72066968348211E-17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5.44133936696422E-17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0.0756461307294254</c:v>
                  </c:pt>
                  <c:pt idx="15">
                    <c:v>0.11579748945609</c:v>
                  </c:pt>
                  <c:pt idx="16">
                    <c:v>0.0402833999351263</c:v>
                  </c:pt>
                  <c:pt idx="17">
                    <c:v>0.016007</c:v>
                  </c:pt>
                  <c:pt idx="18">
                    <c:v>0.0184832915178367</c:v>
                  </c:pt>
                </c:numCache>
              </c:numRef>
            </c:minus>
          </c:errBars>
          <c:xVal>
            <c:numRef>
              <c:f>OD600nm!$D$4:$D$22</c:f>
              <c:numCache>
                <c:formatCode>0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17.0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  <c:pt idx="17">
                  <c:v>54.0</c:v>
                </c:pt>
                <c:pt idx="18">
                  <c:v>72.0</c:v>
                </c:pt>
              </c:numCache>
            </c:numRef>
          </c:xVal>
          <c:yVal>
            <c:numRef>
              <c:f>OD600nm!$I$4:$I$22</c:f>
              <c:numCache>
                <c:formatCode>0.000</c:formatCode>
                <c:ptCount val="19"/>
                <c:pt idx="0">
                  <c:v>0.1530721</c:v>
                </c:pt>
                <c:pt idx="1">
                  <c:v>0.14827</c:v>
                </c:pt>
                <c:pt idx="2">
                  <c:v>0.1498707</c:v>
                </c:pt>
                <c:pt idx="3">
                  <c:v>0.1546728</c:v>
                </c:pt>
                <c:pt idx="4">
                  <c:v>0.1658777</c:v>
                </c:pt>
                <c:pt idx="5">
                  <c:v>0.1754819</c:v>
                </c:pt>
                <c:pt idx="6">
                  <c:v>0.1818847</c:v>
                </c:pt>
                <c:pt idx="7">
                  <c:v>0.1978917</c:v>
                </c:pt>
                <c:pt idx="8">
                  <c:v>0.2090966</c:v>
                </c:pt>
                <c:pt idx="9">
                  <c:v>0.2347078</c:v>
                </c:pt>
                <c:pt idx="10">
                  <c:v>0.2683225</c:v>
                </c:pt>
                <c:pt idx="11">
                  <c:v>0.3211456</c:v>
                </c:pt>
                <c:pt idx="12">
                  <c:v>0.4075834</c:v>
                </c:pt>
                <c:pt idx="13">
                  <c:v>0.5228338</c:v>
                </c:pt>
                <c:pt idx="14">
                  <c:v>0.500937333333333</c:v>
                </c:pt>
                <c:pt idx="15">
                  <c:v>0.468923333333333</c:v>
                </c:pt>
                <c:pt idx="16">
                  <c:v>0.623657666666667</c:v>
                </c:pt>
                <c:pt idx="17">
                  <c:v>0.52228</c:v>
                </c:pt>
                <c:pt idx="18">
                  <c:v>0.223482666666667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27704"/>
        <c:axId val="2086217720"/>
      </c:scatterChart>
      <c:valAx>
        <c:axId val="2079921944"/>
        <c:scaling>
          <c:orientation val="minMax"/>
          <c:max val="72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63434328"/>
        <c:crosses val="autoZero"/>
        <c:crossBetween val="midCat"/>
        <c:majorUnit val="6.0"/>
      </c:valAx>
      <c:valAx>
        <c:axId val="2063434328"/>
        <c:scaling>
          <c:orientation val="minMax"/>
          <c:max val="3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9921944"/>
        <c:crosses val="autoZero"/>
        <c:crossBetween val="midCat"/>
      </c:valAx>
      <c:valAx>
        <c:axId val="2086217720"/>
        <c:scaling>
          <c:orientation val="minMax"/>
          <c:max val="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 600 nm)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9927704"/>
        <c:crosses val="max"/>
        <c:crossBetween val="midCat"/>
        <c:majorUnit val="0.2"/>
        <c:minorUnit val="0.02"/>
      </c:valAx>
      <c:valAx>
        <c:axId val="2079927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8621772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41400" y="4622800"/>
    <xdr:ext cx="9296400" cy="6070600"/>
    <xdr:graphicFrame macro="">
      <xdr:nvGraphicFramePr>
        <xdr:cNvPr id="3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73100" y="10312400"/>
    <xdr:ext cx="9296400" cy="6070600"/>
    <xdr:graphicFrame macro="">
      <xdr:nvGraphicFramePr>
        <xdr:cNvPr id="4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9" sqref="G9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6.5" style="2" bestFit="1" customWidth="1"/>
    <col min="4" max="16384" width="8.83203125" style="2"/>
  </cols>
  <sheetData>
    <row r="1" spans="1:3">
      <c r="A1" s="85" t="s">
        <v>0</v>
      </c>
      <c r="B1" s="86"/>
      <c r="C1" s="66">
        <v>41850</v>
      </c>
    </row>
    <row r="2" spans="1:3" ht="16">
      <c r="A2" s="85" t="s">
        <v>1</v>
      </c>
      <c r="B2" s="87"/>
      <c r="C2" s="29" t="s">
        <v>136</v>
      </c>
    </row>
    <row r="3" spans="1:3">
      <c r="A3" s="9"/>
      <c r="B3" s="9"/>
      <c r="C3" s="8"/>
    </row>
    <row r="4" spans="1:3">
      <c r="A4" s="88" t="s">
        <v>48</v>
      </c>
      <c r="B4" s="88"/>
      <c r="C4" s="29" t="s">
        <v>94</v>
      </c>
    </row>
    <row r="6" spans="1:3">
      <c r="A6" s="61" t="s">
        <v>82</v>
      </c>
      <c r="B6" s="61" t="s">
        <v>83</v>
      </c>
      <c r="C6" s="61" t="s">
        <v>68</v>
      </c>
    </row>
    <row r="7" spans="1:3">
      <c r="A7" s="29" t="s">
        <v>84</v>
      </c>
      <c r="B7" s="41">
        <v>6.5</v>
      </c>
      <c r="C7" s="29" t="s">
        <v>90</v>
      </c>
    </row>
    <row r="8" spans="1:3">
      <c r="A8" s="29" t="s">
        <v>85</v>
      </c>
      <c r="B8" s="41">
        <v>5</v>
      </c>
      <c r="C8" s="29" t="s">
        <v>90</v>
      </c>
    </row>
    <row r="9" spans="1:3">
      <c r="A9" s="29" t="s">
        <v>86</v>
      </c>
      <c r="B9" s="41">
        <v>2.5</v>
      </c>
      <c r="C9" s="29" t="s">
        <v>90</v>
      </c>
    </row>
    <row r="10" spans="1:3">
      <c r="A10" s="29" t="s">
        <v>87</v>
      </c>
      <c r="B10" s="41">
        <v>3</v>
      </c>
      <c r="C10" s="29" t="s">
        <v>90</v>
      </c>
    </row>
    <row r="11" spans="1:3">
      <c r="A11" s="29" t="s">
        <v>144</v>
      </c>
      <c r="B11" s="41">
        <v>0</v>
      </c>
      <c r="C11" s="29" t="s">
        <v>137</v>
      </c>
    </row>
    <row r="12" spans="1:3">
      <c r="A12" s="29" t="s">
        <v>72</v>
      </c>
      <c r="B12" s="41">
        <v>1.5</v>
      </c>
      <c r="C12" s="29" t="s">
        <v>90</v>
      </c>
    </row>
    <row r="13" spans="1:3" ht="16">
      <c r="A13" s="29" t="s">
        <v>76</v>
      </c>
      <c r="B13" s="41">
        <v>1</v>
      </c>
      <c r="C13" s="29" t="s">
        <v>90</v>
      </c>
    </row>
    <row r="14" spans="1:3" ht="16">
      <c r="A14" s="8" t="s">
        <v>75</v>
      </c>
      <c r="B14" s="41">
        <v>1</v>
      </c>
      <c r="C14" s="29" t="s">
        <v>90</v>
      </c>
    </row>
    <row r="15" spans="1:3" ht="16">
      <c r="A15" s="65" t="s">
        <v>135</v>
      </c>
      <c r="B15" s="64">
        <v>2</v>
      </c>
      <c r="C15" s="64" t="s">
        <v>90</v>
      </c>
    </row>
    <row r="16" spans="1:3" ht="16">
      <c r="A16" s="29" t="s">
        <v>95</v>
      </c>
      <c r="B16" s="41">
        <v>1</v>
      </c>
      <c r="C16" s="29" t="s">
        <v>90</v>
      </c>
    </row>
    <row r="17" spans="1:3" ht="16">
      <c r="A17" s="29" t="s">
        <v>96</v>
      </c>
      <c r="B17" s="41">
        <v>1</v>
      </c>
      <c r="C17" s="29" t="s">
        <v>90</v>
      </c>
    </row>
    <row r="18" spans="1:3" ht="16">
      <c r="A18" s="29" t="s">
        <v>97</v>
      </c>
      <c r="B18" s="41">
        <v>0.4</v>
      </c>
      <c r="C18" s="29" t="s">
        <v>90</v>
      </c>
    </row>
    <row r="19" spans="1:3" ht="16">
      <c r="A19" s="29" t="s">
        <v>74</v>
      </c>
      <c r="B19" s="41">
        <v>0.2</v>
      </c>
      <c r="C19" s="29" t="s">
        <v>90</v>
      </c>
    </row>
    <row r="20" spans="1:3" ht="16">
      <c r="A20" s="29" t="s">
        <v>98</v>
      </c>
      <c r="B20" s="41">
        <v>0.1</v>
      </c>
      <c r="C20" s="29" t="s">
        <v>90</v>
      </c>
    </row>
    <row r="21" spans="1:3" ht="16">
      <c r="A21" s="29" t="s">
        <v>99</v>
      </c>
      <c r="B21" s="29">
        <v>0.05</v>
      </c>
      <c r="C21" s="29" t="s">
        <v>90</v>
      </c>
    </row>
    <row r="22" spans="1:3" ht="16">
      <c r="A22" s="29" t="s">
        <v>100</v>
      </c>
      <c r="B22" s="29">
        <v>5.0000000000000001E-3</v>
      </c>
      <c r="C22" s="29" t="s">
        <v>90</v>
      </c>
    </row>
    <row r="23" spans="1:3" ht="16">
      <c r="A23" s="29" t="s">
        <v>101</v>
      </c>
      <c r="B23" s="29">
        <v>5.0000000000000001E-3</v>
      </c>
      <c r="C23" s="29" t="s">
        <v>90</v>
      </c>
    </row>
    <row r="24" spans="1:3">
      <c r="A24" s="29" t="s">
        <v>88</v>
      </c>
      <c r="B24" s="29">
        <v>5.0000000000000001E-3</v>
      </c>
      <c r="C24" s="29" t="s">
        <v>90</v>
      </c>
    </row>
    <row r="25" spans="1:3">
      <c r="A25" s="29" t="s">
        <v>89</v>
      </c>
      <c r="B25" s="29">
        <v>5.0000000000000001E-3</v>
      </c>
      <c r="C25" s="29" t="s">
        <v>90</v>
      </c>
    </row>
    <row r="26" spans="1:3">
      <c r="A26" s="29" t="s">
        <v>73</v>
      </c>
      <c r="B26" s="29">
        <v>1E-3</v>
      </c>
      <c r="C26" s="29" t="s">
        <v>132</v>
      </c>
    </row>
    <row r="27" spans="1:3">
      <c r="A27" s="29" t="s">
        <v>91</v>
      </c>
      <c r="B27" s="29" t="s">
        <v>90</v>
      </c>
      <c r="C27" s="29" t="s">
        <v>92</v>
      </c>
    </row>
    <row r="28" spans="1:3">
      <c r="A28" s="29" t="s">
        <v>93</v>
      </c>
      <c r="B28" s="29" t="s">
        <v>90</v>
      </c>
      <c r="C28" s="29" t="s">
        <v>92</v>
      </c>
    </row>
    <row r="29" spans="1:3" ht="30">
      <c r="A29" s="63" t="s">
        <v>138</v>
      </c>
      <c r="B29" s="82">
        <v>9</v>
      </c>
      <c r="C29" s="62" t="s">
        <v>174</v>
      </c>
    </row>
    <row r="30" spans="1:3" ht="30">
      <c r="A30" s="63" t="s">
        <v>139</v>
      </c>
      <c r="B30" s="63">
        <v>20.399999999999999</v>
      </c>
      <c r="C30" s="62" t="s">
        <v>140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6"/>
  <sheetViews>
    <sheetView workbookViewId="0">
      <selection activeCell="B7" sqref="B7:B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129</v>
      </c>
      <c r="B2" s="15">
        <v>180.16</v>
      </c>
    </row>
    <row r="4" spans="1:8">
      <c r="A4" s="106" t="s">
        <v>130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6" t="s">
        <v>4</v>
      </c>
      <c r="B6" s="26" t="s">
        <v>5</v>
      </c>
      <c r="C6" s="26" t="s">
        <v>19</v>
      </c>
      <c r="D6" s="111"/>
      <c r="E6" s="111"/>
      <c r="F6" s="111"/>
      <c r="G6" s="113"/>
      <c r="H6" s="113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7">
        <f>(C7*1000*AVERAGE(D7:F7)/$B$2)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7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49">
        <v>1</v>
      </c>
      <c r="B9" s="69">
        <v>2</v>
      </c>
      <c r="C9" s="48">
        <v>2</v>
      </c>
      <c r="D9" s="16">
        <v>0</v>
      </c>
      <c r="E9" s="16">
        <v>0</v>
      </c>
      <c r="F9" s="16">
        <v>0</v>
      </c>
      <c r="G9" s="17">
        <f t="shared" si="0"/>
        <v>0</v>
      </c>
      <c r="H9" s="17">
        <f t="shared" si="1"/>
        <v>0</v>
      </c>
    </row>
    <row r="10" spans="1:8">
      <c r="A10" s="49">
        <v>2</v>
      </c>
      <c r="B10" s="69">
        <v>3</v>
      </c>
      <c r="C10" s="48">
        <v>2</v>
      </c>
      <c r="D10" s="16">
        <v>0</v>
      </c>
      <c r="E10" s="16">
        <v>0</v>
      </c>
      <c r="F10" s="16">
        <v>0</v>
      </c>
      <c r="G10" s="17">
        <f t="shared" si="0"/>
        <v>0</v>
      </c>
      <c r="H10" s="17">
        <f t="shared" si="1"/>
        <v>0</v>
      </c>
    </row>
    <row r="11" spans="1:8">
      <c r="A11" s="49">
        <v>3</v>
      </c>
      <c r="B11" s="69">
        <v>5</v>
      </c>
      <c r="C11" s="48">
        <v>2</v>
      </c>
      <c r="D11" s="16">
        <v>0</v>
      </c>
      <c r="E11" s="16">
        <v>0</v>
      </c>
      <c r="F11" s="16">
        <v>0</v>
      </c>
      <c r="G11" s="17">
        <f t="shared" si="0"/>
        <v>0</v>
      </c>
      <c r="H11" s="17">
        <f t="shared" si="1"/>
        <v>0</v>
      </c>
    </row>
    <row r="12" spans="1:8">
      <c r="A12" s="49">
        <v>4</v>
      </c>
      <c r="B12" s="69">
        <v>6</v>
      </c>
      <c r="C12" s="48">
        <v>2</v>
      </c>
      <c r="D12" s="16">
        <v>0</v>
      </c>
      <c r="E12" s="16">
        <v>0</v>
      </c>
      <c r="F12" s="16">
        <v>0</v>
      </c>
      <c r="G12" s="17">
        <f t="shared" si="0"/>
        <v>0</v>
      </c>
      <c r="H12" s="17">
        <f t="shared" si="1"/>
        <v>0</v>
      </c>
    </row>
    <row r="13" spans="1:8">
      <c r="A13" s="49">
        <v>5</v>
      </c>
      <c r="B13" s="69">
        <v>7</v>
      </c>
      <c r="C13" s="48">
        <v>2</v>
      </c>
      <c r="D13" s="16">
        <v>0</v>
      </c>
      <c r="E13" s="16">
        <v>0</v>
      </c>
      <c r="F13" s="16">
        <v>0</v>
      </c>
      <c r="G13" s="17">
        <f t="shared" si="0"/>
        <v>0</v>
      </c>
      <c r="H13" s="17">
        <f t="shared" si="1"/>
        <v>0</v>
      </c>
    </row>
    <row r="14" spans="1:8">
      <c r="A14" s="49">
        <v>6</v>
      </c>
      <c r="B14" s="69">
        <v>9</v>
      </c>
      <c r="C14" s="48">
        <v>2</v>
      </c>
      <c r="D14" s="16">
        <v>0</v>
      </c>
      <c r="E14" s="16">
        <v>0</v>
      </c>
      <c r="F14" s="16">
        <v>0</v>
      </c>
      <c r="G14" s="17">
        <f t="shared" si="0"/>
        <v>0</v>
      </c>
      <c r="H14" s="17">
        <f t="shared" si="1"/>
        <v>0</v>
      </c>
    </row>
    <row r="15" spans="1:8">
      <c r="A15" s="49">
        <v>7</v>
      </c>
      <c r="B15" s="69">
        <v>10</v>
      </c>
      <c r="C15" s="48">
        <v>2</v>
      </c>
      <c r="D15" s="16">
        <v>0</v>
      </c>
      <c r="E15" s="16">
        <v>0</v>
      </c>
      <c r="F15" s="16">
        <v>0</v>
      </c>
      <c r="G15" s="17">
        <f t="shared" si="0"/>
        <v>0</v>
      </c>
      <c r="H15" s="17">
        <f t="shared" si="1"/>
        <v>0</v>
      </c>
    </row>
    <row r="16" spans="1:8">
      <c r="A16" s="49">
        <v>8</v>
      </c>
      <c r="B16" s="69">
        <v>11</v>
      </c>
      <c r="C16" s="48">
        <v>2</v>
      </c>
      <c r="D16" s="16">
        <v>0</v>
      </c>
      <c r="E16" s="16">
        <v>0</v>
      </c>
      <c r="F16" s="16">
        <v>0</v>
      </c>
      <c r="G16" s="17">
        <f t="shared" si="0"/>
        <v>0</v>
      </c>
      <c r="H16" s="17">
        <f t="shared" si="1"/>
        <v>0</v>
      </c>
    </row>
    <row r="17" spans="1:8">
      <c r="A17" s="49">
        <v>9</v>
      </c>
      <c r="B17" s="69">
        <v>13</v>
      </c>
      <c r="C17" s="48">
        <v>2</v>
      </c>
      <c r="D17" s="16">
        <v>0</v>
      </c>
      <c r="E17" s="16">
        <v>0</v>
      </c>
      <c r="F17" s="16">
        <v>0</v>
      </c>
      <c r="G17" s="17">
        <f t="shared" si="0"/>
        <v>0</v>
      </c>
      <c r="H17" s="17">
        <f t="shared" si="1"/>
        <v>0</v>
      </c>
    </row>
    <row r="18" spans="1:8">
      <c r="A18" s="49">
        <v>10</v>
      </c>
      <c r="B18" s="69">
        <v>14</v>
      </c>
      <c r="C18" s="48">
        <v>2</v>
      </c>
      <c r="D18" s="16">
        <v>0</v>
      </c>
      <c r="E18" s="16">
        <v>0</v>
      </c>
      <c r="F18" s="16">
        <v>0</v>
      </c>
      <c r="G18" s="17">
        <f t="shared" ref="G18:G23" si="2">(C18*1000*AVERAGE(D18:F18))/$B$2</f>
        <v>0</v>
      </c>
      <c r="H18" s="17">
        <f t="shared" ref="H18:H23" si="3">(C18*1000*STDEV(D18:F18))/$B$2</f>
        <v>0</v>
      </c>
    </row>
    <row r="19" spans="1:8">
      <c r="A19" s="49">
        <v>11</v>
      </c>
      <c r="B19" s="69">
        <v>15</v>
      </c>
      <c r="C19" s="48">
        <v>2</v>
      </c>
      <c r="D19" s="16">
        <v>0</v>
      </c>
      <c r="E19" s="16">
        <v>0</v>
      </c>
      <c r="F19" s="16">
        <v>0</v>
      </c>
      <c r="G19" s="17">
        <f t="shared" si="2"/>
        <v>0</v>
      </c>
      <c r="H19" s="17">
        <f t="shared" si="3"/>
        <v>0</v>
      </c>
    </row>
    <row r="20" spans="1:8">
      <c r="A20" s="49">
        <v>12</v>
      </c>
      <c r="B20" s="69">
        <v>17</v>
      </c>
      <c r="C20" s="48">
        <v>2</v>
      </c>
      <c r="D20" s="16">
        <v>0</v>
      </c>
      <c r="E20" s="16">
        <v>0</v>
      </c>
      <c r="F20" s="16">
        <v>0</v>
      </c>
      <c r="G20" s="17">
        <f t="shared" si="2"/>
        <v>0</v>
      </c>
      <c r="H20" s="17">
        <f t="shared" si="3"/>
        <v>0</v>
      </c>
    </row>
    <row r="21" spans="1:8">
      <c r="A21" s="49">
        <v>13</v>
      </c>
      <c r="B21" s="69">
        <v>18</v>
      </c>
      <c r="C21" s="48">
        <v>2</v>
      </c>
      <c r="D21" s="16">
        <v>0</v>
      </c>
      <c r="E21" s="16">
        <v>0</v>
      </c>
      <c r="F21" s="16">
        <v>0</v>
      </c>
      <c r="G21" s="17">
        <f t="shared" si="2"/>
        <v>0</v>
      </c>
      <c r="H21" s="17">
        <f t="shared" si="3"/>
        <v>0</v>
      </c>
    </row>
    <row r="22" spans="1:8">
      <c r="A22" s="49">
        <v>14</v>
      </c>
      <c r="B22" s="69">
        <v>24</v>
      </c>
      <c r="C22" s="48">
        <v>2</v>
      </c>
      <c r="D22" s="16">
        <v>0</v>
      </c>
      <c r="E22" s="16">
        <v>0</v>
      </c>
      <c r="F22" s="16">
        <v>0</v>
      </c>
      <c r="G22" s="17">
        <f t="shared" si="2"/>
        <v>0</v>
      </c>
      <c r="H22" s="17">
        <f t="shared" si="3"/>
        <v>0</v>
      </c>
    </row>
    <row r="23" spans="1:8">
      <c r="A23" s="49">
        <v>15</v>
      </c>
      <c r="B23" s="69">
        <v>30</v>
      </c>
      <c r="C23" s="48">
        <v>2</v>
      </c>
      <c r="D23" s="16">
        <v>0</v>
      </c>
      <c r="E23" s="16">
        <v>0</v>
      </c>
      <c r="F23" s="16">
        <v>0</v>
      </c>
      <c r="G23" s="17">
        <f t="shared" si="2"/>
        <v>0</v>
      </c>
      <c r="H23" s="17">
        <f t="shared" si="3"/>
        <v>0</v>
      </c>
    </row>
    <row r="24" spans="1:8">
      <c r="A24" s="49">
        <v>16</v>
      </c>
      <c r="B24" s="69">
        <v>48</v>
      </c>
      <c r="C24" s="48">
        <v>2</v>
      </c>
      <c r="D24" s="16">
        <v>0</v>
      </c>
      <c r="E24" s="16">
        <v>0</v>
      </c>
      <c r="F24" s="16">
        <v>0</v>
      </c>
      <c r="G24" s="17">
        <f>(C24*1000*AVERAGE(D24:F24))/$B$2</f>
        <v>0</v>
      </c>
      <c r="H24" s="17">
        <f>(C24*1000*STDEV(D24:F24))/$B$2</f>
        <v>0</v>
      </c>
    </row>
    <row r="25" spans="1:8">
      <c r="A25" s="49">
        <v>17</v>
      </c>
      <c r="B25" s="69">
        <v>54</v>
      </c>
      <c r="C25" s="48">
        <v>2</v>
      </c>
      <c r="D25" s="16">
        <v>0</v>
      </c>
      <c r="E25" s="16">
        <v>0</v>
      </c>
      <c r="F25" s="16">
        <v>0</v>
      </c>
      <c r="G25" s="17">
        <f>(C25*1000*AVERAGE(D25:F25))/$B$2</f>
        <v>0</v>
      </c>
      <c r="H25" s="17">
        <f>(C25*1000*STDEV(D25:F25))/$B$2</f>
        <v>0</v>
      </c>
    </row>
    <row r="26" spans="1:8">
      <c r="A26" s="49">
        <v>18</v>
      </c>
      <c r="B26" s="69">
        <v>72</v>
      </c>
      <c r="C26" s="48">
        <v>2</v>
      </c>
      <c r="D26" s="16">
        <v>0</v>
      </c>
      <c r="E26" s="16">
        <v>0</v>
      </c>
      <c r="F26" s="16">
        <v>0</v>
      </c>
      <c r="G26" s="17">
        <f>(C26*1000*AVERAGE(D26:F26))/$B$2</f>
        <v>0</v>
      </c>
      <c r="H26" s="17">
        <f>(C26*1000*STDEV(D26:F26))/$B$2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6"/>
  <sheetViews>
    <sheetView topLeftCell="A2" workbookViewId="0">
      <selection activeCell="G7" sqref="G7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64</v>
      </c>
      <c r="B2" s="15">
        <v>46.03</v>
      </c>
    </row>
    <row r="4" spans="1:8">
      <c r="A4" s="106" t="s">
        <v>64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6" t="s">
        <v>4</v>
      </c>
      <c r="B6" s="26" t="s">
        <v>59</v>
      </c>
      <c r="C6" s="26" t="s">
        <v>19</v>
      </c>
      <c r="D6" s="111"/>
      <c r="E6" s="111"/>
      <c r="F6" s="111"/>
      <c r="G6" s="113"/>
      <c r="H6" s="113"/>
    </row>
    <row r="7" spans="1:8">
      <c r="A7" s="47" t="s">
        <v>6</v>
      </c>
      <c r="B7" s="59">
        <v>0</v>
      </c>
      <c r="C7" s="48">
        <v>2</v>
      </c>
      <c r="D7" s="70">
        <v>6.7389999999999999</v>
      </c>
      <c r="E7" s="16">
        <v>6.7050000000000001</v>
      </c>
      <c r="F7" s="16">
        <v>6.64</v>
      </c>
      <c r="G7" s="14">
        <f>(C7*1000*AVERAGE(D7:F7))/$B$2</f>
        <v>290.88275762184082</v>
      </c>
      <c r="H7" s="17">
        <f>(C7*1000*STDEV(D7:F7))/$B$2</f>
        <v>2.1856362703565422</v>
      </c>
    </row>
    <row r="8" spans="1:8">
      <c r="A8" s="49">
        <v>0</v>
      </c>
      <c r="B8" s="69">
        <v>0</v>
      </c>
      <c r="C8" s="48">
        <v>2</v>
      </c>
      <c r="D8" s="71">
        <v>6.7380000000000004</v>
      </c>
      <c r="E8" s="16">
        <v>6.7709999999999999</v>
      </c>
      <c r="F8" s="16">
        <v>6.726</v>
      </c>
      <c r="G8" s="14">
        <f t="shared" ref="G8:G17" si="0">(C8*1000*AVERAGE(D8:F8))/$B$2</f>
        <v>293.06973712796002</v>
      </c>
      <c r="H8" s="17">
        <f t="shared" ref="H8:H17" si="1">(C8*1000*STDEV(D8:F8))/$B$2</f>
        <v>1.0124857873326953</v>
      </c>
    </row>
    <row r="9" spans="1:8">
      <c r="A9" s="49">
        <v>1</v>
      </c>
      <c r="B9" s="69">
        <v>2</v>
      </c>
      <c r="C9" s="48">
        <v>2</v>
      </c>
      <c r="D9" s="71">
        <v>6.7130000000000001</v>
      </c>
      <c r="E9" s="16">
        <v>6.7359999999999998</v>
      </c>
      <c r="F9" s="16">
        <v>6.7359999999999998</v>
      </c>
      <c r="G9" s="14">
        <f t="shared" si="0"/>
        <v>292.3455717285828</v>
      </c>
      <c r="H9" s="17">
        <f t="shared" si="1"/>
        <v>0.57697398181017645</v>
      </c>
    </row>
    <row r="10" spans="1:8">
      <c r="A10" s="49">
        <v>2</v>
      </c>
      <c r="B10" s="69">
        <v>3</v>
      </c>
      <c r="C10" s="48">
        <v>2</v>
      </c>
      <c r="D10" s="71">
        <v>6.7249999999999996</v>
      </c>
      <c r="E10" s="16">
        <v>6.8129999999999997</v>
      </c>
      <c r="F10" s="16">
        <v>6.7279999999999998</v>
      </c>
      <c r="G10" s="14">
        <f t="shared" si="0"/>
        <v>293.51871967557389</v>
      </c>
      <c r="H10" s="17">
        <f t="shared" si="1"/>
        <v>2.1709024496641578</v>
      </c>
    </row>
    <row r="11" spans="1:8">
      <c r="A11" s="49">
        <v>3</v>
      </c>
      <c r="B11" s="69">
        <v>5</v>
      </c>
      <c r="C11" s="48">
        <v>2</v>
      </c>
      <c r="D11" s="71">
        <v>6.6429999999999998</v>
      </c>
      <c r="E11" s="16">
        <v>6.7569999999999997</v>
      </c>
      <c r="F11" s="16">
        <v>6.6760000000000002</v>
      </c>
      <c r="G11" s="14">
        <f t="shared" si="0"/>
        <v>290.76689115794045</v>
      </c>
      <c r="H11" s="17">
        <f t="shared" si="1"/>
        <v>2.5487741692048553</v>
      </c>
    </row>
    <row r="12" spans="1:8">
      <c r="A12" s="49">
        <v>4</v>
      </c>
      <c r="B12" s="69">
        <v>6</v>
      </c>
      <c r="C12" s="48">
        <v>2</v>
      </c>
      <c r="D12" s="71">
        <v>6.8010000000000002</v>
      </c>
      <c r="E12" s="16">
        <v>6.8140000000000001</v>
      </c>
      <c r="F12" s="16">
        <v>6.7619999999999996</v>
      </c>
      <c r="G12" s="14">
        <f t="shared" si="0"/>
        <v>295.12636686219128</v>
      </c>
      <c r="H12" s="17">
        <f t="shared" si="1"/>
        <v>1.1758269821012393</v>
      </c>
    </row>
    <row r="13" spans="1:8">
      <c r="A13" s="49">
        <v>5</v>
      </c>
      <c r="B13" s="69">
        <v>7</v>
      </c>
      <c r="C13" s="48">
        <v>2</v>
      </c>
      <c r="D13" s="71">
        <v>6.9009999999999998</v>
      </c>
      <c r="E13" s="16">
        <v>6.8929999999999998</v>
      </c>
      <c r="F13" s="16">
        <v>6.907</v>
      </c>
      <c r="G13" s="14">
        <f t="shared" si="0"/>
        <v>299.81895865015565</v>
      </c>
      <c r="H13" s="17">
        <f t="shared" si="1"/>
        <v>0.30518223630539232</v>
      </c>
    </row>
    <row r="14" spans="1:8">
      <c r="A14" s="49">
        <v>6</v>
      </c>
      <c r="B14" s="69">
        <v>9</v>
      </c>
      <c r="C14" s="48">
        <v>2</v>
      </c>
      <c r="D14" s="71">
        <v>6.726</v>
      </c>
      <c r="E14" s="16">
        <v>6.78</v>
      </c>
      <c r="F14" s="16">
        <v>6.7949999999999999</v>
      </c>
      <c r="G14" s="14">
        <f t="shared" si="0"/>
        <v>294.02563545513794</v>
      </c>
      <c r="H14" s="17">
        <f t="shared" si="1"/>
        <v>1.576819231946476</v>
      </c>
    </row>
    <row r="15" spans="1:8">
      <c r="A15" s="49">
        <v>7</v>
      </c>
      <c r="B15" s="69">
        <v>10</v>
      </c>
      <c r="C15" s="48">
        <v>2</v>
      </c>
      <c r="D15" s="71">
        <v>6.7469999999999999</v>
      </c>
      <c r="E15" s="16">
        <v>6.8079999999999998</v>
      </c>
      <c r="F15" s="16">
        <v>6.69</v>
      </c>
      <c r="G15" s="14">
        <f t="shared" si="0"/>
        <v>293.21457020783549</v>
      </c>
      <c r="H15" s="17">
        <f t="shared" si="1"/>
        <v>2.5640364263838671</v>
      </c>
    </row>
    <row r="16" spans="1:8">
      <c r="A16" s="49">
        <v>8</v>
      </c>
      <c r="B16" s="69">
        <v>11</v>
      </c>
      <c r="C16" s="48">
        <v>2</v>
      </c>
      <c r="D16" s="71">
        <v>6.742</v>
      </c>
      <c r="E16" s="16">
        <v>6.6619999999999999</v>
      </c>
      <c r="F16" s="16">
        <v>6.673</v>
      </c>
      <c r="G16" s="14">
        <f t="shared" si="0"/>
        <v>290.78137446592802</v>
      </c>
      <c r="H16" s="17">
        <f t="shared" si="1"/>
        <v>1.884110818467148</v>
      </c>
    </row>
    <row r="17" spans="1:8">
      <c r="A17" s="49">
        <v>9</v>
      </c>
      <c r="B17" s="69">
        <v>13</v>
      </c>
      <c r="C17" s="48">
        <v>2</v>
      </c>
      <c r="D17" s="71">
        <v>6.734</v>
      </c>
      <c r="E17" s="16">
        <v>6.7110000000000003</v>
      </c>
      <c r="F17" s="16">
        <v>6.7549999999999999</v>
      </c>
      <c r="G17" s="14">
        <f t="shared" si="0"/>
        <v>292.56282134839597</v>
      </c>
      <c r="H17" s="17">
        <f t="shared" si="1"/>
        <v>0.95622743661344967</v>
      </c>
    </row>
    <row r="18" spans="1:8">
      <c r="A18" s="49">
        <v>10</v>
      </c>
      <c r="B18" s="69">
        <v>14</v>
      </c>
      <c r="C18" s="48">
        <v>2</v>
      </c>
      <c r="D18" s="71">
        <v>6.6970000000000001</v>
      </c>
      <c r="E18" s="16">
        <v>6.7130000000000001</v>
      </c>
      <c r="F18" s="16">
        <v>6.6379999999999999</v>
      </c>
      <c r="G18" s="14">
        <f t="shared" ref="G18:G23" si="2">(C18*1000*AVERAGE(D18:F18))/$B$2</f>
        <v>290.36135853428925</v>
      </c>
      <c r="H18" s="17">
        <f t="shared" ref="H18:H23" si="3">(C18*1000*STDEV(D18:F18))/$B$2</f>
        <v>1.7163178291651606</v>
      </c>
    </row>
    <row r="19" spans="1:8">
      <c r="A19" s="49">
        <v>11</v>
      </c>
      <c r="B19" s="69">
        <v>15</v>
      </c>
      <c r="C19" s="48">
        <v>2</v>
      </c>
      <c r="D19" s="71">
        <v>6.62</v>
      </c>
      <c r="E19" s="16">
        <v>6.6230000000000002</v>
      </c>
      <c r="F19" s="16">
        <v>6.5069999999999997</v>
      </c>
      <c r="G19" s="14">
        <f t="shared" si="2"/>
        <v>286.04533275400098</v>
      </c>
      <c r="H19" s="17">
        <f t="shared" si="3"/>
        <v>2.8730663305991793</v>
      </c>
    </row>
    <row r="20" spans="1:8">
      <c r="A20" s="49">
        <v>12</v>
      </c>
      <c r="B20" s="69">
        <v>17</v>
      </c>
      <c r="C20" s="48">
        <v>2</v>
      </c>
      <c r="D20" s="71">
        <v>6.665</v>
      </c>
      <c r="E20" s="16">
        <v>6.7149999999999999</v>
      </c>
      <c r="F20" s="16">
        <v>6.64</v>
      </c>
      <c r="G20" s="14">
        <f t="shared" si="2"/>
        <v>289.95582591063794</v>
      </c>
      <c r="H20" s="17">
        <f t="shared" si="3"/>
        <v>1.6592713791570159</v>
      </c>
    </row>
    <row r="21" spans="1:8">
      <c r="A21" s="49">
        <v>13</v>
      </c>
      <c r="B21" s="69">
        <v>18</v>
      </c>
      <c r="C21" s="48">
        <v>2</v>
      </c>
      <c r="D21" s="71">
        <v>6.5289999999999999</v>
      </c>
      <c r="E21" s="16">
        <v>6.6289999999999996</v>
      </c>
      <c r="F21" s="16">
        <v>6.665</v>
      </c>
      <c r="G21" s="14">
        <f t="shared" si="2"/>
        <v>287.10261423709176</v>
      </c>
      <c r="H21" s="17">
        <f t="shared" si="3"/>
        <v>3.0617041666678393</v>
      </c>
    </row>
    <row r="22" spans="1:8">
      <c r="A22" s="49">
        <v>14</v>
      </c>
      <c r="B22" s="69">
        <v>24</v>
      </c>
      <c r="C22" s="48">
        <v>2</v>
      </c>
      <c r="D22" s="71">
        <v>5.9420000000000002</v>
      </c>
      <c r="E22" s="16">
        <v>5.8650000000000002</v>
      </c>
      <c r="F22" s="16">
        <v>6.0389999999999997</v>
      </c>
      <c r="G22" s="14">
        <f t="shared" si="2"/>
        <v>258.46911434571655</v>
      </c>
      <c r="H22" s="17">
        <f t="shared" si="3"/>
        <v>3.7884579808070646</v>
      </c>
    </row>
    <row r="23" spans="1:8">
      <c r="A23" s="49">
        <v>15</v>
      </c>
      <c r="B23" s="69">
        <v>30</v>
      </c>
      <c r="C23" s="48">
        <v>2</v>
      </c>
      <c r="D23" s="71">
        <v>4.7949999999999999</v>
      </c>
      <c r="E23" s="16">
        <v>5.1719999999999997</v>
      </c>
      <c r="F23" s="16">
        <v>5.0910000000000002</v>
      </c>
      <c r="G23" s="14">
        <f t="shared" si="2"/>
        <v>218.08965167644288</v>
      </c>
      <c r="H23" s="17">
        <f t="shared" si="3"/>
        <v>8.6228487823503936</v>
      </c>
    </row>
    <row r="24" spans="1:8">
      <c r="A24" s="49">
        <v>16</v>
      </c>
      <c r="B24" s="69">
        <v>48</v>
      </c>
      <c r="C24" s="48">
        <v>2</v>
      </c>
      <c r="D24" s="71">
        <v>1.8740000000000001</v>
      </c>
      <c r="E24" s="16">
        <v>1.927</v>
      </c>
      <c r="F24" s="16">
        <v>1.919</v>
      </c>
      <c r="G24" s="14">
        <f>(C24*1000*AVERAGE(D24:F24))/$B$2</f>
        <v>82.844521688753716</v>
      </c>
      <c r="H24" s="17">
        <f>(C24*1000*STDEV(D24:F24))/$B$2</f>
        <v>1.2414315715315909</v>
      </c>
    </row>
    <row r="25" spans="1:8">
      <c r="A25" s="49">
        <v>17</v>
      </c>
      <c r="B25" s="69">
        <v>54</v>
      </c>
      <c r="C25" s="48">
        <v>2</v>
      </c>
      <c r="D25" s="71">
        <v>1.014</v>
      </c>
      <c r="E25" s="16">
        <v>0.996</v>
      </c>
      <c r="F25" s="16">
        <v>0.99399999999999999</v>
      </c>
      <c r="G25" s="14">
        <f>(C25*1000*AVERAGE(D25:F25))/$B$2</f>
        <v>43.507857194583231</v>
      </c>
      <c r="H25" s="17">
        <f>(C25*1000*STDEV(D25:F25))/$B$2</f>
        <v>0.47860704299683737</v>
      </c>
    </row>
    <row r="26" spans="1:8">
      <c r="A26" s="49">
        <v>18</v>
      </c>
      <c r="B26" s="69">
        <v>72</v>
      </c>
      <c r="C26" s="48">
        <v>2</v>
      </c>
      <c r="D26" s="71">
        <v>0</v>
      </c>
      <c r="E26" s="16">
        <v>0</v>
      </c>
      <c r="F26" s="16">
        <v>0</v>
      </c>
      <c r="G26" s="14">
        <f>(C26*1000*AVERAGE(D26:F26))/$B$2</f>
        <v>0</v>
      </c>
      <c r="H26" s="17">
        <f>(C26*1000*STDEV(D26:F26))/$B$2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7" sqref="G7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9" t="s">
        <v>35</v>
      </c>
      <c r="B1" s="19" t="s">
        <v>60</v>
      </c>
    </row>
    <row r="2" spans="1:8">
      <c r="A2" s="19" t="s">
        <v>42</v>
      </c>
      <c r="B2" s="15">
        <v>60.05</v>
      </c>
    </row>
    <row r="4" spans="1:8">
      <c r="A4" s="106" t="s">
        <v>42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0" t="s">
        <v>4</v>
      </c>
      <c r="B6" s="20" t="s">
        <v>59</v>
      </c>
      <c r="C6" s="20" t="s">
        <v>19</v>
      </c>
      <c r="D6" s="111"/>
      <c r="E6" s="111"/>
      <c r="F6" s="111"/>
      <c r="G6" s="113"/>
      <c r="H6" s="113"/>
    </row>
    <row r="7" spans="1:8">
      <c r="A7" s="47" t="s">
        <v>6</v>
      </c>
      <c r="B7" s="59">
        <v>0</v>
      </c>
      <c r="C7" s="48">
        <v>2</v>
      </c>
      <c r="D7" s="72">
        <v>5.3999999999999999E-2</v>
      </c>
      <c r="E7" s="73">
        <v>5.2999999999999999E-2</v>
      </c>
      <c r="F7" s="73">
        <v>6.5000000000000002E-2</v>
      </c>
      <c r="G7" s="14">
        <f>(C7*1000*AVERAGE(D7:F7))/$B$2</f>
        <v>1.9095198445739661</v>
      </c>
      <c r="H7" s="17">
        <f>(C7*1000*STDEV(D7:F7))/$B$2</f>
        <v>0.22175947105676586</v>
      </c>
    </row>
    <row r="8" spans="1:8">
      <c r="A8" s="49">
        <v>0</v>
      </c>
      <c r="B8" s="69">
        <v>0</v>
      </c>
      <c r="C8" s="48">
        <v>2</v>
      </c>
      <c r="D8" s="74">
        <v>6.2E-2</v>
      </c>
      <c r="E8" s="73">
        <v>6.2E-2</v>
      </c>
      <c r="F8" s="73">
        <v>6.5000000000000002E-2</v>
      </c>
      <c r="G8" s="14">
        <f t="shared" ref="G8:G17" si="0">(C8*1000*AVERAGE(D8:F8))/$B$2</f>
        <v>2.0982514571190674</v>
      </c>
      <c r="H8" s="17">
        <f t="shared" ref="H8:H17" si="1">(C8*1000*STDEV(D8:F8))/$B$2</f>
        <v>5.7686954456915206E-2</v>
      </c>
    </row>
    <row r="9" spans="1:8">
      <c r="A9" s="49">
        <v>1</v>
      </c>
      <c r="B9" s="69">
        <v>2</v>
      </c>
      <c r="C9" s="48">
        <v>2</v>
      </c>
      <c r="D9" s="74">
        <v>7.2999999999999995E-2</v>
      </c>
      <c r="E9" s="73">
        <v>6.9000000000000006E-2</v>
      </c>
      <c r="F9" s="73">
        <v>6.4000000000000001E-2</v>
      </c>
      <c r="G9" s="14">
        <f t="shared" si="0"/>
        <v>2.2869830696641689</v>
      </c>
      <c r="H9" s="17">
        <f t="shared" si="1"/>
        <v>0.15018317245038773</v>
      </c>
    </row>
    <row r="10" spans="1:8">
      <c r="A10" s="49">
        <v>2</v>
      </c>
      <c r="B10" s="69">
        <v>3</v>
      </c>
      <c r="C10" s="48">
        <v>2</v>
      </c>
      <c r="D10" s="74">
        <v>6.7000000000000004E-2</v>
      </c>
      <c r="E10" s="73">
        <v>7.1999999999999995E-2</v>
      </c>
      <c r="F10" s="73">
        <v>6.9000000000000006E-2</v>
      </c>
      <c r="G10" s="14">
        <f t="shared" si="0"/>
        <v>2.3091867887871222</v>
      </c>
      <c r="H10" s="17">
        <f t="shared" si="1"/>
        <v>8.3817201612775297E-2</v>
      </c>
    </row>
    <row r="11" spans="1:8">
      <c r="A11" s="49">
        <v>3</v>
      </c>
      <c r="B11" s="69">
        <v>5</v>
      </c>
      <c r="C11" s="48">
        <v>2</v>
      </c>
      <c r="D11" s="74">
        <v>7.0000000000000007E-2</v>
      </c>
      <c r="E11" s="73">
        <v>7.1999999999999995E-2</v>
      </c>
      <c r="F11" s="73">
        <v>7.0999999999999994E-2</v>
      </c>
      <c r="G11" s="14">
        <f t="shared" si="0"/>
        <v>2.3646960865945053</v>
      </c>
      <c r="H11" s="17">
        <f t="shared" si="1"/>
        <v>3.3305578684429446E-2</v>
      </c>
    </row>
    <row r="12" spans="1:8">
      <c r="A12" s="49">
        <v>4</v>
      </c>
      <c r="B12" s="69">
        <v>6</v>
      </c>
      <c r="C12" s="48">
        <v>2</v>
      </c>
      <c r="D12" s="74">
        <v>7.5999999999999998E-2</v>
      </c>
      <c r="E12" s="73">
        <v>7.0000000000000007E-2</v>
      </c>
      <c r="F12" s="73">
        <v>6.9000000000000006E-2</v>
      </c>
      <c r="G12" s="14">
        <f t="shared" si="0"/>
        <v>2.3868998057174577</v>
      </c>
      <c r="H12" s="17">
        <f t="shared" si="1"/>
        <v>0.12609288583514333</v>
      </c>
    </row>
    <row r="13" spans="1:8">
      <c r="A13" s="49">
        <v>5</v>
      </c>
      <c r="B13" s="69">
        <v>7</v>
      </c>
      <c r="C13" s="48">
        <v>2</v>
      </c>
      <c r="D13" s="74">
        <v>5.8999999999999997E-2</v>
      </c>
      <c r="E13" s="73">
        <v>6.5000000000000002E-2</v>
      </c>
      <c r="F13" s="73">
        <v>6.5000000000000002E-2</v>
      </c>
      <c r="G13" s="14">
        <f t="shared" si="0"/>
        <v>2.0982514571190674</v>
      </c>
      <c r="H13" s="17">
        <f t="shared" si="1"/>
        <v>0.11537390891383043</v>
      </c>
    </row>
    <row r="14" spans="1:8">
      <c r="A14" s="49">
        <v>6</v>
      </c>
      <c r="B14" s="69">
        <v>9</v>
      </c>
      <c r="C14" s="48">
        <v>2</v>
      </c>
      <c r="D14" s="74">
        <v>7.0999999999999994E-2</v>
      </c>
      <c r="E14" s="73">
        <v>8.1000000000000003E-2</v>
      </c>
      <c r="F14" s="73">
        <v>7.8E-2</v>
      </c>
      <c r="G14" s="14">
        <f t="shared" si="0"/>
        <v>2.5534276991396059</v>
      </c>
      <c r="H14" s="17">
        <f t="shared" si="1"/>
        <v>0.17091095551863075</v>
      </c>
    </row>
    <row r="15" spans="1:8">
      <c r="A15" s="49">
        <v>7</v>
      </c>
      <c r="B15" s="69">
        <v>10</v>
      </c>
      <c r="C15" s="48">
        <v>2</v>
      </c>
      <c r="D15" s="74">
        <v>0.09</v>
      </c>
      <c r="E15" s="73">
        <v>8.6999999999999994E-2</v>
      </c>
      <c r="F15" s="73">
        <v>9.0999999999999998E-2</v>
      </c>
      <c r="G15" s="14">
        <f t="shared" si="0"/>
        <v>2.9752983624757148</v>
      </c>
      <c r="H15" s="17">
        <f t="shared" si="1"/>
        <v>6.9331090739921233E-2</v>
      </c>
    </row>
    <row r="16" spans="1:8">
      <c r="A16" s="49">
        <v>8</v>
      </c>
      <c r="B16" s="69">
        <v>11</v>
      </c>
      <c r="C16" s="48">
        <v>2</v>
      </c>
      <c r="D16" s="74">
        <v>9.0999999999999998E-2</v>
      </c>
      <c r="E16" s="73">
        <v>8.8999999999999996E-2</v>
      </c>
      <c r="F16" s="73">
        <v>8.8999999999999996E-2</v>
      </c>
      <c r="G16" s="14">
        <f t="shared" si="0"/>
        <v>2.9864002220371915</v>
      </c>
      <c r="H16" s="17">
        <f t="shared" si="1"/>
        <v>3.845796963794347E-2</v>
      </c>
    </row>
    <row r="17" spans="1:8">
      <c r="A17" s="49">
        <v>9</v>
      </c>
      <c r="B17" s="69">
        <v>13</v>
      </c>
      <c r="C17" s="48">
        <v>2</v>
      </c>
      <c r="D17" s="74">
        <v>9.2999999999999999E-2</v>
      </c>
      <c r="E17" s="73">
        <v>9.7000000000000003E-2</v>
      </c>
      <c r="F17" s="73">
        <v>0.10199999999999999</v>
      </c>
      <c r="G17" s="14">
        <f t="shared" si="0"/>
        <v>3.2417429919511518</v>
      </c>
      <c r="H17" s="17">
        <f t="shared" si="1"/>
        <v>0.1501831724503877</v>
      </c>
    </row>
    <row r="18" spans="1:8">
      <c r="A18" s="49">
        <v>10</v>
      </c>
      <c r="B18" s="69">
        <v>14</v>
      </c>
      <c r="C18" s="48">
        <v>2</v>
      </c>
      <c r="D18" s="74">
        <v>0.104</v>
      </c>
      <c r="E18" s="73">
        <v>0.104</v>
      </c>
      <c r="F18" s="73">
        <v>0.10299999999999999</v>
      </c>
      <c r="G18" s="14">
        <f t="shared" ref="G18:G23" si="2">(C18*1000*AVERAGE(D18:F18))/$B$2</f>
        <v>3.4526783236192067</v>
      </c>
      <c r="H18" s="17">
        <f t="shared" ref="H18:H23" si="3">(C18*1000*STDEV(D18:F18))/$B$2</f>
        <v>1.9228984818971735E-2</v>
      </c>
    </row>
    <row r="19" spans="1:8">
      <c r="A19" s="49">
        <v>11</v>
      </c>
      <c r="B19" s="69">
        <v>15</v>
      </c>
      <c r="C19" s="48">
        <v>2</v>
      </c>
      <c r="D19" s="74">
        <v>0.121</v>
      </c>
      <c r="E19" s="73">
        <v>0.107</v>
      </c>
      <c r="F19" s="73">
        <v>0.106</v>
      </c>
      <c r="G19" s="14">
        <f t="shared" si="2"/>
        <v>3.708021093533167</v>
      </c>
      <c r="H19" s="17">
        <f t="shared" si="3"/>
        <v>0.27931713850478213</v>
      </c>
    </row>
    <row r="20" spans="1:8">
      <c r="A20" s="49">
        <v>12</v>
      </c>
      <c r="B20" s="69">
        <v>17</v>
      </c>
      <c r="C20" s="48">
        <v>2</v>
      </c>
      <c r="D20" s="74">
        <v>0.14199999999999999</v>
      </c>
      <c r="E20" s="73">
        <v>0.14699999999999999</v>
      </c>
      <c r="F20" s="73">
        <v>0.14199999999999999</v>
      </c>
      <c r="G20" s="14">
        <f t="shared" si="2"/>
        <v>4.7849014709963908</v>
      </c>
      <c r="H20" s="17">
        <f t="shared" si="3"/>
        <v>9.6144924094858669E-2</v>
      </c>
    </row>
    <row r="21" spans="1:8">
      <c r="A21" s="49">
        <v>13</v>
      </c>
      <c r="B21" s="69">
        <v>18</v>
      </c>
      <c r="C21" s="48">
        <v>2</v>
      </c>
      <c r="D21" s="74">
        <v>0.189</v>
      </c>
      <c r="E21" s="73">
        <v>0.191</v>
      </c>
      <c r="F21" s="73">
        <v>0.192</v>
      </c>
      <c r="G21" s="14">
        <f t="shared" si="2"/>
        <v>6.350263669164586</v>
      </c>
      <c r="H21" s="17">
        <f t="shared" si="3"/>
        <v>5.0875111795235566E-2</v>
      </c>
    </row>
    <row r="22" spans="1:8">
      <c r="A22" s="49">
        <v>14</v>
      </c>
      <c r="B22" s="69">
        <v>24</v>
      </c>
      <c r="C22" s="48">
        <v>2</v>
      </c>
      <c r="D22" s="74">
        <v>0.30299999999999999</v>
      </c>
      <c r="E22" s="73">
        <v>0.29499999999999998</v>
      </c>
      <c r="F22" s="73">
        <v>0.30499999999999999</v>
      </c>
      <c r="G22" s="14">
        <f t="shared" si="2"/>
        <v>10.024979184013322</v>
      </c>
      <c r="H22" s="17">
        <f t="shared" si="3"/>
        <v>0.17623655694018939</v>
      </c>
    </row>
    <row r="23" spans="1:8">
      <c r="A23" s="49">
        <v>15</v>
      </c>
      <c r="B23" s="69">
        <v>30</v>
      </c>
      <c r="C23" s="48">
        <v>2</v>
      </c>
      <c r="D23" s="74">
        <v>0.35399999999999998</v>
      </c>
      <c r="E23" s="73">
        <v>0.375</v>
      </c>
      <c r="F23" s="73">
        <v>0.378</v>
      </c>
      <c r="G23" s="14">
        <f t="shared" si="2"/>
        <v>12.289758534554538</v>
      </c>
      <c r="H23" s="17">
        <f t="shared" si="3"/>
        <v>0.4355269552247138</v>
      </c>
    </row>
    <row r="24" spans="1:8">
      <c r="A24" s="49">
        <v>16</v>
      </c>
      <c r="B24" s="69">
        <v>48</v>
      </c>
      <c r="C24" s="48">
        <v>2</v>
      </c>
      <c r="D24" s="71">
        <v>0.98499999999999999</v>
      </c>
      <c r="E24" s="75">
        <v>1.02</v>
      </c>
      <c r="F24" s="75">
        <v>1.018</v>
      </c>
      <c r="G24" s="14">
        <f>(C24*1000*AVERAGE(D24:F24))/$B$2</f>
        <v>33.5609214543436</v>
      </c>
      <c r="H24" s="17">
        <f>(C24*1000*STDEV(D24:F24))/$B$2</f>
        <v>0.65463327173158281</v>
      </c>
    </row>
    <row r="25" spans="1:8">
      <c r="A25" s="49">
        <v>17</v>
      </c>
      <c r="B25" s="69">
        <v>54</v>
      </c>
      <c r="C25" s="48">
        <v>2</v>
      </c>
      <c r="D25" s="71">
        <v>1.1439999999999999</v>
      </c>
      <c r="E25" s="75">
        <v>1.141</v>
      </c>
      <c r="F25" s="75">
        <v>1.127</v>
      </c>
      <c r="G25" s="14">
        <f>(C25*1000*AVERAGE(D25:F25))/$B$2</f>
        <v>37.879544823757982</v>
      </c>
      <c r="H25" s="17">
        <f>(C25*1000*STDEV(D25:F25))/$B$2</f>
        <v>0.30220721818076385</v>
      </c>
    </row>
    <row r="26" spans="1:8">
      <c r="A26" s="49">
        <v>18</v>
      </c>
      <c r="B26" s="69">
        <v>72</v>
      </c>
      <c r="C26" s="48">
        <v>2</v>
      </c>
      <c r="D26" s="71">
        <v>1.236</v>
      </c>
      <c r="E26" s="75">
        <v>1.242</v>
      </c>
      <c r="F26" s="75">
        <v>1.244</v>
      </c>
      <c r="G26" s="14">
        <f>(C26*1000*AVERAGE(D26:F26))/$B$2</f>
        <v>41.321121287815707</v>
      </c>
      <c r="H26" s="17">
        <f>(C26*1000*STDEV(D26:F26))/$B$2</f>
        <v>0.13866218147984244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6"/>
  <sheetViews>
    <sheetView workbookViewId="0">
      <selection activeCell="D7" sqref="D7:F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66</v>
      </c>
      <c r="B2" s="15">
        <v>74.08</v>
      </c>
    </row>
    <row r="4" spans="1:8">
      <c r="A4" s="106" t="s">
        <v>66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6" t="s">
        <v>4</v>
      </c>
      <c r="B6" s="26" t="s">
        <v>59</v>
      </c>
      <c r="C6" s="26" t="s">
        <v>19</v>
      </c>
      <c r="D6" s="111"/>
      <c r="E6" s="111"/>
      <c r="F6" s="111"/>
      <c r="G6" s="113"/>
      <c r="H6" s="113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4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49">
        <v>1</v>
      </c>
      <c r="B9" s="69">
        <v>2</v>
      </c>
      <c r="C9" s="48">
        <v>2</v>
      </c>
      <c r="D9" s="16">
        <v>0</v>
      </c>
      <c r="E9" s="16">
        <v>0</v>
      </c>
      <c r="F9" s="16">
        <v>0</v>
      </c>
      <c r="G9" s="14">
        <f t="shared" si="0"/>
        <v>0</v>
      </c>
      <c r="H9" s="17">
        <f t="shared" si="1"/>
        <v>0</v>
      </c>
    </row>
    <row r="10" spans="1:8">
      <c r="A10" s="49">
        <v>2</v>
      </c>
      <c r="B10" s="69">
        <v>3</v>
      </c>
      <c r="C10" s="48">
        <v>2</v>
      </c>
      <c r="D10" s="16">
        <v>0</v>
      </c>
      <c r="E10" s="16">
        <v>0</v>
      </c>
      <c r="F10" s="16">
        <v>0</v>
      </c>
      <c r="G10" s="14">
        <f t="shared" si="0"/>
        <v>0</v>
      </c>
      <c r="H10" s="17">
        <f t="shared" si="1"/>
        <v>0</v>
      </c>
    </row>
    <row r="11" spans="1:8">
      <c r="A11" s="49">
        <v>3</v>
      </c>
      <c r="B11" s="69">
        <v>5</v>
      </c>
      <c r="C11" s="48">
        <v>2</v>
      </c>
      <c r="D11" s="16">
        <v>0</v>
      </c>
      <c r="E11" s="16">
        <v>0</v>
      </c>
      <c r="F11" s="16">
        <v>0</v>
      </c>
      <c r="G11" s="14">
        <f t="shared" si="0"/>
        <v>0</v>
      </c>
      <c r="H11" s="17">
        <f t="shared" si="1"/>
        <v>0</v>
      </c>
    </row>
    <row r="12" spans="1:8">
      <c r="A12" s="49">
        <v>4</v>
      </c>
      <c r="B12" s="69">
        <v>6</v>
      </c>
      <c r="C12" s="48">
        <v>2</v>
      </c>
      <c r="D12" s="16">
        <v>0</v>
      </c>
      <c r="E12" s="16">
        <v>0</v>
      </c>
      <c r="F12" s="16">
        <v>0</v>
      </c>
      <c r="G12" s="14">
        <f t="shared" si="0"/>
        <v>0</v>
      </c>
      <c r="H12" s="17">
        <f t="shared" si="1"/>
        <v>0</v>
      </c>
    </row>
    <row r="13" spans="1:8">
      <c r="A13" s="49">
        <v>5</v>
      </c>
      <c r="B13" s="69">
        <v>7</v>
      </c>
      <c r="C13" s="48">
        <v>2</v>
      </c>
      <c r="D13" s="16">
        <v>0</v>
      </c>
      <c r="E13" s="16">
        <v>0</v>
      </c>
      <c r="F13" s="16">
        <v>0</v>
      </c>
      <c r="G13" s="14">
        <f t="shared" si="0"/>
        <v>0</v>
      </c>
      <c r="H13" s="17">
        <f t="shared" si="1"/>
        <v>0</v>
      </c>
    </row>
    <row r="14" spans="1:8">
      <c r="A14" s="49">
        <v>6</v>
      </c>
      <c r="B14" s="69">
        <v>9</v>
      </c>
      <c r="C14" s="48">
        <v>2</v>
      </c>
      <c r="D14" s="16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49">
        <v>7</v>
      </c>
      <c r="B15" s="69">
        <v>10</v>
      </c>
      <c r="C15" s="48">
        <v>2</v>
      </c>
      <c r="D15" s="16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49">
        <v>8</v>
      </c>
      <c r="B16" s="69">
        <v>11</v>
      </c>
      <c r="C16" s="48">
        <v>2</v>
      </c>
      <c r="D16" s="16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49">
        <v>9</v>
      </c>
      <c r="B17" s="69">
        <v>13</v>
      </c>
      <c r="C17" s="48">
        <v>2</v>
      </c>
      <c r="D17" s="16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49">
        <v>10</v>
      </c>
      <c r="B18" s="69">
        <v>14</v>
      </c>
      <c r="C18" s="48">
        <v>2</v>
      </c>
      <c r="D18" s="16">
        <v>0</v>
      </c>
      <c r="E18" s="16">
        <v>0</v>
      </c>
      <c r="F18" s="16">
        <v>0</v>
      </c>
      <c r="G18" s="14">
        <f t="shared" ref="G18:G23" si="2">(C18*1000*AVERAGE(D18:F18))/$B$2</f>
        <v>0</v>
      </c>
      <c r="H18" s="17">
        <f t="shared" ref="H18:H23" si="3">(C18*1000*STDEV(D18:F18))/$B$2</f>
        <v>0</v>
      </c>
    </row>
    <row r="19" spans="1:8">
      <c r="A19" s="49">
        <v>11</v>
      </c>
      <c r="B19" s="69">
        <v>15</v>
      </c>
      <c r="C19" s="48">
        <v>2</v>
      </c>
      <c r="D19" s="16">
        <v>0</v>
      </c>
      <c r="E19" s="16">
        <v>0</v>
      </c>
      <c r="F19" s="16">
        <v>0</v>
      </c>
      <c r="G19" s="14">
        <f t="shared" si="2"/>
        <v>0</v>
      </c>
      <c r="H19" s="17">
        <f t="shared" si="3"/>
        <v>0</v>
      </c>
    </row>
    <row r="20" spans="1:8">
      <c r="A20" s="49">
        <v>12</v>
      </c>
      <c r="B20" s="69">
        <v>17</v>
      </c>
      <c r="C20" s="48">
        <v>2</v>
      </c>
      <c r="D20" s="16">
        <v>0</v>
      </c>
      <c r="E20" s="16">
        <v>0</v>
      </c>
      <c r="F20" s="16">
        <v>0</v>
      </c>
      <c r="G20" s="14">
        <f t="shared" si="2"/>
        <v>0</v>
      </c>
      <c r="H20" s="17">
        <f t="shared" si="3"/>
        <v>0</v>
      </c>
    </row>
    <row r="21" spans="1:8">
      <c r="A21" s="49">
        <v>13</v>
      </c>
      <c r="B21" s="69">
        <v>18</v>
      </c>
      <c r="C21" s="48">
        <v>2</v>
      </c>
      <c r="D21" s="16">
        <v>0</v>
      </c>
      <c r="E21" s="16">
        <v>0</v>
      </c>
      <c r="F21" s="16">
        <v>0</v>
      </c>
      <c r="G21" s="14">
        <f t="shared" si="2"/>
        <v>0</v>
      </c>
      <c r="H21" s="17">
        <f t="shared" si="3"/>
        <v>0</v>
      </c>
    </row>
    <row r="22" spans="1:8">
      <c r="A22" s="49">
        <v>14</v>
      </c>
      <c r="B22" s="69">
        <v>24</v>
      </c>
      <c r="C22" s="48">
        <v>2</v>
      </c>
      <c r="D22" s="16">
        <v>0</v>
      </c>
      <c r="E22" s="16">
        <v>0</v>
      </c>
      <c r="F22" s="16">
        <v>0</v>
      </c>
      <c r="G22" s="14">
        <f t="shared" si="2"/>
        <v>0</v>
      </c>
      <c r="H22" s="17">
        <f t="shared" si="3"/>
        <v>0</v>
      </c>
    </row>
    <row r="23" spans="1:8">
      <c r="A23" s="49">
        <v>15</v>
      </c>
      <c r="B23" s="69">
        <v>30</v>
      </c>
      <c r="C23" s="48">
        <v>2</v>
      </c>
      <c r="D23" s="16">
        <v>0</v>
      </c>
      <c r="E23" s="16">
        <v>0</v>
      </c>
      <c r="F23" s="16">
        <v>0</v>
      </c>
      <c r="G23" s="14">
        <f t="shared" si="2"/>
        <v>0</v>
      </c>
      <c r="H23" s="17">
        <f t="shared" si="3"/>
        <v>0</v>
      </c>
    </row>
    <row r="24" spans="1:8">
      <c r="A24" s="49">
        <v>16</v>
      </c>
      <c r="B24" s="69">
        <v>48</v>
      </c>
      <c r="C24" s="48">
        <v>2</v>
      </c>
      <c r="D24" s="16">
        <v>0</v>
      </c>
      <c r="E24" s="16">
        <v>0</v>
      </c>
      <c r="F24" s="16">
        <v>0</v>
      </c>
      <c r="G24" s="14">
        <f>(C24*1000*AVERAGE(D24:F24))/$B$2</f>
        <v>0</v>
      </c>
      <c r="H24" s="17">
        <f>(C24*1000*STDEV(D24:F24))/$B$2</f>
        <v>0</v>
      </c>
    </row>
    <row r="25" spans="1:8">
      <c r="A25" s="49">
        <v>17</v>
      </c>
      <c r="B25" s="69">
        <v>54</v>
      </c>
      <c r="C25" s="48">
        <v>2</v>
      </c>
      <c r="D25" s="16">
        <v>0</v>
      </c>
      <c r="E25" s="16">
        <v>0</v>
      </c>
      <c r="F25" s="16">
        <v>0</v>
      </c>
      <c r="G25" s="14">
        <f>(C25*1000*AVERAGE(D25:F25))/$B$2</f>
        <v>0</v>
      </c>
      <c r="H25" s="17">
        <f>(C25*1000*STDEV(D25:F25))/$B$2</f>
        <v>0</v>
      </c>
    </row>
    <row r="26" spans="1:8">
      <c r="A26" s="49">
        <v>18</v>
      </c>
      <c r="B26" s="69">
        <v>72</v>
      </c>
      <c r="C26" s="48">
        <v>2</v>
      </c>
      <c r="D26" s="16">
        <v>0</v>
      </c>
      <c r="E26" s="16">
        <v>0</v>
      </c>
      <c r="F26" s="16">
        <v>0</v>
      </c>
      <c r="G26" s="14">
        <f>(C26*1000*AVERAGE(D26:F26))/$B$2</f>
        <v>0</v>
      </c>
      <c r="H26" s="17">
        <f>(C26*1000*STDEV(D26:F26))/$B$2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6"/>
  <sheetViews>
    <sheetView workbookViewId="0">
      <selection activeCell="D7" sqref="D7:F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65</v>
      </c>
      <c r="B2" s="15">
        <v>88.11</v>
      </c>
    </row>
    <row r="4" spans="1:8">
      <c r="A4" s="106" t="s">
        <v>65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6" t="s">
        <v>4</v>
      </c>
      <c r="B6" s="26" t="s">
        <v>59</v>
      </c>
      <c r="C6" s="26" t="s">
        <v>19</v>
      </c>
      <c r="D6" s="111"/>
      <c r="E6" s="111"/>
      <c r="F6" s="111"/>
      <c r="G6" s="113"/>
      <c r="H6" s="113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4">
        <f>(C8*1000*AVERAGE(D8:F8))/$B$2</f>
        <v>0</v>
      </c>
      <c r="H8" s="17">
        <f t="shared" ref="H8:H17" si="0">(C8*1000*STDEV(D8:F8))/$B$2</f>
        <v>0</v>
      </c>
    </row>
    <row r="9" spans="1:8">
      <c r="A9" s="49">
        <v>1</v>
      </c>
      <c r="B9" s="69">
        <v>2</v>
      </c>
      <c r="C9" s="48">
        <v>2</v>
      </c>
      <c r="D9" s="16">
        <v>0</v>
      </c>
      <c r="E9" s="16">
        <v>0</v>
      </c>
      <c r="F9" s="16">
        <v>0</v>
      </c>
      <c r="G9" s="14">
        <f t="shared" ref="G9:G17" si="1">(C9*1000*AVERAGE(D9:F9))/$B$2</f>
        <v>0</v>
      </c>
      <c r="H9" s="17">
        <f t="shared" si="0"/>
        <v>0</v>
      </c>
    </row>
    <row r="10" spans="1:8">
      <c r="A10" s="49">
        <v>2</v>
      </c>
      <c r="B10" s="69">
        <v>3</v>
      </c>
      <c r="C10" s="48">
        <v>2</v>
      </c>
      <c r="D10" s="16">
        <v>0</v>
      </c>
      <c r="E10" s="16">
        <v>0</v>
      </c>
      <c r="F10" s="16">
        <v>0</v>
      </c>
      <c r="G10" s="14">
        <f t="shared" si="1"/>
        <v>0</v>
      </c>
      <c r="H10" s="17">
        <f t="shared" si="0"/>
        <v>0</v>
      </c>
    </row>
    <row r="11" spans="1:8">
      <c r="A11" s="49">
        <v>3</v>
      </c>
      <c r="B11" s="69">
        <v>5</v>
      </c>
      <c r="C11" s="48">
        <v>2</v>
      </c>
      <c r="D11" s="16">
        <v>0</v>
      </c>
      <c r="E11" s="16">
        <v>0</v>
      </c>
      <c r="F11" s="16">
        <v>0</v>
      </c>
      <c r="G11" s="14">
        <f t="shared" si="1"/>
        <v>0</v>
      </c>
      <c r="H11" s="17">
        <f t="shared" si="0"/>
        <v>0</v>
      </c>
    </row>
    <row r="12" spans="1:8">
      <c r="A12" s="49">
        <v>4</v>
      </c>
      <c r="B12" s="69">
        <v>6</v>
      </c>
      <c r="C12" s="48">
        <v>2</v>
      </c>
      <c r="D12" s="16">
        <v>0</v>
      </c>
      <c r="E12" s="16">
        <v>0</v>
      </c>
      <c r="F12" s="16">
        <v>0</v>
      </c>
      <c r="G12" s="14">
        <f t="shared" si="1"/>
        <v>0</v>
      </c>
      <c r="H12" s="17">
        <f t="shared" si="0"/>
        <v>0</v>
      </c>
    </row>
    <row r="13" spans="1:8">
      <c r="A13" s="49">
        <v>5</v>
      </c>
      <c r="B13" s="69">
        <v>7</v>
      </c>
      <c r="C13" s="48">
        <v>2</v>
      </c>
      <c r="D13" s="16">
        <v>0</v>
      </c>
      <c r="E13" s="16">
        <v>0</v>
      </c>
      <c r="F13" s="16">
        <v>0</v>
      </c>
      <c r="G13" s="14">
        <f t="shared" si="1"/>
        <v>0</v>
      </c>
      <c r="H13" s="17">
        <f t="shared" si="0"/>
        <v>0</v>
      </c>
    </row>
    <row r="14" spans="1:8">
      <c r="A14" s="49">
        <v>6</v>
      </c>
      <c r="B14" s="69">
        <v>9</v>
      </c>
      <c r="C14" s="48">
        <v>2</v>
      </c>
      <c r="D14" s="16">
        <v>0</v>
      </c>
      <c r="E14" s="16">
        <v>0</v>
      </c>
      <c r="F14" s="16">
        <v>0</v>
      </c>
      <c r="G14" s="14">
        <f t="shared" si="1"/>
        <v>0</v>
      </c>
      <c r="H14" s="17">
        <f t="shared" si="0"/>
        <v>0</v>
      </c>
    </row>
    <row r="15" spans="1:8">
      <c r="A15" s="49">
        <v>7</v>
      </c>
      <c r="B15" s="69">
        <v>10</v>
      </c>
      <c r="C15" s="48">
        <v>2</v>
      </c>
      <c r="D15" s="16">
        <v>0</v>
      </c>
      <c r="E15" s="16">
        <v>0</v>
      </c>
      <c r="F15" s="16">
        <v>0</v>
      </c>
      <c r="G15" s="14">
        <f t="shared" si="1"/>
        <v>0</v>
      </c>
      <c r="H15" s="17">
        <f t="shared" si="0"/>
        <v>0</v>
      </c>
    </row>
    <row r="16" spans="1:8">
      <c r="A16" s="49">
        <v>8</v>
      </c>
      <c r="B16" s="69">
        <v>11</v>
      </c>
      <c r="C16" s="48">
        <v>2</v>
      </c>
      <c r="D16" s="16">
        <v>0</v>
      </c>
      <c r="E16" s="16">
        <v>0</v>
      </c>
      <c r="F16" s="16">
        <v>0</v>
      </c>
      <c r="G16" s="14">
        <f t="shared" si="1"/>
        <v>0</v>
      </c>
      <c r="H16" s="17">
        <f t="shared" si="0"/>
        <v>0</v>
      </c>
    </row>
    <row r="17" spans="1:8">
      <c r="A17" s="49">
        <v>9</v>
      </c>
      <c r="B17" s="69">
        <v>13</v>
      </c>
      <c r="C17" s="48">
        <v>2</v>
      </c>
      <c r="D17" s="16">
        <v>0</v>
      </c>
      <c r="E17" s="16">
        <v>0</v>
      </c>
      <c r="F17" s="16">
        <v>0</v>
      </c>
      <c r="G17" s="14">
        <f t="shared" si="1"/>
        <v>0</v>
      </c>
      <c r="H17" s="17">
        <f t="shared" si="0"/>
        <v>0</v>
      </c>
    </row>
    <row r="18" spans="1:8">
      <c r="A18" s="49">
        <v>10</v>
      </c>
      <c r="B18" s="69">
        <v>14</v>
      </c>
      <c r="C18" s="48">
        <v>2</v>
      </c>
      <c r="D18" s="16">
        <v>0</v>
      </c>
      <c r="E18" s="16">
        <v>0</v>
      </c>
      <c r="F18" s="16">
        <v>0</v>
      </c>
      <c r="G18" s="14">
        <f t="shared" ref="G18:G23" si="2">(C18*1000*AVERAGE(D18:F18))/$B$2</f>
        <v>0</v>
      </c>
      <c r="H18" s="17">
        <f t="shared" ref="H18:H23" si="3">(C18*1000*STDEV(D18:F18))/$B$2</f>
        <v>0</v>
      </c>
    </row>
    <row r="19" spans="1:8">
      <c r="A19" s="49">
        <v>11</v>
      </c>
      <c r="B19" s="69">
        <v>15</v>
      </c>
      <c r="C19" s="48">
        <v>2</v>
      </c>
      <c r="D19" s="16">
        <v>0</v>
      </c>
      <c r="E19" s="16">
        <v>0</v>
      </c>
      <c r="F19" s="16">
        <v>0</v>
      </c>
      <c r="G19" s="14">
        <f t="shared" si="2"/>
        <v>0</v>
      </c>
      <c r="H19" s="17">
        <f t="shared" si="3"/>
        <v>0</v>
      </c>
    </row>
    <row r="20" spans="1:8">
      <c r="A20" s="49">
        <v>12</v>
      </c>
      <c r="B20" s="69">
        <v>17</v>
      </c>
      <c r="C20" s="48">
        <v>2</v>
      </c>
      <c r="D20" s="16">
        <v>0</v>
      </c>
      <c r="E20" s="16">
        <v>0</v>
      </c>
      <c r="F20" s="16">
        <v>0</v>
      </c>
      <c r="G20" s="14">
        <f t="shared" si="2"/>
        <v>0</v>
      </c>
      <c r="H20" s="17">
        <f t="shared" si="3"/>
        <v>0</v>
      </c>
    </row>
    <row r="21" spans="1:8">
      <c r="A21" s="49">
        <v>13</v>
      </c>
      <c r="B21" s="69">
        <v>18</v>
      </c>
      <c r="C21" s="48">
        <v>2</v>
      </c>
      <c r="D21" s="16">
        <v>0</v>
      </c>
      <c r="E21" s="16">
        <v>0</v>
      </c>
      <c r="F21" s="16">
        <v>0</v>
      </c>
      <c r="G21" s="14">
        <f t="shared" si="2"/>
        <v>0</v>
      </c>
      <c r="H21" s="17">
        <f t="shared" si="3"/>
        <v>0</v>
      </c>
    </row>
    <row r="22" spans="1:8">
      <c r="A22" s="49">
        <v>14</v>
      </c>
      <c r="B22" s="69">
        <v>24</v>
      </c>
      <c r="C22" s="48">
        <v>2</v>
      </c>
      <c r="D22" s="16">
        <v>0</v>
      </c>
      <c r="E22" s="16">
        <v>0</v>
      </c>
      <c r="F22" s="16">
        <v>0</v>
      </c>
      <c r="G22" s="14">
        <f t="shared" si="2"/>
        <v>0</v>
      </c>
      <c r="H22" s="17">
        <f t="shared" si="3"/>
        <v>0</v>
      </c>
    </row>
    <row r="23" spans="1:8">
      <c r="A23" s="49">
        <v>15</v>
      </c>
      <c r="B23" s="69">
        <v>30</v>
      </c>
      <c r="C23" s="48">
        <v>2</v>
      </c>
      <c r="D23" s="16">
        <v>0</v>
      </c>
      <c r="E23" s="16">
        <v>0</v>
      </c>
      <c r="F23" s="16">
        <v>0</v>
      </c>
      <c r="G23" s="14">
        <f t="shared" si="2"/>
        <v>0</v>
      </c>
      <c r="H23" s="17">
        <f t="shared" si="3"/>
        <v>0</v>
      </c>
    </row>
    <row r="24" spans="1:8">
      <c r="A24" s="49">
        <v>16</v>
      </c>
      <c r="B24" s="69">
        <v>48</v>
      </c>
      <c r="C24" s="48">
        <v>2</v>
      </c>
      <c r="D24" s="16">
        <v>0</v>
      </c>
      <c r="E24" s="16">
        <v>0</v>
      </c>
      <c r="F24" s="16">
        <v>0</v>
      </c>
      <c r="G24" s="14">
        <f>(C24*1000*AVERAGE(D24:F24))/$B$2</f>
        <v>0</v>
      </c>
      <c r="H24" s="17">
        <f>(C24*1000*STDEV(D24:F24))/$B$2</f>
        <v>0</v>
      </c>
    </row>
    <row r="25" spans="1:8">
      <c r="A25" s="49">
        <v>17</v>
      </c>
      <c r="B25" s="69">
        <v>54</v>
      </c>
      <c r="C25" s="48">
        <v>2</v>
      </c>
      <c r="D25" s="16">
        <v>0</v>
      </c>
      <c r="E25" s="16">
        <v>0</v>
      </c>
      <c r="F25" s="16">
        <v>0</v>
      </c>
      <c r="G25" s="14">
        <f>(C25*1000*AVERAGE(D25:F25))/$B$2</f>
        <v>0</v>
      </c>
      <c r="H25" s="17">
        <f>(C25*1000*STDEV(D25:F25))/$B$2</f>
        <v>0</v>
      </c>
    </row>
    <row r="26" spans="1:8">
      <c r="A26" s="49">
        <v>18</v>
      </c>
      <c r="B26" s="69">
        <v>72</v>
      </c>
      <c r="C26" s="48">
        <v>2</v>
      </c>
      <c r="D26" s="16">
        <v>0</v>
      </c>
      <c r="E26" s="16">
        <v>0</v>
      </c>
      <c r="F26" s="16">
        <v>0</v>
      </c>
      <c r="G26" s="14">
        <f>(C26*1000*AVERAGE(D26:F26))/$B$2</f>
        <v>0</v>
      </c>
      <c r="H26" s="17">
        <f>(C26*1000*STDEV(D26:F26))/$B$2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7" sqref="D7:F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9" t="s">
        <v>35</v>
      </c>
      <c r="B1" s="19" t="s">
        <v>60</v>
      </c>
    </row>
    <row r="2" spans="1:8">
      <c r="A2" s="19" t="s">
        <v>41</v>
      </c>
      <c r="B2" s="15">
        <v>90.08</v>
      </c>
    </row>
    <row r="4" spans="1:8">
      <c r="A4" s="106" t="s">
        <v>41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0" t="s">
        <v>4</v>
      </c>
      <c r="B6" s="20" t="s">
        <v>59</v>
      </c>
      <c r="C6" s="20" t="s">
        <v>19</v>
      </c>
      <c r="D6" s="111"/>
      <c r="E6" s="111"/>
      <c r="F6" s="111"/>
      <c r="G6" s="113"/>
      <c r="H6" s="113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4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49">
        <v>1</v>
      </c>
      <c r="B9" s="69">
        <v>2</v>
      </c>
      <c r="C9" s="48">
        <v>2</v>
      </c>
      <c r="D9" s="16">
        <v>0</v>
      </c>
      <c r="E9" s="16">
        <v>0</v>
      </c>
      <c r="F9" s="16">
        <v>0</v>
      </c>
      <c r="G9" s="14">
        <f t="shared" si="0"/>
        <v>0</v>
      </c>
      <c r="H9" s="17">
        <f t="shared" si="1"/>
        <v>0</v>
      </c>
    </row>
    <row r="10" spans="1:8">
      <c r="A10" s="49">
        <v>2</v>
      </c>
      <c r="B10" s="69">
        <v>3</v>
      </c>
      <c r="C10" s="48">
        <v>2</v>
      </c>
      <c r="D10" s="16">
        <v>0</v>
      </c>
      <c r="E10" s="16">
        <v>0</v>
      </c>
      <c r="F10" s="16">
        <v>0</v>
      </c>
      <c r="G10" s="14">
        <f t="shared" si="0"/>
        <v>0</v>
      </c>
      <c r="H10" s="17">
        <f t="shared" si="1"/>
        <v>0</v>
      </c>
    </row>
    <row r="11" spans="1:8">
      <c r="A11" s="49">
        <v>3</v>
      </c>
      <c r="B11" s="69">
        <v>5</v>
      </c>
      <c r="C11" s="48">
        <v>2</v>
      </c>
      <c r="D11" s="16">
        <v>0</v>
      </c>
      <c r="E11" s="16">
        <v>0</v>
      </c>
      <c r="F11" s="16">
        <v>0</v>
      </c>
      <c r="G11" s="14">
        <f t="shared" si="0"/>
        <v>0</v>
      </c>
      <c r="H11" s="17">
        <f t="shared" si="1"/>
        <v>0</v>
      </c>
    </row>
    <row r="12" spans="1:8">
      <c r="A12" s="49">
        <v>4</v>
      </c>
      <c r="B12" s="69">
        <v>6</v>
      </c>
      <c r="C12" s="48">
        <v>2</v>
      </c>
      <c r="D12" s="16">
        <v>0</v>
      </c>
      <c r="E12" s="16">
        <v>0</v>
      </c>
      <c r="F12" s="16">
        <v>0</v>
      </c>
      <c r="G12" s="14">
        <f t="shared" si="0"/>
        <v>0</v>
      </c>
      <c r="H12" s="17">
        <f t="shared" si="1"/>
        <v>0</v>
      </c>
    </row>
    <row r="13" spans="1:8">
      <c r="A13" s="49">
        <v>5</v>
      </c>
      <c r="B13" s="69">
        <v>7</v>
      </c>
      <c r="C13" s="48">
        <v>2</v>
      </c>
      <c r="D13" s="16">
        <v>0</v>
      </c>
      <c r="E13" s="16">
        <v>0</v>
      </c>
      <c r="F13" s="16">
        <v>0</v>
      </c>
      <c r="G13" s="14">
        <f t="shared" si="0"/>
        <v>0</v>
      </c>
      <c r="H13" s="17">
        <f t="shared" si="1"/>
        <v>0</v>
      </c>
    </row>
    <row r="14" spans="1:8">
      <c r="A14" s="49">
        <v>6</v>
      </c>
      <c r="B14" s="69">
        <v>9</v>
      </c>
      <c r="C14" s="48">
        <v>2</v>
      </c>
      <c r="D14" s="16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49">
        <v>7</v>
      </c>
      <c r="B15" s="69">
        <v>10</v>
      </c>
      <c r="C15" s="48">
        <v>2</v>
      </c>
      <c r="D15" s="16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49">
        <v>8</v>
      </c>
      <c r="B16" s="69">
        <v>11</v>
      </c>
      <c r="C16" s="48">
        <v>2</v>
      </c>
      <c r="D16" s="16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49">
        <v>9</v>
      </c>
      <c r="B17" s="69">
        <v>13</v>
      </c>
      <c r="C17" s="48">
        <v>2</v>
      </c>
      <c r="D17" s="16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49">
        <v>10</v>
      </c>
      <c r="B18" s="69">
        <v>14</v>
      </c>
      <c r="C18" s="48">
        <v>2</v>
      </c>
      <c r="D18" s="16">
        <v>0</v>
      </c>
      <c r="E18" s="16">
        <v>0</v>
      </c>
      <c r="F18" s="16">
        <v>0</v>
      </c>
      <c r="G18" s="14">
        <f t="shared" ref="G18:G23" si="2">(C18*1000*AVERAGE(D18:F18))/$B$2</f>
        <v>0</v>
      </c>
      <c r="H18" s="17">
        <f t="shared" ref="H18:H23" si="3">(C18*1000*STDEV(D18:F18))/$B$2</f>
        <v>0</v>
      </c>
    </row>
    <row r="19" spans="1:8">
      <c r="A19" s="49">
        <v>11</v>
      </c>
      <c r="B19" s="69">
        <v>15</v>
      </c>
      <c r="C19" s="48">
        <v>2</v>
      </c>
      <c r="D19" s="16">
        <v>0</v>
      </c>
      <c r="E19" s="16">
        <v>0</v>
      </c>
      <c r="F19" s="16">
        <v>0</v>
      </c>
      <c r="G19" s="14">
        <f t="shared" si="2"/>
        <v>0</v>
      </c>
      <c r="H19" s="17">
        <f t="shared" si="3"/>
        <v>0</v>
      </c>
    </row>
    <row r="20" spans="1:8">
      <c r="A20" s="49">
        <v>12</v>
      </c>
      <c r="B20" s="69">
        <v>17</v>
      </c>
      <c r="C20" s="48">
        <v>2</v>
      </c>
      <c r="D20" s="16">
        <v>0</v>
      </c>
      <c r="E20" s="16">
        <v>0</v>
      </c>
      <c r="F20" s="16">
        <v>0</v>
      </c>
      <c r="G20" s="14">
        <f t="shared" si="2"/>
        <v>0</v>
      </c>
      <c r="H20" s="17">
        <f t="shared" si="3"/>
        <v>0</v>
      </c>
    </row>
    <row r="21" spans="1:8">
      <c r="A21" s="49">
        <v>13</v>
      </c>
      <c r="B21" s="69">
        <v>18</v>
      </c>
      <c r="C21" s="48">
        <v>2</v>
      </c>
      <c r="D21" s="16">
        <v>0</v>
      </c>
      <c r="E21" s="16">
        <v>0</v>
      </c>
      <c r="F21" s="16">
        <v>0</v>
      </c>
      <c r="G21" s="14">
        <f t="shared" si="2"/>
        <v>0</v>
      </c>
      <c r="H21" s="17">
        <f t="shared" si="3"/>
        <v>0</v>
      </c>
    </row>
    <row r="22" spans="1:8">
      <c r="A22" s="49">
        <v>14</v>
      </c>
      <c r="B22" s="69">
        <v>24</v>
      </c>
      <c r="C22" s="48">
        <v>2</v>
      </c>
      <c r="D22" s="16">
        <v>0</v>
      </c>
      <c r="E22" s="16">
        <v>0</v>
      </c>
      <c r="F22" s="16">
        <v>0</v>
      </c>
      <c r="G22" s="14">
        <f t="shared" si="2"/>
        <v>0</v>
      </c>
      <c r="H22" s="17">
        <f t="shared" si="3"/>
        <v>0</v>
      </c>
    </row>
    <row r="23" spans="1:8">
      <c r="A23" s="49">
        <v>15</v>
      </c>
      <c r="B23" s="69">
        <v>30</v>
      </c>
      <c r="C23" s="48">
        <v>2</v>
      </c>
      <c r="D23" s="16">
        <v>0</v>
      </c>
      <c r="E23" s="16">
        <v>0</v>
      </c>
      <c r="F23" s="16">
        <v>0</v>
      </c>
      <c r="G23" s="14">
        <f t="shared" si="2"/>
        <v>0</v>
      </c>
      <c r="H23" s="17">
        <f t="shared" si="3"/>
        <v>0</v>
      </c>
    </row>
    <row r="24" spans="1:8">
      <c r="A24" s="49">
        <v>16</v>
      </c>
      <c r="B24" s="69">
        <v>48</v>
      </c>
      <c r="C24" s="48">
        <v>2</v>
      </c>
      <c r="D24" s="16">
        <v>0</v>
      </c>
      <c r="E24" s="16">
        <v>0</v>
      </c>
      <c r="F24" s="16">
        <v>0</v>
      </c>
      <c r="G24" s="14">
        <f>(C24*1000*AVERAGE(D24:F24))/$B$2</f>
        <v>0</v>
      </c>
      <c r="H24" s="17">
        <f>(C24*1000*STDEV(D24:F24))/$B$2</f>
        <v>0</v>
      </c>
    </row>
    <row r="25" spans="1:8">
      <c r="A25" s="49">
        <v>17</v>
      </c>
      <c r="B25" s="69">
        <v>54</v>
      </c>
      <c r="C25" s="48">
        <v>2</v>
      </c>
      <c r="D25" s="16">
        <v>0</v>
      </c>
      <c r="E25" s="16">
        <v>0</v>
      </c>
      <c r="F25" s="16">
        <v>0</v>
      </c>
      <c r="G25" s="14">
        <f>(C25*1000*AVERAGE(D25:F25))/$B$2</f>
        <v>0</v>
      </c>
      <c r="H25" s="17">
        <f>(C25*1000*STDEV(D25:F25))/$B$2</f>
        <v>0</v>
      </c>
    </row>
    <row r="26" spans="1:8">
      <c r="A26" s="49">
        <v>18</v>
      </c>
      <c r="B26" s="69">
        <v>72</v>
      </c>
      <c r="C26" s="48">
        <v>2</v>
      </c>
      <c r="D26" s="16">
        <v>0</v>
      </c>
      <c r="E26" s="16">
        <v>0</v>
      </c>
      <c r="F26" s="16">
        <v>0</v>
      </c>
      <c r="G26" s="14">
        <f>(C26*1000*AVERAGE(D26:F26))/$B$2</f>
        <v>0</v>
      </c>
      <c r="H26" s="17">
        <f>(C26*1000*STDEV(D26:F26))/$B$2</f>
        <v>0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7" sqref="B7:B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9" t="s">
        <v>35</v>
      </c>
      <c r="B1" s="19" t="s">
        <v>60</v>
      </c>
    </row>
    <row r="2" spans="1:8">
      <c r="A2" s="19" t="s">
        <v>43</v>
      </c>
      <c r="B2" s="15">
        <v>46.07</v>
      </c>
    </row>
    <row r="4" spans="1:8">
      <c r="A4" s="106" t="s">
        <v>43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0" t="s">
        <v>4</v>
      </c>
      <c r="B6" s="20" t="s">
        <v>59</v>
      </c>
      <c r="C6" s="20" t="s">
        <v>19</v>
      </c>
      <c r="D6" s="111"/>
      <c r="E6" s="111"/>
      <c r="F6" s="111"/>
      <c r="G6" s="113"/>
      <c r="H6" s="113"/>
    </row>
    <row r="7" spans="1:8">
      <c r="A7" s="47" t="s">
        <v>6</v>
      </c>
      <c r="B7" s="59">
        <v>0</v>
      </c>
      <c r="C7" s="48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49">
        <v>0</v>
      </c>
      <c r="B8" s="69">
        <v>0</v>
      </c>
      <c r="C8" s="48">
        <v>2</v>
      </c>
      <c r="D8" s="16">
        <v>0</v>
      </c>
      <c r="E8" s="16">
        <v>0</v>
      </c>
      <c r="F8" s="16">
        <v>0</v>
      </c>
      <c r="G8" s="14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49">
        <v>1</v>
      </c>
      <c r="B9" s="69">
        <v>2</v>
      </c>
      <c r="C9" s="48">
        <v>2</v>
      </c>
      <c r="D9" s="16">
        <v>0</v>
      </c>
      <c r="E9" s="16">
        <v>0</v>
      </c>
      <c r="F9" s="16">
        <v>0</v>
      </c>
      <c r="G9" s="14">
        <f t="shared" si="0"/>
        <v>0</v>
      </c>
      <c r="H9" s="17">
        <f t="shared" si="1"/>
        <v>0</v>
      </c>
    </row>
    <row r="10" spans="1:8">
      <c r="A10" s="49">
        <v>2</v>
      </c>
      <c r="B10" s="69">
        <v>3</v>
      </c>
      <c r="C10" s="48">
        <v>2</v>
      </c>
      <c r="D10" s="16">
        <v>0</v>
      </c>
      <c r="E10" s="16">
        <v>0</v>
      </c>
      <c r="F10" s="16">
        <v>0</v>
      </c>
      <c r="G10" s="14">
        <f t="shared" si="0"/>
        <v>0</v>
      </c>
      <c r="H10" s="17">
        <f t="shared" si="1"/>
        <v>0</v>
      </c>
    </row>
    <row r="11" spans="1:8">
      <c r="A11" s="49">
        <v>3</v>
      </c>
      <c r="B11" s="69">
        <v>5</v>
      </c>
      <c r="C11" s="48">
        <v>2</v>
      </c>
      <c r="D11" s="16">
        <v>0</v>
      </c>
      <c r="E11" s="16">
        <v>0</v>
      </c>
      <c r="F11" s="16">
        <v>0</v>
      </c>
      <c r="G11" s="14">
        <f t="shared" si="0"/>
        <v>0</v>
      </c>
      <c r="H11" s="17">
        <f t="shared" si="1"/>
        <v>0</v>
      </c>
    </row>
    <row r="12" spans="1:8">
      <c r="A12" s="49">
        <v>4</v>
      </c>
      <c r="B12" s="69">
        <v>6</v>
      </c>
      <c r="C12" s="48">
        <v>2</v>
      </c>
      <c r="D12" s="16">
        <v>0</v>
      </c>
      <c r="E12" s="16">
        <v>0</v>
      </c>
      <c r="F12" s="16">
        <v>0</v>
      </c>
      <c r="G12" s="14">
        <f t="shared" si="0"/>
        <v>0</v>
      </c>
      <c r="H12" s="17">
        <f t="shared" si="1"/>
        <v>0</v>
      </c>
    </row>
    <row r="13" spans="1:8">
      <c r="A13" s="49">
        <v>5</v>
      </c>
      <c r="B13" s="69">
        <v>7</v>
      </c>
      <c r="C13" s="48">
        <v>2</v>
      </c>
      <c r="D13" s="16">
        <v>0</v>
      </c>
      <c r="E13" s="16">
        <v>0</v>
      </c>
      <c r="F13" s="16">
        <v>0</v>
      </c>
      <c r="G13" s="14">
        <f t="shared" si="0"/>
        <v>0</v>
      </c>
      <c r="H13" s="17">
        <f t="shared" si="1"/>
        <v>0</v>
      </c>
    </row>
    <row r="14" spans="1:8">
      <c r="A14" s="49">
        <v>6</v>
      </c>
      <c r="B14" s="69">
        <v>9</v>
      </c>
      <c r="C14" s="48">
        <v>2</v>
      </c>
      <c r="D14" s="16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49">
        <v>7</v>
      </c>
      <c r="B15" s="69">
        <v>10</v>
      </c>
      <c r="C15" s="48">
        <v>2</v>
      </c>
      <c r="D15" s="16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49">
        <v>8</v>
      </c>
      <c r="B16" s="69">
        <v>11</v>
      </c>
      <c r="C16" s="48">
        <v>2</v>
      </c>
      <c r="D16" s="16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49">
        <v>9</v>
      </c>
      <c r="B17" s="69">
        <v>13</v>
      </c>
      <c r="C17" s="48">
        <v>2</v>
      </c>
      <c r="D17" s="16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49">
        <v>10</v>
      </c>
      <c r="B18" s="69">
        <v>14</v>
      </c>
      <c r="C18" s="48">
        <v>2</v>
      </c>
      <c r="D18" s="16">
        <v>0</v>
      </c>
      <c r="E18" s="16">
        <v>0</v>
      </c>
      <c r="F18" s="16">
        <v>0</v>
      </c>
      <c r="G18" s="14">
        <f t="shared" ref="G18:G23" si="2">(C18*1000*AVERAGE(D18:F18))/$B$2</f>
        <v>0</v>
      </c>
      <c r="H18" s="17">
        <f t="shared" ref="H18:H23" si="3">(C18*1000*STDEV(D18:F18))/$B$2</f>
        <v>0</v>
      </c>
    </row>
    <row r="19" spans="1:8">
      <c r="A19" s="49">
        <v>11</v>
      </c>
      <c r="B19" s="69">
        <v>15</v>
      </c>
      <c r="C19" s="48">
        <v>2</v>
      </c>
      <c r="D19" s="16">
        <v>0</v>
      </c>
      <c r="E19" s="16">
        <v>0</v>
      </c>
      <c r="F19" s="16">
        <v>0</v>
      </c>
      <c r="G19" s="14">
        <f t="shared" si="2"/>
        <v>0</v>
      </c>
      <c r="H19" s="17">
        <f t="shared" si="3"/>
        <v>0</v>
      </c>
    </row>
    <row r="20" spans="1:8">
      <c r="A20" s="49">
        <v>12</v>
      </c>
      <c r="B20" s="69">
        <v>17</v>
      </c>
      <c r="C20" s="48">
        <v>2</v>
      </c>
      <c r="D20" s="16">
        <v>0</v>
      </c>
      <c r="E20" s="16">
        <v>0</v>
      </c>
      <c r="F20" s="16">
        <v>0</v>
      </c>
      <c r="G20" s="14">
        <f t="shared" si="2"/>
        <v>0</v>
      </c>
      <c r="H20" s="17">
        <f t="shared" si="3"/>
        <v>0</v>
      </c>
    </row>
    <row r="21" spans="1:8">
      <c r="A21" s="49">
        <v>13</v>
      </c>
      <c r="B21" s="69">
        <v>18</v>
      </c>
      <c r="C21" s="48">
        <v>2</v>
      </c>
      <c r="D21" s="16">
        <v>0</v>
      </c>
      <c r="E21" s="16">
        <v>0</v>
      </c>
      <c r="F21" s="16">
        <v>0</v>
      </c>
      <c r="G21" s="14">
        <f t="shared" si="2"/>
        <v>0</v>
      </c>
      <c r="H21" s="17">
        <f t="shared" si="3"/>
        <v>0</v>
      </c>
    </row>
    <row r="22" spans="1:8">
      <c r="A22" s="49">
        <v>14</v>
      </c>
      <c r="B22" s="69">
        <v>24</v>
      </c>
      <c r="C22" s="48">
        <v>2</v>
      </c>
      <c r="D22" s="16">
        <v>0</v>
      </c>
      <c r="E22" s="16">
        <v>0</v>
      </c>
      <c r="F22" s="16">
        <v>0</v>
      </c>
      <c r="G22" s="14">
        <f t="shared" si="2"/>
        <v>0</v>
      </c>
      <c r="H22" s="17">
        <f t="shared" si="3"/>
        <v>0</v>
      </c>
    </row>
    <row r="23" spans="1:8">
      <c r="A23" s="49">
        <v>15</v>
      </c>
      <c r="B23" s="69">
        <v>30</v>
      </c>
      <c r="C23" s="48">
        <v>2</v>
      </c>
      <c r="D23" s="16">
        <v>0</v>
      </c>
      <c r="E23" s="16">
        <v>0</v>
      </c>
      <c r="F23" s="16">
        <v>0</v>
      </c>
      <c r="G23" s="14">
        <f t="shared" si="2"/>
        <v>0</v>
      </c>
      <c r="H23" s="17">
        <f t="shared" si="3"/>
        <v>0</v>
      </c>
    </row>
    <row r="24" spans="1:8">
      <c r="A24" s="49">
        <v>16</v>
      </c>
      <c r="B24" s="69">
        <v>48</v>
      </c>
      <c r="C24" s="48">
        <v>2</v>
      </c>
      <c r="D24" s="16">
        <v>0</v>
      </c>
      <c r="E24" s="16">
        <v>0</v>
      </c>
      <c r="F24" s="16">
        <v>0</v>
      </c>
      <c r="G24" s="14">
        <f>(C24*1000*AVERAGE(D24:F24))/$B$2</f>
        <v>0</v>
      </c>
      <c r="H24" s="17">
        <f>(C24*1000*STDEV(D24:F24))/$B$2</f>
        <v>0</v>
      </c>
    </row>
    <row r="25" spans="1:8">
      <c r="A25" s="49">
        <v>17</v>
      </c>
      <c r="B25" s="69">
        <v>54</v>
      </c>
      <c r="C25" s="48">
        <v>2</v>
      </c>
      <c r="D25" s="16">
        <v>0</v>
      </c>
      <c r="E25" s="16">
        <v>0</v>
      </c>
      <c r="F25" s="16">
        <v>0</v>
      </c>
      <c r="G25" s="14">
        <f>(C25*1000*AVERAGE(D25:F25))/$B$2</f>
        <v>0</v>
      </c>
      <c r="H25" s="17">
        <f>(C25*1000*STDEV(D25:F25))/$B$2</f>
        <v>0</v>
      </c>
    </row>
    <row r="26" spans="1:8">
      <c r="A26" s="49">
        <v>18</v>
      </c>
      <c r="B26" s="69">
        <v>72</v>
      </c>
      <c r="C26" s="48">
        <v>2</v>
      </c>
      <c r="D26" s="16">
        <v>0</v>
      </c>
      <c r="E26" s="16">
        <v>0</v>
      </c>
      <c r="F26" s="16">
        <v>0</v>
      </c>
      <c r="G26" s="14">
        <f>(C26*1000*AVERAGE(D26:F26))/$B$2</f>
        <v>0</v>
      </c>
      <c r="H26" s="17">
        <f>(C26*1000*STDEV(D26:F26))/$B$2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32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48.33203125" customWidth="1"/>
    <col min="3" max="3" width="9.1640625" bestFit="1" customWidth="1"/>
    <col min="4" max="4" width="10.1640625" bestFit="1" customWidth="1"/>
    <col min="9" max="9" width="15.33203125" customWidth="1"/>
  </cols>
  <sheetData>
    <row r="1" spans="1:9">
      <c r="B1" s="27" t="s">
        <v>77</v>
      </c>
      <c r="C1" s="27" t="s">
        <v>78</v>
      </c>
    </row>
    <row r="2" spans="1:9">
      <c r="A2" s="27" t="s">
        <v>131</v>
      </c>
      <c r="B2" s="83">
        <f>Metabolites!H4-Metabolites!H22</f>
        <v>0</v>
      </c>
      <c r="C2" s="83">
        <f>Metabolites!I4+Metabolites!I22</f>
        <v>0</v>
      </c>
    </row>
    <row r="3" spans="1:9">
      <c r="A3" s="27" t="s">
        <v>143</v>
      </c>
      <c r="B3" s="83">
        <f>Metabolites!P22-Metabolites!P4</f>
        <v>43.709734056800947</v>
      </c>
      <c r="C3" s="83">
        <f>Metabolites!Q4+Metabolites!Q22</f>
        <v>0.21144683326128583</v>
      </c>
    </row>
    <row r="4" spans="1:9">
      <c r="A4" s="27" t="s">
        <v>142</v>
      </c>
      <c r="B4" s="83">
        <f>Metabolites!T4-Metabolites!T22</f>
        <v>293.2555083187566</v>
      </c>
      <c r="C4" s="83">
        <f>Metabolites!U4+Metabolites!U22</f>
        <v>1.0131275823273636</v>
      </c>
    </row>
    <row r="5" spans="1:9">
      <c r="A5" s="27" t="s">
        <v>109</v>
      </c>
      <c r="B5" s="83">
        <f>Metabolites!L22-Metabolites!L4</f>
        <v>0</v>
      </c>
      <c r="C5" s="83">
        <f>Metabolites!M22+Metabolites!M4</f>
        <v>0</v>
      </c>
    </row>
    <row r="6" spans="1:9">
      <c r="A6" s="27" t="s">
        <v>110</v>
      </c>
      <c r="B6" s="83">
        <f>Metabolites!L46-Metabolites!L28</f>
        <v>0</v>
      </c>
      <c r="C6" s="83">
        <f>Metabolites!M46+Metabolites!M28</f>
        <v>0</v>
      </c>
    </row>
    <row r="7" spans="1:9">
      <c r="A7" s="27" t="s">
        <v>79</v>
      </c>
      <c r="B7" s="83">
        <f>'H2'!G149</f>
        <v>368.95856840899017</v>
      </c>
      <c r="C7" s="83"/>
    </row>
    <row r="8" spans="1:9">
      <c r="A8" s="27" t="s">
        <v>80</v>
      </c>
      <c r="B8" s="83">
        <f>'CO2'!G149</f>
        <v>240.37438459677128</v>
      </c>
      <c r="C8" s="83"/>
    </row>
    <row r="9" spans="1:9">
      <c r="A9" s="27" t="s">
        <v>112</v>
      </c>
      <c r="B9" s="83">
        <f xml:space="preserve"> Calculation!G19*1.5/1000</f>
        <v>0</v>
      </c>
      <c r="C9" s="83"/>
    </row>
    <row r="10" spans="1:9" ht="16">
      <c r="A10" s="27" t="s">
        <v>113</v>
      </c>
      <c r="B10" s="83">
        <f>Calculation!H19*1.5/1000</f>
        <v>0.03</v>
      </c>
      <c r="C10" s="83"/>
    </row>
    <row r="12" spans="1:9">
      <c r="A12" s="27" t="s">
        <v>81</v>
      </c>
      <c r="B12" s="84">
        <f>((4*$B$6)+(3*$B$5)+(B8)+(2*$B$3))/((6*$B$2)+($B$4))</f>
        <v>1.1177756032260946</v>
      </c>
    </row>
    <row r="13" spans="1:9">
      <c r="A13" s="27" t="s">
        <v>111</v>
      </c>
    </row>
    <row r="15" spans="1:9">
      <c r="A15" s="2"/>
      <c r="B15" s="2" t="s">
        <v>171</v>
      </c>
      <c r="C15" s="2"/>
      <c r="D15" s="2" t="s">
        <v>147</v>
      </c>
      <c r="E15" s="2"/>
      <c r="F15" s="2" t="s">
        <v>148</v>
      </c>
      <c r="G15" s="2" t="s">
        <v>149</v>
      </c>
      <c r="H15" s="2" t="s">
        <v>160</v>
      </c>
      <c r="I15" s="2" t="s">
        <v>163</v>
      </c>
    </row>
    <row r="16" spans="1:9">
      <c r="A16" s="2"/>
      <c r="B16" s="2" t="s">
        <v>150</v>
      </c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 t="s">
        <v>151</v>
      </c>
      <c r="E17" s="2"/>
      <c r="F17" s="2" t="s">
        <v>148</v>
      </c>
      <c r="G17" s="2" t="s">
        <v>152</v>
      </c>
      <c r="H17" s="2"/>
      <c r="I17" s="2"/>
    </row>
    <row r="18" spans="1:9">
      <c r="A18" s="2"/>
      <c r="B18" s="2"/>
      <c r="C18" s="2"/>
      <c r="D18" s="2" t="s">
        <v>153</v>
      </c>
      <c r="E18" s="2" t="s">
        <v>154</v>
      </c>
      <c r="F18" s="2" t="s">
        <v>148</v>
      </c>
      <c r="G18" s="2" t="s">
        <v>155</v>
      </c>
      <c r="H18" s="2" t="s">
        <v>161</v>
      </c>
      <c r="I18" s="2" t="s">
        <v>163</v>
      </c>
    </row>
    <row r="19" spans="1:9">
      <c r="A19" s="2"/>
      <c r="B19" s="2"/>
      <c r="C19" s="2"/>
      <c r="D19" s="2" t="s">
        <v>151</v>
      </c>
      <c r="E19" s="2" t="s">
        <v>156</v>
      </c>
      <c r="F19" s="2" t="s">
        <v>148</v>
      </c>
      <c r="G19" s="2" t="s">
        <v>155</v>
      </c>
      <c r="H19" s="2" t="s">
        <v>161</v>
      </c>
      <c r="I19" s="2" t="s">
        <v>164</v>
      </c>
    </row>
    <row r="20" spans="1:9">
      <c r="A20" s="2"/>
      <c r="B20" s="2" t="s">
        <v>170</v>
      </c>
      <c r="C20" s="2"/>
      <c r="D20" s="2" t="s">
        <v>157</v>
      </c>
      <c r="E20" s="2" t="s">
        <v>158</v>
      </c>
      <c r="F20" s="2" t="s">
        <v>148</v>
      </c>
      <c r="G20" s="2" t="s">
        <v>159</v>
      </c>
      <c r="H20" s="2" t="s">
        <v>162</v>
      </c>
      <c r="I20" s="2" t="s">
        <v>164</v>
      </c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t="s">
        <v>114</v>
      </c>
      <c r="F23" t="s">
        <v>115</v>
      </c>
      <c r="G23" s="2"/>
    </row>
    <row r="24" spans="1:9">
      <c r="A24" s="114" t="s">
        <v>145</v>
      </c>
      <c r="B24" s="114"/>
      <c r="C24" s="114"/>
      <c r="D24" s="2" t="s">
        <v>90</v>
      </c>
      <c r="F24" s="78">
        <f>B4</f>
        <v>293.2555083187566</v>
      </c>
      <c r="G24" s="2" t="s">
        <v>47</v>
      </c>
    </row>
    <row r="25" spans="1:9">
      <c r="A25" s="114" t="s">
        <v>146</v>
      </c>
      <c r="B25" s="114"/>
      <c r="C25" s="114"/>
      <c r="D25" s="2" t="s">
        <v>90</v>
      </c>
      <c r="F25" s="78">
        <f>B3</f>
        <v>43.709734056800947</v>
      </c>
      <c r="G25" s="2" t="s">
        <v>47</v>
      </c>
    </row>
    <row r="26" spans="1:9">
      <c r="A26" s="2" t="s">
        <v>165</v>
      </c>
      <c r="B26" s="2"/>
      <c r="C26" s="2"/>
      <c r="D26" s="78">
        <f>B4</f>
        <v>293.2555083187566</v>
      </c>
      <c r="E26" s="2" t="s">
        <v>47</v>
      </c>
      <c r="F26" t="s">
        <v>90</v>
      </c>
    </row>
    <row r="27" spans="1:9">
      <c r="A27" s="2" t="s">
        <v>166</v>
      </c>
      <c r="B27" s="2"/>
      <c r="C27" s="2"/>
      <c r="D27" s="78">
        <f>4*B3</f>
        <v>174.83893622720379</v>
      </c>
      <c r="E27" s="2" t="s">
        <v>47</v>
      </c>
    </row>
    <row r="28" spans="1:9">
      <c r="A28" s="2" t="s">
        <v>167</v>
      </c>
      <c r="D28" s="78">
        <f>2*B3</f>
        <v>87.419468113601894</v>
      </c>
      <c r="E28" s="79" t="s">
        <v>47</v>
      </c>
      <c r="F28" s="2"/>
      <c r="G28" s="2"/>
    </row>
    <row r="29" spans="1:9">
      <c r="B29" s="2"/>
      <c r="C29" s="2"/>
      <c r="D29" s="2"/>
      <c r="E29" s="2"/>
      <c r="F29" s="2"/>
      <c r="G29" s="2"/>
    </row>
    <row r="31" spans="1:9">
      <c r="A31" s="2" t="s">
        <v>168</v>
      </c>
      <c r="D31" s="28">
        <f>B4-D27</f>
        <v>118.41657209155281</v>
      </c>
      <c r="E31" s="2" t="s">
        <v>47</v>
      </c>
      <c r="F31" s="28">
        <f>B7</f>
        <v>368.95856840899017</v>
      </c>
      <c r="G31" s="2" t="s">
        <v>47</v>
      </c>
    </row>
    <row r="32" spans="1:9">
      <c r="A32" s="2" t="s">
        <v>169</v>
      </c>
      <c r="D32" s="28">
        <f>B4-D28</f>
        <v>205.83604020515469</v>
      </c>
      <c r="E32" s="79" t="s">
        <v>47</v>
      </c>
      <c r="F32" s="28">
        <f>B8</f>
        <v>240.37438459677128</v>
      </c>
      <c r="G32" s="79" t="s">
        <v>47</v>
      </c>
    </row>
  </sheetData>
  <mergeCells count="2">
    <mergeCell ref="A24:C24"/>
    <mergeCell ref="A25:C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3" sqref="D3:D22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92" t="s">
        <v>4</v>
      </c>
      <c r="B1" s="92" t="s">
        <v>103</v>
      </c>
      <c r="C1" s="92" t="s">
        <v>103</v>
      </c>
      <c r="D1" s="92" t="s">
        <v>5</v>
      </c>
      <c r="E1" s="3" t="s">
        <v>7</v>
      </c>
      <c r="F1" s="3" t="s">
        <v>9</v>
      </c>
      <c r="G1" s="94" t="s">
        <v>11</v>
      </c>
      <c r="H1" s="94" t="s">
        <v>12</v>
      </c>
      <c r="I1" s="3" t="s">
        <v>13</v>
      </c>
      <c r="J1" s="3" t="s">
        <v>16</v>
      </c>
      <c r="K1" s="3" t="s">
        <v>16</v>
      </c>
    </row>
    <row r="2" spans="1:11">
      <c r="A2" s="93"/>
      <c r="B2" s="93"/>
      <c r="C2" s="93"/>
      <c r="D2" s="93"/>
      <c r="E2" s="4" t="s">
        <v>8</v>
      </c>
      <c r="F2" s="4" t="s">
        <v>10</v>
      </c>
      <c r="G2" s="94"/>
      <c r="H2" s="94"/>
      <c r="I2" s="4" t="s">
        <v>14</v>
      </c>
      <c r="J2" s="4" t="s">
        <v>17</v>
      </c>
      <c r="K2" s="4" t="s">
        <v>133</v>
      </c>
    </row>
    <row r="3" spans="1:11">
      <c r="A3" s="30" t="s">
        <v>6</v>
      </c>
      <c r="B3" s="47">
        <v>-10</v>
      </c>
      <c r="C3" s="48">
        <v>-10</v>
      </c>
      <c r="D3" s="59">
        <f>C3/60</f>
        <v>-0.16666666666666666</v>
      </c>
      <c r="E3" s="1">
        <v>50</v>
      </c>
      <c r="F3" s="29">
        <f>E3</f>
        <v>50</v>
      </c>
      <c r="G3" s="36">
        <v>0</v>
      </c>
      <c r="H3" s="1">
        <v>1</v>
      </c>
      <c r="I3" s="1">
        <f>F25+G3+H3</f>
        <v>1501</v>
      </c>
      <c r="J3" s="11">
        <f>E3*1500/I3</f>
        <v>49.966688874083943</v>
      </c>
      <c r="K3" s="11">
        <f>F26-J3</f>
        <v>1525.033311125916</v>
      </c>
    </row>
    <row r="4" spans="1:11">
      <c r="A4" s="1">
        <v>0</v>
      </c>
      <c r="B4" s="49">
        <v>10</v>
      </c>
      <c r="C4" s="50">
        <v>10</v>
      </c>
      <c r="D4" s="59">
        <f t="shared" ref="D4:D19" si="0">C4/60</f>
        <v>0.16666666666666666</v>
      </c>
      <c r="E4" s="1">
        <v>53</v>
      </c>
      <c r="F4" s="29">
        <f>E4+F3</f>
        <v>103</v>
      </c>
      <c r="G4" s="36">
        <v>0</v>
      </c>
      <c r="H4" s="36">
        <v>1</v>
      </c>
      <c r="I4" s="1">
        <f>$F$26-F3+G4+H4</f>
        <v>1526</v>
      </c>
      <c r="J4" s="11">
        <f>E4*K3/I4</f>
        <v>52.966425615775591</v>
      </c>
      <c r="K4" s="11">
        <f>K3-J4</f>
        <v>1472.0668855101405</v>
      </c>
    </row>
    <row r="5" spans="1:11">
      <c r="A5" s="1">
        <v>1</v>
      </c>
      <c r="B5" s="49">
        <v>110</v>
      </c>
      <c r="C5" s="50">
        <f>C4+B5</f>
        <v>120</v>
      </c>
      <c r="D5" s="59">
        <f t="shared" si="0"/>
        <v>2</v>
      </c>
      <c r="E5" s="36">
        <v>51</v>
      </c>
      <c r="F5" s="29">
        <f t="shared" ref="F5:F18" si="1">E5+F4</f>
        <v>154</v>
      </c>
      <c r="G5" s="36">
        <v>0</v>
      </c>
      <c r="H5" s="36">
        <v>1</v>
      </c>
      <c r="I5" s="36">
        <f t="shared" ref="I5:I21" si="2">$F$26-F4+G5+H5</f>
        <v>1473</v>
      </c>
      <c r="J5" s="11">
        <f t="shared" ref="J5:J21" si="3">E5*K4/I5</f>
        <v>50.967692573670853</v>
      </c>
      <c r="K5" s="11">
        <f>K4-J5</f>
        <v>1421.0991929364698</v>
      </c>
    </row>
    <row r="6" spans="1:11">
      <c r="A6" s="1">
        <v>2</v>
      </c>
      <c r="B6" s="49">
        <v>80</v>
      </c>
      <c r="C6" s="50">
        <f t="shared" ref="C6:C18" si="4">C5+B6</f>
        <v>200</v>
      </c>
      <c r="D6" s="59">
        <f t="shared" si="0"/>
        <v>3.3333333333333335</v>
      </c>
      <c r="E6" s="36">
        <v>45</v>
      </c>
      <c r="F6" s="29">
        <f t="shared" si="1"/>
        <v>199</v>
      </c>
      <c r="G6" s="36">
        <v>0</v>
      </c>
      <c r="H6" s="36">
        <v>1</v>
      </c>
      <c r="I6" s="36">
        <f t="shared" si="2"/>
        <v>1422</v>
      </c>
      <c r="J6" s="11">
        <f t="shared" si="3"/>
        <v>44.971493447356636</v>
      </c>
      <c r="K6" s="11">
        <f>K5-J6</f>
        <v>1376.1276994891132</v>
      </c>
    </row>
    <row r="7" spans="1:11">
      <c r="A7" s="1">
        <v>3</v>
      </c>
      <c r="B7" s="49">
        <v>80</v>
      </c>
      <c r="C7" s="50">
        <f>C6+B7</f>
        <v>280</v>
      </c>
      <c r="D7" s="59">
        <f t="shared" si="0"/>
        <v>4.666666666666667</v>
      </c>
      <c r="E7" s="36">
        <v>47</v>
      </c>
      <c r="F7" s="29">
        <f t="shared" si="1"/>
        <v>246</v>
      </c>
      <c r="G7" s="36">
        <v>0</v>
      </c>
      <c r="H7" s="36">
        <v>1</v>
      </c>
      <c r="I7" s="36">
        <f t="shared" si="2"/>
        <v>1377</v>
      </c>
      <c r="J7" s="11">
        <f t="shared" si="3"/>
        <v>46.970226489461375</v>
      </c>
      <c r="K7" s="11">
        <f t="shared" ref="K7:K17" si="5">K6-J7</f>
        <v>1329.1574729996519</v>
      </c>
    </row>
    <row r="8" spans="1:11">
      <c r="A8" s="1">
        <v>4</v>
      </c>
      <c r="B8" s="49">
        <v>80</v>
      </c>
      <c r="C8" s="50">
        <f t="shared" si="4"/>
        <v>360</v>
      </c>
      <c r="D8" s="59">
        <f t="shared" si="0"/>
        <v>6</v>
      </c>
      <c r="E8" s="36">
        <v>43</v>
      </c>
      <c r="F8" s="29">
        <f t="shared" si="1"/>
        <v>289</v>
      </c>
      <c r="G8" s="36">
        <v>0</v>
      </c>
      <c r="H8" s="36">
        <v>1</v>
      </c>
      <c r="I8" s="36">
        <f t="shared" si="2"/>
        <v>1330</v>
      </c>
      <c r="J8" s="11">
        <f t="shared" si="3"/>
        <v>42.972760405251904</v>
      </c>
      <c r="K8" s="11">
        <f t="shared" si="5"/>
        <v>1286.1847125944</v>
      </c>
    </row>
    <row r="9" spans="1:11">
      <c r="A9" s="1">
        <v>5</v>
      </c>
      <c r="B9" s="49">
        <v>80</v>
      </c>
      <c r="C9" s="50">
        <f t="shared" si="4"/>
        <v>440</v>
      </c>
      <c r="D9" s="59">
        <f t="shared" si="0"/>
        <v>7.333333333333333</v>
      </c>
      <c r="E9" s="36">
        <v>45</v>
      </c>
      <c r="F9" s="29">
        <f>E9+F8</f>
        <v>334</v>
      </c>
      <c r="G9" s="36">
        <v>0</v>
      </c>
      <c r="H9" s="36">
        <v>1</v>
      </c>
      <c r="I9" s="36">
        <f t="shared" si="2"/>
        <v>1287</v>
      </c>
      <c r="J9" s="11">
        <f t="shared" si="3"/>
        <v>44.971493447356643</v>
      </c>
      <c r="K9" s="11">
        <f>K8-J9</f>
        <v>1241.2132191470434</v>
      </c>
    </row>
    <row r="10" spans="1:11">
      <c r="A10" s="1">
        <v>6</v>
      </c>
      <c r="B10" s="49">
        <v>95</v>
      </c>
      <c r="C10" s="50">
        <f t="shared" si="4"/>
        <v>535</v>
      </c>
      <c r="D10" s="59">
        <f t="shared" si="0"/>
        <v>8.9166666666666661</v>
      </c>
      <c r="E10" s="36">
        <v>57</v>
      </c>
      <c r="F10" s="29">
        <f t="shared" si="1"/>
        <v>391</v>
      </c>
      <c r="G10" s="36">
        <v>0</v>
      </c>
      <c r="H10" s="36">
        <v>1</v>
      </c>
      <c r="I10" s="36">
        <f t="shared" si="2"/>
        <v>1242</v>
      </c>
      <c r="J10" s="11">
        <f t="shared" si="3"/>
        <v>56.963891699985091</v>
      </c>
      <c r="K10" s="11">
        <f>K9-J10</f>
        <v>1184.2493274470582</v>
      </c>
    </row>
    <row r="11" spans="1:11">
      <c r="A11" s="1">
        <v>7</v>
      </c>
      <c r="B11" s="49">
        <v>85</v>
      </c>
      <c r="C11" s="50">
        <f t="shared" si="4"/>
        <v>620</v>
      </c>
      <c r="D11" s="59">
        <f t="shared" si="0"/>
        <v>10.333333333333334</v>
      </c>
      <c r="E11" s="36">
        <v>51</v>
      </c>
      <c r="F11" s="29">
        <f t="shared" si="1"/>
        <v>442</v>
      </c>
      <c r="G11" s="36">
        <v>0</v>
      </c>
      <c r="H11" s="36">
        <v>1</v>
      </c>
      <c r="I11" s="36">
        <f t="shared" si="2"/>
        <v>1185</v>
      </c>
      <c r="J11" s="11">
        <f t="shared" si="3"/>
        <v>50.96769257367086</v>
      </c>
      <c r="K11" s="11">
        <f t="shared" si="5"/>
        <v>1133.2816348733875</v>
      </c>
    </row>
    <row r="12" spans="1:11">
      <c r="A12" s="1">
        <v>8</v>
      </c>
      <c r="B12" s="49">
        <v>60</v>
      </c>
      <c r="C12" s="50">
        <f t="shared" si="4"/>
        <v>680</v>
      </c>
      <c r="D12" s="59">
        <f t="shared" si="0"/>
        <v>11.333333333333334</v>
      </c>
      <c r="E12" s="36">
        <v>44</v>
      </c>
      <c r="F12" s="29">
        <f t="shared" si="1"/>
        <v>486</v>
      </c>
      <c r="G12" s="36">
        <v>0</v>
      </c>
      <c r="H12" s="36">
        <v>2</v>
      </c>
      <c r="I12" s="36">
        <f t="shared" si="2"/>
        <v>1135</v>
      </c>
      <c r="J12" s="11">
        <f t="shared" si="3"/>
        <v>43.933384964254671</v>
      </c>
      <c r="K12" s="11">
        <f t="shared" si="5"/>
        <v>1089.3482499091328</v>
      </c>
    </row>
    <row r="13" spans="1:11">
      <c r="A13" s="1">
        <v>9</v>
      </c>
      <c r="B13" s="49">
        <v>80</v>
      </c>
      <c r="C13" s="50">
        <f t="shared" si="4"/>
        <v>760</v>
      </c>
      <c r="D13" s="59">
        <f t="shared" si="0"/>
        <v>12.666666666666666</v>
      </c>
      <c r="E13" s="36">
        <v>43</v>
      </c>
      <c r="F13" s="29">
        <f t="shared" si="1"/>
        <v>529</v>
      </c>
      <c r="G13" s="36">
        <v>0</v>
      </c>
      <c r="H13" s="36">
        <v>2</v>
      </c>
      <c r="I13" s="36">
        <f t="shared" si="2"/>
        <v>1091</v>
      </c>
      <c r="J13" s="11">
        <f t="shared" si="3"/>
        <v>42.934898942339792</v>
      </c>
      <c r="K13" s="11">
        <f t="shared" si="5"/>
        <v>1046.4133509667931</v>
      </c>
    </row>
    <row r="14" spans="1:11">
      <c r="A14" s="33">
        <v>10</v>
      </c>
      <c r="B14" s="49">
        <v>80</v>
      </c>
      <c r="C14" s="50">
        <f t="shared" si="4"/>
        <v>840</v>
      </c>
      <c r="D14" s="59">
        <f t="shared" si="0"/>
        <v>14</v>
      </c>
      <c r="E14" s="36">
        <v>40</v>
      </c>
      <c r="F14" s="29">
        <f t="shared" si="1"/>
        <v>569</v>
      </c>
      <c r="G14" s="36">
        <v>0</v>
      </c>
      <c r="H14" s="36">
        <v>2</v>
      </c>
      <c r="I14" s="36">
        <f t="shared" si="2"/>
        <v>1048</v>
      </c>
      <c r="J14" s="11">
        <f t="shared" si="3"/>
        <v>39.939440876595164</v>
      </c>
      <c r="K14" s="11">
        <f t="shared" si="5"/>
        <v>1006.4739100901979</v>
      </c>
    </row>
    <row r="15" spans="1:11">
      <c r="A15" s="33">
        <v>11</v>
      </c>
      <c r="B15" s="49">
        <v>80</v>
      </c>
      <c r="C15" s="50">
        <f t="shared" si="4"/>
        <v>920</v>
      </c>
      <c r="D15" s="59">
        <f t="shared" si="0"/>
        <v>15.333333333333334</v>
      </c>
      <c r="E15" s="36">
        <v>48</v>
      </c>
      <c r="F15" s="29">
        <f t="shared" si="1"/>
        <v>617</v>
      </c>
      <c r="G15" s="36">
        <v>0</v>
      </c>
      <c r="H15" s="36">
        <v>3</v>
      </c>
      <c r="I15" s="36">
        <f t="shared" si="2"/>
        <v>1009</v>
      </c>
      <c r="J15" s="11">
        <f t="shared" si="3"/>
        <v>47.879829221337467</v>
      </c>
      <c r="K15" s="11">
        <f t="shared" si="5"/>
        <v>958.59408086886049</v>
      </c>
    </row>
    <row r="16" spans="1:11">
      <c r="A16" s="33">
        <v>12</v>
      </c>
      <c r="B16" s="49">
        <v>80</v>
      </c>
      <c r="C16" s="50">
        <f t="shared" si="4"/>
        <v>1000</v>
      </c>
      <c r="D16" s="59">
        <f t="shared" si="0"/>
        <v>16.666666666666668</v>
      </c>
      <c r="E16" s="36">
        <v>47</v>
      </c>
      <c r="F16" s="29">
        <f t="shared" si="1"/>
        <v>664</v>
      </c>
      <c r="G16" s="36">
        <v>0</v>
      </c>
      <c r="H16" s="36">
        <v>3</v>
      </c>
      <c r="I16" s="36">
        <f t="shared" si="2"/>
        <v>961</v>
      </c>
      <c r="J16" s="11">
        <f t="shared" si="3"/>
        <v>46.882332779226267</v>
      </c>
      <c r="K16" s="11">
        <f t="shared" si="5"/>
        <v>911.71174808963417</v>
      </c>
    </row>
    <row r="17" spans="1:11">
      <c r="A17" s="33">
        <v>13</v>
      </c>
      <c r="B17" s="49">
        <v>80</v>
      </c>
      <c r="C17" s="50">
        <f t="shared" si="4"/>
        <v>1080</v>
      </c>
      <c r="D17" s="59">
        <f t="shared" si="0"/>
        <v>18</v>
      </c>
      <c r="E17" s="36">
        <v>47</v>
      </c>
      <c r="F17" s="29">
        <f t="shared" si="1"/>
        <v>711</v>
      </c>
      <c r="G17" s="36">
        <v>0</v>
      </c>
      <c r="H17" s="36">
        <v>3</v>
      </c>
      <c r="I17" s="36">
        <f t="shared" si="2"/>
        <v>914</v>
      </c>
      <c r="J17" s="11">
        <f t="shared" si="3"/>
        <v>46.882332779226267</v>
      </c>
      <c r="K17" s="11">
        <f t="shared" si="5"/>
        <v>864.82941531040785</v>
      </c>
    </row>
    <row r="18" spans="1:11">
      <c r="A18" s="33">
        <v>14</v>
      </c>
      <c r="B18" s="49">
        <v>360</v>
      </c>
      <c r="C18" s="50">
        <f t="shared" si="4"/>
        <v>1440</v>
      </c>
      <c r="D18" s="59">
        <f t="shared" si="0"/>
        <v>24</v>
      </c>
      <c r="E18" s="36">
        <v>52</v>
      </c>
      <c r="F18" s="29">
        <f t="shared" si="1"/>
        <v>763</v>
      </c>
      <c r="G18" s="36">
        <v>0</v>
      </c>
      <c r="H18" s="36">
        <v>9</v>
      </c>
      <c r="I18" s="36">
        <f t="shared" si="2"/>
        <v>873</v>
      </c>
      <c r="J18" s="11">
        <f t="shared" si="3"/>
        <v>51.513321415969315</v>
      </c>
      <c r="K18" s="11">
        <f>K17-J18</f>
        <v>813.3160938944385</v>
      </c>
    </row>
    <row r="19" spans="1:11">
      <c r="A19" s="33">
        <v>15</v>
      </c>
      <c r="B19" s="49">
        <v>355</v>
      </c>
      <c r="C19" s="50">
        <f>C18+B19</f>
        <v>1795</v>
      </c>
      <c r="D19" s="59">
        <f t="shared" si="0"/>
        <v>29.916666666666668</v>
      </c>
      <c r="E19" s="36">
        <v>52</v>
      </c>
      <c r="F19" s="29">
        <f>E19+F18</f>
        <v>815</v>
      </c>
      <c r="G19" s="36">
        <v>0</v>
      </c>
      <c r="H19" s="36">
        <v>20</v>
      </c>
      <c r="I19" s="36">
        <f t="shared" si="2"/>
        <v>832</v>
      </c>
      <c r="J19" s="11">
        <f t="shared" si="3"/>
        <v>50.832255868402406</v>
      </c>
      <c r="K19" s="11">
        <f>K18-J19</f>
        <v>762.4838380260361</v>
      </c>
    </row>
    <row r="20" spans="1:11">
      <c r="A20" s="36">
        <v>16</v>
      </c>
      <c r="B20" s="49">
        <v>1085</v>
      </c>
      <c r="C20" s="50">
        <f>C19+B20</f>
        <v>2880</v>
      </c>
      <c r="D20" s="59">
        <f>C20/60</f>
        <v>48</v>
      </c>
      <c r="E20" s="36">
        <v>45</v>
      </c>
      <c r="F20" s="29">
        <f>E20+F19</f>
        <v>860</v>
      </c>
      <c r="G20" s="36">
        <v>0</v>
      </c>
      <c r="H20" s="36">
        <v>57</v>
      </c>
      <c r="I20" s="36">
        <f t="shared" si="2"/>
        <v>817</v>
      </c>
      <c r="J20" s="11">
        <f t="shared" si="3"/>
        <v>41.997273820283503</v>
      </c>
      <c r="K20" s="11">
        <f>K19-J20</f>
        <v>720.48656420575264</v>
      </c>
    </row>
    <row r="21" spans="1:11">
      <c r="A21" s="36">
        <v>17</v>
      </c>
      <c r="B21" s="49">
        <v>360</v>
      </c>
      <c r="C21" s="50">
        <f>C20+B21</f>
        <v>3240</v>
      </c>
      <c r="D21" s="59">
        <f>C21/60</f>
        <v>54</v>
      </c>
      <c r="E21" s="36">
        <v>37</v>
      </c>
      <c r="F21" s="29">
        <f>E21+F20</f>
        <v>897</v>
      </c>
      <c r="G21" s="36">
        <v>0</v>
      </c>
      <c r="H21" s="36">
        <v>68</v>
      </c>
      <c r="I21" s="36">
        <f t="shared" si="2"/>
        <v>783</v>
      </c>
      <c r="J21" s="11">
        <f t="shared" si="3"/>
        <v>34.045980684052168</v>
      </c>
      <c r="K21" s="11">
        <f>K20-J21</f>
        <v>686.44058352170043</v>
      </c>
    </row>
    <row r="22" spans="1:11">
      <c r="A22" s="36">
        <v>18</v>
      </c>
      <c r="B22" s="49">
        <v>1080</v>
      </c>
      <c r="C22" s="50">
        <f>C21+B22</f>
        <v>4320</v>
      </c>
      <c r="D22" s="59">
        <f>C22/60</f>
        <v>72</v>
      </c>
      <c r="E22" s="36">
        <v>60</v>
      </c>
      <c r="F22" s="29">
        <f>E22+F21</f>
        <v>957</v>
      </c>
      <c r="G22" s="36">
        <v>0</v>
      </c>
      <c r="H22" s="36">
        <v>83</v>
      </c>
      <c r="I22" s="36">
        <f>$F$26-F21+G22+H22</f>
        <v>761</v>
      </c>
      <c r="J22" s="11">
        <f>E22*K21/I22</f>
        <v>54.121465192249708</v>
      </c>
      <c r="K22" s="11">
        <f>K21-J22</f>
        <v>632.3191183294507</v>
      </c>
    </row>
    <row r="23" spans="1:11">
      <c r="A23" s="8"/>
      <c r="B23" s="67"/>
      <c r="C23" s="67"/>
      <c r="D23" s="60"/>
      <c r="E23" s="8"/>
      <c r="F23" s="8"/>
      <c r="G23" s="8"/>
      <c r="H23" s="8"/>
      <c r="I23" s="8"/>
      <c r="J23" s="68"/>
      <c r="K23" s="68"/>
    </row>
    <row r="25" spans="1:11">
      <c r="A25" s="95" t="s">
        <v>15</v>
      </c>
      <c r="B25" s="86"/>
      <c r="C25" s="86"/>
      <c r="D25" s="86"/>
      <c r="E25" s="96"/>
      <c r="F25" s="1">
        <v>1500</v>
      </c>
    </row>
    <row r="26" spans="1:11">
      <c r="A26" s="89" t="s">
        <v>134</v>
      </c>
      <c r="B26" s="90"/>
      <c r="C26" s="90"/>
      <c r="D26" s="90"/>
      <c r="E26" s="91"/>
      <c r="F26" s="48">
        <v>1575</v>
      </c>
    </row>
  </sheetData>
  <mergeCells count="8">
    <mergeCell ref="A26:E26"/>
    <mergeCell ref="A1:A2"/>
    <mergeCell ref="D1:D2"/>
    <mergeCell ref="G1:G2"/>
    <mergeCell ref="H1:H2"/>
    <mergeCell ref="A25:E25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Q20" sqref="Q20:S22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92" t="s">
        <v>4</v>
      </c>
      <c r="B1" s="92" t="s">
        <v>103</v>
      </c>
      <c r="C1" s="92" t="s">
        <v>103</v>
      </c>
      <c r="D1" s="92" t="s">
        <v>5</v>
      </c>
      <c r="E1" s="88" t="s">
        <v>18</v>
      </c>
      <c r="F1" s="88"/>
      <c r="G1" s="88"/>
      <c r="H1" s="88"/>
      <c r="I1" s="88" t="s">
        <v>20</v>
      </c>
      <c r="J1" s="88"/>
      <c r="K1" s="88"/>
      <c r="L1" s="88"/>
      <c r="M1" s="88" t="s">
        <v>21</v>
      </c>
      <c r="N1" s="88"/>
      <c r="O1" s="88"/>
      <c r="P1" s="88"/>
      <c r="Q1" s="34" t="s">
        <v>22</v>
      </c>
      <c r="R1" s="34" t="s">
        <v>22</v>
      </c>
      <c r="S1" s="34" t="s">
        <v>22</v>
      </c>
    </row>
    <row r="2" spans="1:19">
      <c r="A2" s="93"/>
      <c r="B2" s="93"/>
      <c r="C2" s="93"/>
      <c r="D2" s="93"/>
      <c r="E2" s="37" t="s">
        <v>19</v>
      </c>
      <c r="F2" s="37" t="s">
        <v>67</v>
      </c>
      <c r="G2" s="37" t="s">
        <v>104</v>
      </c>
      <c r="H2" s="37" t="s">
        <v>69</v>
      </c>
      <c r="I2" s="37" t="s">
        <v>19</v>
      </c>
      <c r="J2" s="37" t="s">
        <v>67</v>
      </c>
      <c r="K2" s="37" t="s">
        <v>68</v>
      </c>
      <c r="L2" s="37" t="s">
        <v>69</v>
      </c>
      <c r="M2" s="37" t="s">
        <v>19</v>
      </c>
      <c r="N2" s="37" t="s">
        <v>67</v>
      </c>
      <c r="O2" s="37" t="s">
        <v>68</v>
      </c>
      <c r="P2" s="37" t="s">
        <v>70</v>
      </c>
      <c r="Q2" s="35" t="s">
        <v>69</v>
      </c>
      <c r="R2" s="35" t="s">
        <v>23</v>
      </c>
      <c r="S2" s="35" t="s">
        <v>71</v>
      </c>
    </row>
    <row r="3" spans="1:19" s="5" customFormat="1">
      <c r="A3" s="36" t="s">
        <v>6</v>
      </c>
      <c r="B3" s="47">
        <v>-10</v>
      </c>
      <c r="C3" s="48">
        <v>-10</v>
      </c>
      <c r="D3" s="59">
        <f>C3/60</f>
        <v>-0.16666666666666666</v>
      </c>
      <c r="Q3" s="97"/>
      <c r="R3" s="98"/>
      <c r="S3" s="99"/>
    </row>
    <row r="4" spans="1:19">
      <c r="A4" s="36">
        <v>0</v>
      </c>
      <c r="B4" s="49">
        <v>10</v>
      </c>
      <c r="C4" s="50">
        <v>10</v>
      </c>
      <c r="D4" s="59">
        <f t="shared" ref="D4:D19" si="0">C4/60</f>
        <v>0.16666666666666666</v>
      </c>
      <c r="Q4" s="40" t="e">
        <f>AVERAGE('Flow cytometer'!P4,'Flow cytometer'!L4,'Flow cytometer'!H4)*Calculation!K4/Calculation!M3</f>
        <v>#DIV/0!</v>
      </c>
      <c r="R4" s="40" t="e">
        <f>STDEV('Flow cytometer'!P4,'Flow cytometer'!L4,'Flow cytometer'!H4)*Calculation!K4/Calculation!M3</f>
        <v>#DIV/0!</v>
      </c>
      <c r="S4" s="41" t="e">
        <f t="shared" ref="S4:S19" si="1">LOG(Q4)</f>
        <v>#DIV/0!</v>
      </c>
    </row>
    <row r="5" spans="1:19">
      <c r="A5" s="36">
        <v>1</v>
      </c>
      <c r="B5" s="49">
        <v>110</v>
      </c>
      <c r="C5" s="50">
        <f>C4+B5</f>
        <v>120</v>
      </c>
      <c r="D5" s="59">
        <f t="shared" si="0"/>
        <v>2</v>
      </c>
      <c r="Q5" s="40" t="e">
        <f>AVERAGE('Flow cytometer'!P5,'Flow cytometer'!L5,'Flow cytometer'!H5)*Calculation!K5/Calculation!M4</f>
        <v>#DIV/0!</v>
      </c>
      <c r="R5" s="40" t="e">
        <f>STDEV('Flow cytometer'!P5,'Flow cytometer'!L5,'Flow cytometer'!H5)*Calculation!K5/Calculation!M4</f>
        <v>#DIV/0!</v>
      </c>
      <c r="S5" s="41" t="e">
        <f t="shared" si="1"/>
        <v>#DIV/0!</v>
      </c>
    </row>
    <row r="6" spans="1:19">
      <c r="A6" s="36">
        <v>2</v>
      </c>
      <c r="B6" s="49">
        <v>80</v>
      </c>
      <c r="C6" s="50">
        <f t="shared" ref="C6:C18" si="2">C5+B6</f>
        <v>200</v>
      </c>
      <c r="D6" s="59">
        <f t="shared" si="0"/>
        <v>3.3333333333333335</v>
      </c>
      <c r="Q6" s="40" t="e">
        <f>AVERAGE('Flow cytometer'!P6,'Flow cytometer'!L6,'Flow cytometer'!H6)*Calculation!K6/Calculation!M5</f>
        <v>#DIV/0!</v>
      </c>
      <c r="R6" s="40" t="e">
        <f>STDEV('Flow cytometer'!P6,'Flow cytometer'!L6,'Flow cytometer'!H6)*Calculation!K6/Calculation!M5</f>
        <v>#DIV/0!</v>
      </c>
      <c r="S6" s="41" t="e">
        <f t="shared" si="1"/>
        <v>#DIV/0!</v>
      </c>
    </row>
    <row r="7" spans="1:19">
      <c r="A7" s="36">
        <v>3</v>
      </c>
      <c r="B7" s="49">
        <v>80</v>
      </c>
      <c r="C7" s="50">
        <f>C6+B7</f>
        <v>280</v>
      </c>
      <c r="D7" s="59">
        <f t="shared" si="0"/>
        <v>4.666666666666667</v>
      </c>
      <c r="Q7" s="40" t="e">
        <f>AVERAGE('Flow cytometer'!P7,'Flow cytometer'!L7,'Flow cytometer'!H7)*Calculation!K7/Calculation!M6</f>
        <v>#DIV/0!</v>
      </c>
      <c r="R7" s="40" t="e">
        <f>STDEV('Flow cytometer'!P7,'Flow cytometer'!L7,'Flow cytometer'!H7)*Calculation!K7/Calculation!M6</f>
        <v>#DIV/0!</v>
      </c>
      <c r="S7" s="41" t="e">
        <f t="shared" si="1"/>
        <v>#DIV/0!</v>
      </c>
    </row>
    <row r="8" spans="1:19">
      <c r="A8" s="36">
        <v>4</v>
      </c>
      <c r="B8" s="49">
        <v>80</v>
      </c>
      <c r="C8" s="50">
        <f t="shared" si="2"/>
        <v>360</v>
      </c>
      <c r="D8" s="59">
        <f t="shared" si="0"/>
        <v>6</v>
      </c>
      <c r="Q8" s="40" t="e">
        <f>AVERAGE('Flow cytometer'!P8,'Flow cytometer'!L8,'Flow cytometer'!H8)*Calculation!K8/Calculation!M7</f>
        <v>#DIV/0!</v>
      </c>
      <c r="R8" s="40" t="e">
        <f>STDEV('Flow cytometer'!P8,'Flow cytometer'!L8,'Flow cytometer'!H8)*Calculation!K8/Calculation!M7</f>
        <v>#DIV/0!</v>
      </c>
      <c r="S8" s="41" t="e">
        <f t="shared" si="1"/>
        <v>#DIV/0!</v>
      </c>
    </row>
    <row r="9" spans="1:19">
      <c r="A9" s="36">
        <v>5</v>
      </c>
      <c r="B9" s="49">
        <v>80</v>
      </c>
      <c r="C9" s="50">
        <f t="shared" si="2"/>
        <v>440</v>
      </c>
      <c r="D9" s="59">
        <f t="shared" si="0"/>
        <v>7.333333333333333</v>
      </c>
      <c r="Q9" s="40" t="e">
        <f>AVERAGE('Flow cytometer'!P9,'Flow cytometer'!L9,'Flow cytometer'!H9)*Calculation!K9/Calculation!M8</f>
        <v>#DIV/0!</v>
      </c>
      <c r="R9" s="40" t="e">
        <f>STDEV('Flow cytometer'!P9,'Flow cytometer'!L9,'Flow cytometer'!H9)*Calculation!K9/Calculation!M8</f>
        <v>#DIV/0!</v>
      </c>
      <c r="S9" s="41" t="e">
        <f t="shared" si="1"/>
        <v>#DIV/0!</v>
      </c>
    </row>
    <row r="10" spans="1:19">
      <c r="A10" s="36">
        <v>6</v>
      </c>
      <c r="B10" s="49">
        <v>95</v>
      </c>
      <c r="C10" s="50">
        <f t="shared" si="2"/>
        <v>535</v>
      </c>
      <c r="D10" s="59">
        <f t="shared" si="0"/>
        <v>8.9166666666666661</v>
      </c>
      <c r="Q10" s="40" t="e">
        <f>AVERAGE('Flow cytometer'!P10,'Flow cytometer'!L10,'Flow cytometer'!H10)*Calculation!K10/Calculation!M9</f>
        <v>#DIV/0!</v>
      </c>
      <c r="R10" s="40" t="e">
        <f>STDEV('Flow cytometer'!P10,'Flow cytometer'!L10,'Flow cytometer'!H10)*Calculation!K10/Calculation!M9</f>
        <v>#DIV/0!</v>
      </c>
      <c r="S10" s="41" t="e">
        <f t="shared" si="1"/>
        <v>#DIV/0!</v>
      </c>
    </row>
    <row r="11" spans="1:19">
      <c r="A11" s="36">
        <v>7</v>
      </c>
      <c r="B11" s="49">
        <v>85</v>
      </c>
      <c r="C11" s="50">
        <f t="shared" si="2"/>
        <v>620</v>
      </c>
      <c r="D11" s="59">
        <f t="shared" si="0"/>
        <v>10.333333333333334</v>
      </c>
      <c r="Q11" s="40" t="e">
        <f>AVERAGE('Flow cytometer'!P11,'Flow cytometer'!L11,'Flow cytometer'!H11)*Calculation!K11/Calculation!M10</f>
        <v>#DIV/0!</v>
      </c>
      <c r="R11" s="40" t="e">
        <f>STDEV('Flow cytometer'!P11,'Flow cytometer'!L11,'Flow cytometer'!H11)*Calculation!K11/Calculation!M10</f>
        <v>#DIV/0!</v>
      </c>
      <c r="S11" s="41" t="e">
        <f t="shared" si="1"/>
        <v>#DIV/0!</v>
      </c>
    </row>
    <row r="12" spans="1:19">
      <c r="A12" s="36">
        <v>8</v>
      </c>
      <c r="B12" s="49">
        <v>60</v>
      </c>
      <c r="C12" s="50">
        <f t="shared" si="2"/>
        <v>680</v>
      </c>
      <c r="D12" s="59">
        <f t="shared" si="0"/>
        <v>11.333333333333334</v>
      </c>
      <c r="Q12" s="40" t="e">
        <f>AVERAGE('Flow cytometer'!P12,'Flow cytometer'!L12,'Flow cytometer'!H12)*Calculation!K12/Calculation!M11</f>
        <v>#DIV/0!</v>
      </c>
      <c r="R12" s="40" t="e">
        <f>STDEV('Flow cytometer'!P12,'Flow cytometer'!L12,'Flow cytometer'!H12)*Calculation!K12/Calculation!M11</f>
        <v>#DIV/0!</v>
      </c>
      <c r="S12" s="41" t="e">
        <f t="shared" si="1"/>
        <v>#DIV/0!</v>
      </c>
    </row>
    <row r="13" spans="1:19">
      <c r="A13" s="36">
        <v>9</v>
      </c>
      <c r="B13" s="49">
        <v>80</v>
      </c>
      <c r="C13" s="50">
        <f t="shared" si="2"/>
        <v>760</v>
      </c>
      <c r="D13" s="59">
        <f t="shared" si="0"/>
        <v>12.666666666666666</v>
      </c>
      <c r="Q13" s="40" t="e">
        <f>AVERAGE('Flow cytometer'!P13,'Flow cytometer'!L13,'Flow cytometer'!H13)*Calculation!K13/Calculation!M12</f>
        <v>#DIV/0!</v>
      </c>
      <c r="R13" s="40" t="e">
        <f>STDEV('Flow cytometer'!P13,'Flow cytometer'!L13,'Flow cytometer'!H13)*Calculation!K13/Calculation!M12</f>
        <v>#DIV/0!</v>
      </c>
      <c r="S13" s="41" t="e">
        <f t="shared" si="1"/>
        <v>#DIV/0!</v>
      </c>
    </row>
    <row r="14" spans="1:19">
      <c r="A14" s="36">
        <v>10</v>
      </c>
      <c r="B14" s="49">
        <v>80</v>
      </c>
      <c r="C14" s="50">
        <f t="shared" si="2"/>
        <v>840</v>
      </c>
      <c r="D14" s="59">
        <f t="shared" si="0"/>
        <v>14</v>
      </c>
      <c r="Q14" s="40" t="e">
        <f>AVERAGE('Flow cytometer'!P14,'Flow cytometer'!L14,'Flow cytometer'!H14)*Calculation!K14/Calculation!M13</f>
        <v>#DIV/0!</v>
      </c>
      <c r="R14" s="40" t="e">
        <f>STDEV('Flow cytometer'!P14,'Flow cytometer'!L14,'Flow cytometer'!H14)*Calculation!K14/Calculation!M13</f>
        <v>#DIV/0!</v>
      </c>
      <c r="S14" s="41" t="e">
        <f t="shared" si="1"/>
        <v>#DIV/0!</v>
      </c>
    </row>
    <row r="15" spans="1:19">
      <c r="A15" s="36">
        <v>11</v>
      </c>
      <c r="B15" s="49">
        <v>80</v>
      </c>
      <c r="C15" s="50">
        <f t="shared" si="2"/>
        <v>920</v>
      </c>
      <c r="D15" s="59">
        <f t="shared" si="0"/>
        <v>15.333333333333334</v>
      </c>
      <c r="Q15" s="40" t="e">
        <f>AVERAGE('Flow cytometer'!P15,'Flow cytometer'!L15,'Flow cytometer'!H15)*Calculation!K15/Calculation!M14</f>
        <v>#DIV/0!</v>
      </c>
      <c r="R15" s="40" t="e">
        <f>STDEV('Flow cytometer'!P15,'Flow cytometer'!L15,'Flow cytometer'!H15)*Calculation!K15/Calculation!M14</f>
        <v>#DIV/0!</v>
      </c>
      <c r="S15" s="41" t="e">
        <f t="shared" si="1"/>
        <v>#DIV/0!</v>
      </c>
    </row>
    <row r="16" spans="1:19">
      <c r="A16" s="36">
        <v>12</v>
      </c>
      <c r="B16" s="49">
        <v>80</v>
      </c>
      <c r="C16" s="50">
        <f t="shared" si="2"/>
        <v>1000</v>
      </c>
      <c r="D16" s="59">
        <f t="shared" si="0"/>
        <v>16.666666666666668</v>
      </c>
      <c r="Q16" s="40" t="e">
        <f>AVERAGE('Flow cytometer'!P16,'Flow cytometer'!L16,'Flow cytometer'!H16)*Calculation!K16/Calculation!M15</f>
        <v>#DIV/0!</v>
      </c>
      <c r="R16" s="40" t="e">
        <f>STDEV('Flow cytometer'!P16,'Flow cytometer'!L16,'Flow cytometer'!H16)*Calculation!K16/Calculation!M15</f>
        <v>#DIV/0!</v>
      </c>
      <c r="S16" s="41" t="e">
        <f t="shared" si="1"/>
        <v>#DIV/0!</v>
      </c>
    </row>
    <row r="17" spans="1:19">
      <c r="A17" s="36">
        <v>13</v>
      </c>
      <c r="B17" s="49">
        <v>80</v>
      </c>
      <c r="C17" s="50">
        <f t="shared" si="2"/>
        <v>1080</v>
      </c>
      <c r="D17" s="59">
        <f t="shared" si="0"/>
        <v>18</v>
      </c>
      <c r="Q17" s="40" t="e">
        <f>AVERAGE('Flow cytometer'!P17,'Flow cytometer'!L17,'Flow cytometer'!H17)*Calculation!K17/Calculation!M16</f>
        <v>#DIV/0!</v>
      </c>
      <c r="R17" s="40" t="e">
        <f>STDEV('Flow cytometer'!P17,'Flow cytometer'!L17,'Flow cytometer'!H17)*Calculation!K17/Calculation!M16</f>
        <v>#DIV/0!</v>
      </c>
      <c r="S17" s="41" t="e">
        <f t="shared" si="1"/>
        <v>#DIV/0!</v>
      </c>
    </row>
    <row r="18" spans="1:19">
      <c r="A18" s="36">
        <v>14</v>
      </c>
      <c r="B18" s="49">
        <v>360</v>
      </c>
      <c r="C18" s="50">
        <f t="shared" si="2"/>
        <v>1440</v>
      </c>
      <c r="D18" s="59">
        <f t="shared" si="0"/>
        <v>24</v>
      </c>
      <c r="Q18" s="40" t="e">
        <f>AVERAGE('Flow cytometer'!P18,'Flow cytometer'!L18,'Flow cytometer'!H18)*Calculation!K18/Calculation!M17</f>
        <v>#DIV/0!</v>
      </c>
      <c r="R18" s="40" t="e">
        <f>STDEV('Flow cytometer'!P18,'Flow cytometer'!L18,'Flow cytometer'!H18)*Calculation!K18/Calculation!M17</f>
        <v>#DIV/0!</v>
      </c>
      <c r="S18" s="41" t="e">
        <f t="shared" si="1"/>
        <v>#DIV/0!</v>
      </c>
    </row>
    <row r="19" spans="1:19">
      <c r="A19" s="36">
        <v>15</v>
      </c>
      <c r="B19" s="49">
        <v>355</v>
      </c>
      <c r="C19" s="50">
        <f>C18+B19</f>
        <v>1795</v>
      </c>
      <c r="D19" s="59">
        <f t="shared" si="0"/>
        <v>29.916666666666668</v>
      </c>
      <c r="Q19" s="40" t="e">
        <f>AVERAGE('Flow cytometer'!P19,'Flow cytometer'!L19,'Flow cytometer'!H19)*Calculation!K19/Calculation!M18</f>
        <v>#DIV/0!</v>
      </c>
      <c r="R19" s="40" t="e">
        <f>STDEV('Flow cytometer'!P19,'Flow cytometer'!L19,'Flow cytometer'!H19)*Calculation!K19/Calculation!M18</f>
        <v>#DIV/0!</v>
      </c>
      <c r="S19" s="41" t="e">
        <f t="shared" si="1"/>
        <v>#DIV/0!</v>
      </c>
    </row>
    <row r="20" spans="1:19">
      <c r="A20" s="36">
        <v>16</v>
      </c>
      <c r="B20" s="49">
        <v>1085</v>
      </c>
      <c r="C20" s="50">
        <f>C19+B20</f>
        <v>2880</v>
      </c>
      <c r="D20" s="59">
        <f>C20/60</f>
        <v>48</v>
      </c>
      <c r="Q20" s="40" t="e">
        <f>AVERAGE('Flow cytometer'!P20,'Flow cytometer'!L20,'Flow cytometer'!H20)*Calculation!K20/Calculation!M19</f>
        <v>#DIV/0!</v>
      </c>
      <c r="R20" s="40" t="e">
        <f>STDEV('Flow cytometer'!P20,'Flow cytometer'!L20,'Flow cytometer'!H20)*Calculation!K20/Calculation!M19</f>
        <v>#DIV/0!</v>
      </c>
      <c r="S20" s="41" t="e">
        <f>LOG(Q20)</f>
        <v>#DIV/0!</v>
      </c>
    </row>
    <row r="21" spans="1:19">
      <c r="A21" s="36">
        <v>17</v>
      </c>
      <c r="B21" s="49">
        <v>360</v>
      </c>
      <c r="C21" s="50">
        <f>C20+B21</f>
        <v>3240</v>
      </c>
      <c r="D21" s="59">
        <f>C21/60</f>
        <v>54</v>
      </c>
      <c r="Q21" s="40" t="e">
        <f>AVERAGE('Flow cytometer'!P23,'Flow cytometer'!L23,'Flow cytometer'!H23)*Calculation!K21/Calculation!M20</f>
        <v>#DIV/0!</v>
      </c>
      <c r="R21" s="40" t="e">
        <f>STDEV('Flow cytometer'!P23,'Flow cytometer'!L23,'Flow cytometer'!H23)*Calculation!K21/Calculation!M20</f>
        <v>#DIV/0!</v>
      </c>
      <c r="S21" s="41" t="e">
        <f>LOG(Q21)</f>
        <v>#DIV/0!</v>
      </c>
    </row>
    <row r="22" spans="1:19">
      <c r="A22" s="36">
        <v>18</v>
      </c>
      <c r="B22" s="49">
        <v>1080</v>
      </c>
      <c r="C22" s="50">
        <f>C21+B22</f>
        <v>4320</v>
      </c>
      <c r="D22" s="59">
        <f>C22/60</f>
        <v>72</v>
      </c>
      <c r="Q22" s="40" t="e">
        <f>AVERAGE('Flow cytometer'!P24,'Flow cytometer'!L24,'Flow cytometer'!H24)*Calculation!K22/Calculation!M21</f>
        <v>#DIV/0!</v>
      </c>
      <c r="R22" s="40" t="e">
        <f>STDEV('Flow cytometer'!P24,'Flow cytometer'!L24,'Flow cytometer'!H24)*Calculation!K22/Calculation!M21</f>
        <v>#DIV/0!</v>
      </c>
      <c r="S22" s="41" t="e">
        <f>LOG(Q22)</f>
        <v>#DIV/0!</v>
      </c>
    </row>
    <row r="23" spans="1:19">
      <c r="A23" s="8"/>
      <c r="B23" s="67"/>
      <c r="C23" s="67"/>
      <c r="D23" s="60"/>
    </row>
    <row r="24" spans="1:19">
      <c r="A24" s="8"/>
      <c r="B24" s="67"/>
      <c r="C24" s="67"/>
      <c r="D24" s="60"/>
    </row>
    <row r="25" spans="1:19">
      <c r="C25" s="2" t="s">
        <v>141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80"/>
  <sheetViews>
    <sheetView topLeftCell="D1" workbookViewId="0">
      <selection activeCell="X7" sqref="X7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92" t="s">
        <v>4</v>
      </c>
      <c r="B1" s="92" t="s">
        <v>103</v>
      </c>
      <c r="C1" s="92" t="s">
        <v>103</v>
      </c>
      <c r="D1" s="92" t="s">
        <v>5</v>
      </c>
      <c r="E1" s="94" t="s">
        <v>105</v>
      </c>
      <c r="F1" s="94"/>
      <c r="G1" s="94"/>
      <c r="H1" s="94"/>
      <c r="I1" s="94" t="s">
        <v>106</v>
      </c>
      <c r="J1" s="94"/>
      <c r="K1" s="94"/>
      <c r="L1" s="94"/>
      <c r="M1" s="94" t="s">
        <v>107</v>
      </c>
      <c r="N1" s="94"/>
      <c r="O1" s="94"/>
      <c r="P1" s="94"/>
      <c r="Q1" s="22" t="s">
        <v>108</v>
      </c>
      <c r="R1" s="22" t="s">
        <v>108</v>
      </c>
      <c r="S1" s="22" t="s">
        <v>108</v>
      </c>
      <c r="T1" s="54" t="s">
        <v>108</v>
      </c>
      <c r="U1" s="80" t="s">
        <v>105</v>
      </c>
      <c r="V1" s="80" t="s">
        <v>106</v>
      </c>
      <c r="W1" s="80" t="s">
        <v>107</v>
      </c>
      <c r="X1" s="80" t="s">
        <v>108</v>
      </c>
    </row>
    <row r="2" spans="1:24">
      <c r="A2" s="93"/>
      <c r="B2" s="93"/>
      <c r="C2" s="93"/>
      <c r="D2" s="93"/>
      <c r="E2" s="21" t="s">
        <v>19</v>
      </c>
      <c r="F2" s="21" t="s">
        <v>67</v>
      </c>
      <c r="G2" s="21" t="s">
        <v>68</v>
      </c>
      <c r="H2" s="21" t="s">
        <v>69</v>
      </c>
      <c r="I2" s="21" t="s">
        <v>19</v>
      </c>
      <c r="J2" s="21" t="s">
        <v>67</v>
      </c>
      <c r="K2" s="21" t="s">
        <v>68</v>
      </c>
      <c r="L2" s="21" t="s">
        <v>69</v>
      </c>
      <c r="M2" s="21" t="s">
        <v>19</v>
      </c>
      <c r="N2" s="21" t="s">
        <v>67</v>
      </c>
      <c r="O2" s="21" t="s">
        <v>68</v>
      </c>
      <c r="P2" s="21" t="s">
        <v>70</v>
      </c>
      <c r="Q2" s="23" t="s">
        <v>69</v>
      </c>
      <c r="R2" s="23" t="s">
        <v>23</v>
      </c>
      <c r="S2" s="23" t="s">
        <v>71</v>
      </c>
      <c r="T2" s="55" t="s">
        <v>116</v>
      </c>
      <c r="U2" s="81" t="s">
        <v>172</v>
      </c>
      <c r="V2" s="81" t="s">
        <v>172</v>
      </c>
      <c r="W2" s="81" t="s">
        <v>172</v>
      </c>
      <c r="X2" s="81" t="s">
        <v>173</v>
      </c>
    </row>
    <row r="3" spans="1:24">
      <c r="A3" s="47" t="s">
        <v>6</v>
      </c>
      <c r="B3" s="48">
        <v>-10</v>
      </c>
      <c r="C3" s="48">
        <v>-10</v>
      </c>
      <c r="D3" s="59">
        <v>0</v>
      </c>
      <c r="E3" s="38" t="s">
        <v>90</v>
      </c>
      <c r="F3" s="38" t="s">
        <v>90</v>
      </c>
      <c r="G3" s="38" t="s">
        <v>90</v>
      </c>
      <c r="H3" s="39" t="s">
        <v>90</v>
      </c>
      <c r="I3" s="38" t="s">
        <v>90</v>
      </c>
      <c r="J3" s="38" t="s">
        <v>90</v>
      </c>
      <c r="K3" s="38" t="s">
        <v>90</v>
      </c>
      <c r="L3" s="39" t="s">
        <v>90</v>
      </c>
      <c r="M3" s="38" t="s">
        <v>90</v>
      </c>
      <c r="N3" s="38" t="s">
        <v>90</v>
      </c>
      <c r="O3" s="38" t="s">
        <v>90</v>
      </c>
      <c r="P3" s="39" t="s">
        <v>90</v>
      </c>
      <c r="Q3" s="100" t="s">
        <v>90</v>
      </c>
      <c r="R3" s="101"/>
      <c r="S3" s="102"/>
      <c r="T3" s="39" t="s">
        <v>90</v>
      </c>
      <c r="U3" s="39" t="s">
        <v>90</v>
      </c>
      <c r="V3" s="39" t="s">
        <v>90</v>
      </c>
      <c r="W3" s="39" t="s">
        <v>90</v>
      </c>
      <c r="X3" s="39" t="s">
        <v>90</v>
      </c>
    </row>
    <row r="4" spans="1:24">
      <c r="A4" s="49">
        <v>0</v>
      </c>
      <c r="B4" s="50">
        <v>10</v>
      </c>
      <c r="C4" s="50">
        <v>10</v>
      </c>
      <c r="D4" s="69">
        <v>0</v>
      </c>
      <c r="E4" s="29">
        <v>1</v>
      </c>
      <c r="F4" s="29">
        <v>8391</v>
      </c>
      <c r="G4" s="29">
        <v>7</v>
      </c>
      <c r="H4" s="39">
        <f>('Flow cytometer'!F4/'Flow cytometer'!G4)*POWER(10,'Flow cytometer'!E4+2)*10.2</f>
        <v>12226885.714285713</v>
      </c>
      <c r="I4" s="29">
        <v>1</v>
      </c>
      <c r="J4" s="29">
        <v>8872</v>
      </c>
      <c r="K4" s="29">
        <v>7</v>
      </c>
      <c r="L4" s="39">
        <f>('Flow cytometer'!J4/'Flow cytometer'!K4)*POWER(10,'Flow cytometer'!I4+2)*10.2</f>
        <v>12927771.428571427</v>
      </c>
      <c r="M4" s="29">
        <v>1</v>
      </c>
      <c r="N4" s="29">
        <v>8795</v>
      </c>
      <c r="O4" s="29">
        <v>7</v>
      </c>
      <c r="P4" s="39">
        <f>('Flow cytometer'!N4/'Flow cytometer'!O4)*POWER(10,'Flow cytometer'!M4+2)*10.2</f>
        <v>12815571.428571427</v>
      </c>
      <c r="Q4" s="42">
        <f>AVERAGE(H4,L4,P4)*Calculation!I4/Calculation!K3</f>
        <v>12664765.719602896</v>
      </c>
      <c r="R4" s="43">
        <f>STDEV(H4,L4,P4)*Calculation!I4/Calculation!K3</f>
        <v>376709.19721601222</v>
      </c>
      <c r="S4" s="44">
        <f>LOG(Q4)</f>
        <v>7.1025971603622748</v>
      </c>
      <c r="T4" s="44">
        <f>LN(Q4)</f>
        <v>16.354334342992011</v>
      </c>
      <c r="U4" s="44">
        <f>LOG(H4)</f>
        <v>7.0873158528388505</v>
      </c>
      <c r="V4" s="44">
        <f>LOG(L4)</f>
        <v>7.1115236648887645</v>
      </c>
      <c r="W4" s="44">
        <f>LOG(P4)</f>
        <v>7.1077379755411405</v>
      </c>
      <c r="X4" s="44">
        <f xml:space="preserve"> STDEV(U4:W4)*Calculation!I4/Calculation!K3</f>
        <v>1.3030112232126341E-2</v>
      </c>
    </row>
    <row r="5" spans="1:24">
      <c r="A5" s="49">
        <v>1</v>
      </c>
      <c r="B5" s="50">
        <v>110</v>
      </c>
      <c r="C5" s="50">
        <v>120</v>
      </c>
      <c r="D5" s="69">
        <v>2</v>
      </c>
      <c r="E5" s="29">
        <v>1</v>
      </c>
      <c r="F5" s="29">
        <v>10194</v>
      </c>
      <c r="G5" s="29">
        <v>7</v>
      </c>
      <c r="H5" s="39">
        <f>('Flow cytometer'!F5/'Flow cytometer'!G5)*POWER(10,'Flow cytometer'!E5+2)*10.2</f>
        <v>14854114.285714285</v>
      </c>
      <c r="I5" s="29">
        <v>1</v>
      </c>
      <c r="J5" s="29">
        <v>11256</v>
      </c>
      <c r="K5" s="29">
        <v>7</v>
      </c>
      <c r="L5" s="39">
        <f>('Flow cytometer'!J5/'Flow cytometer'!K5)*POWER(10,'Flow cytometer'!I5+2)*10.2</f>
        <v>16401599.999999998</v>
      </c>
      <c r="M5" s="29">
        <v>1</v>
      </c>
      <c r="N5" s="29">
        <v>9724</v>
      </c>
      <c r="O5" s="29">
        <v>7</v>
      </c>
      <c r="P5" s="39">
        <f>('Flow cytometer'!N5/'Flow cytometer'!O5)*POWER(10,'Flow cytometer'!M5+2)*10.2</f>
        <v>14169257.14285714</v>
      </c>
      <c r="Q5" s="42">
        <f>AVERAGE(H5,L5,P5)*Calculation!I5/Calculation!K4</f>
        <v>15151255.144021055</v>
      </c>
      <c r="R5" s="43">
        <f>STDEV(H5,L5,P5)*Calculation!I5/Calculation!K4</f>
        <v>1144337.3168983643</v>
      </c>
      <c r="S5" s="44">
        <f t="shared" ref="S5:S19" si="0">LOG(Q5)</f>
        <v>7.1804486116860682</v>
      </c>
      <c r="T5" s="44">
        <f t="shared" ref="T5:T19" si="1">LN(Q5)</f>
        <v>16.533593934278134</v>
      </c>
      <c r="U5" s="44">
        <f t="shared" ref="U5:U19" si="2">LOG(H5)</f>
        <v>7.1718467610003502</v>
      </c>
      <c r="V5" s="44">
        <f t="shared" ref="V5:V19" si="3">LOG(L5)</f>
        <v>7.2148862161743503</v>
      </c>
      <c r="W5" s="44">
        <f t="shared" ref="W5:W19" si="4">LOG(P5)</f>
        <v>7.1513470819189591</v>
      </c>
      <c r="X5" s="44">
        <f xml:space="preserve"> STDEV(U5:W5)*Calculation!I5/Calculation!K4</f>
        <v>3.2449589229667973E-2</v>
      </c>
    </row>
    <row r="6" spans="1:24">
      <c r="A6" s="49">
        <v>2</v>
      </c>
      <c r="B6" s="50">
        <v>80</v>
      </c>
      <c r="C6" s="50">
        <v>200</v>
      </c>
      <c r="D6" s="69">
        <v>3</v>
      </c>
      <c r="E6" s="29">
        <v>1</v>
      </c>
      <c r="F6" s="29">
        <v>13462</v>
      </c>
      <c r="G6" s="29">
        <v>7</v>
      </c>
      <c r="H6" s="39">
        <f>('Flow cytometer'!F6/'Flow cytometer'!G6)*POWER(10,'Flow cytometer'!E6+2)*10.2</f>
        <v>19616057.142857142</v>
      </c>
      <c r="I6" s="29">
        <v>1</v>
      </c>
      <c r="J6" s="29">
        <v>12811</v>
      </c>
      <c r="K6" s="29">
        <v>7</v>
      </c>
      <c r="L6" s="39">
        <f>('Flow cytometer'!J6/'Flow cytometer'!K6)*POWER(10,'Flow cytometer'!I6+2)*10.2</f>
        <v>18667457.142857142</v>
      </c>
      <c r="M6" s="29">
        <v>1</v>
      </c>
      <c r="N6" s="29">
        <v>10742</v>
      </c>
      <c r="O6" s="29">
        <v>7</v>
      </c>
      <c r="P6" s="39">
        <f>('Flow cytometer'!N6/'Flow cytometer'!O6)*POWER(10,'Flow cytometer'!M6+2)*10.2</f>
        <v>15652628.571428571</v>
      </c>
      <c r="Q6" s="42">
        <f>AVERAGE(H6,L6,P6)*Calculation!I6/Calculation!K5</f>
        <v>17990110.642071575</v>
      </c>
      <c r="R6" s="43">
        <f>STDEV(H6,L6,P6)*Calculation!I6/Calculation!K5</f>
        <v>2070844.7676026484</v>
      </c>
      <c r="S6" s="44">
        <f t="shared" si="0"/>
        <v>7.2550338343346228</v>
      </c>
      <c r="T6" s="44">
        <f t="shared" si="1"/>
        <v>16.705332756106333</v>
      </c>
      <c r="U6" s="44">
        <f t="shared" si="2"/>
        <v>7.2926117179683878</v>
      </c>
      <c r="V6" s="44">
        <f t="shared" si="3"/>
        <v>7.2710851629389825</v>
      </c>
      <c r="W6" s="44">
        <f t="shared" si="4"/>
        <v>7.1945872797871413</v>
      </c>
      <c r="X6" s="44">
        <f xml:space="preserve"> STDEV(U6:W6)*Calculation!I6/Calculation!K5</f>
        <v>5.1549819821498859E-2</v>
      </c>
    </row>
    <row r="7" spans="1:24">
      <c r="A7" s="49">
        <v>3</v>
      </c>
      <c r="B7" s="50">
        <v>80</v>
      </c>
      <c r="C7" s="50">
        <v>280</v>
      </c>
      <c r="D7" s="69">
        <v>5</v>
      </c>
      <c r="E7" s="29">
        <v>1</v>
      </c>
      <c r="F7" s="29">
        <v>16802</v>
      </c>
      <c r="G7" s="29">
        <v>7</v>
      </c>
      <c r="H7" s="39">
        <f>('Flow cytometer'!F7/'Flow cytometer'!G7)*POWER(10,'Flow cytometer'!E7+2)*10.2</f>
        <v>24482914.285714284</v>
      </c>
      <c r="I7" s="29">
        <v>1</v>
      </c>
      <c r="J7" s="29">
        <v>16888</v>
      </c>
      <c r="K7" s="29">
        <v>7</v>
      </c>
      <c r="L7" s="39">
        <f>('Flow cytometer'!J7/'Flow cytometer'!K7)*POWER(10,'Flow cytometer'!I7+2)*10.2</f>
        <v>24608228.571428571</v>
      </c>
      <c r="M7" s="29">
        <v>1</v>
      </c>
      <c r="N7" s="29">
        <v>16626</v>
      </c>
      <c r="O7" s="29">
        <v>7</v>
      </c>
      <c r="P7" s="39">
        <f>('Flow cytometer'!N7/'Flow cytometer'!O7)*POWER(10,'Flow cytometer'!M7+2)*10.2</f>
        <v>24226457.142857142</v>
      </c>
      <c r="Q7" s="42">
        <f>AVERAGE(H7,L7,P7)*Calculation!I7/Calculation!K6</f>
        <v>24454691.532256477</v>
      </c>
      <c r="R7" s="43">
        <f>STDEV(H7,L7,P7)*Calculation!I7/Calculation!K6</f>
        <v>194726.95251401083</v>
      </c>
      <c r="S7" s="44">
        <f t="shared" si="0"/>
        <v>7.3883621890675952</v>
      </c>
      <c r="T7" s="44">
        <f t="shared" si="1"/>
        <v>17.0123326381879</v>
      </c>
      <c r="U7" s="44">
        <f t="shared" si="2"/>
        <v>7.3888631121203199</v>
      </c>
      <c r="V7" s="44">
        <f t="shared" si="3"/>
        <v>7.3910803520472603</v>
      </c>
      <c r="W7" s="44">
        <f t="shared" si="4"/>
        <v>7.3842899079135362</v>
      </c>
      <c r="X7" s="44">
        <f xml:space="preserve"> STDEV(U7:W7)*Calculation!I7/Calculation!K6</f>
        <v>3.4648644366402389E-3</v>
      </c>
    </row>
    <row r="8" spans="1:24">
      <c r="A8" s="49">
        <v>4</v>
      </c>
      <c r="B8" s="50">
        <v>80</v>
      </c>
      <c r="C8" s="50">
        <v>360</v>
      </c>
      <c r="D8" s="69">
        <v>6</v>
      </c>
      <c r="E8" s="29">
        <v>1</v>
      </c>
      <c r="F8" s="29">
        <v>21543</v>
      </c>
      <c r="G8" s="29">
        <v>7</v>
      </c>
      <c r="H8" s="39">
        <f>('Flow cytometer'!F8/'Flow cytometer'!G8)*POWER(10,'Flow cytometer'!E8+2)*10.2</f>
        <v>31391228.571428571</v>
      </c>
      <c r="I8" s="29">
        <v>1</v>
      </c>
      <c r="J8" s="29">
        <v>21002</v>
      </c>
      <c r="K8" s="29">
        <v>7</v>
      </c>
      <c r="L8" s="39">
        <f>('Flow cytometer'!J8/'Flow cytometer'!K8)*POWER(10,'Flow cytometer'!I8+2)*10.2</f>
        <v>30602914.28571428</v>
      </c>
      <c r="M8" s="29">
        <v>1</v>
      </c>
      <c r="N8" s="29">
        <v>20880</v>
      </c>
      <c r="O8" s="29">
        <v>7</v>
      </c>
      <c r="P8" s="39">
        <f>('Flow cytometer'!N8/'Flow cytometer'!O8)*POWER(10,'Flow cytometer'!M8+2)*10.2</f>
        <v>30425142.857142854</v>
      </c>
      <c r="Q8" s="42">
        <f>AVERAGE(H8,L8,P8)*Calculation!I8/Calculation!K7</f>
        <v>30825956.165700108</v>
      </c>
      <c r="R8" s="43">
        <f>STDEV(H8,L8,P8)*Calculation!I8/Calculation!K7</f>
        <v>514518.45912093756</v>
      </c>
      <c r="S8" s="44">
        <f t="shared" si="0"/>
        <v>7.4889165565101701</v>
      </c>
      <c r="T8" s="44">
        <f t="shared" si="1"/>
        <v>17.24386762569662</v>
      </c>
      <c r="U8" s="44">
        <f t="shared" si="2"/>
        <v>7.4968083131944931</v>
      </c>
      <c r="V8" s="44">
        <f t="shared" si="3"/>
        <v>7.4857627858913443</v>
      </c>
      <c r="W8" s="44">
        <f t="shared" si="4"/>
        <v>7.4832326260778856</v>
      </c>
      <c r="X8" s="44">
        <f xml:space="preserve"> STDEV(U8:W8)*Calculation!I8/Calculation!K7</f>
        <v>7.2238173564360226E-3</v>
      </c>
    </row>
    <row r="9" spans="1:24">
      <c r="A9" s="49">
        <v>5</v>
      </c>
      <c r="B9" s="50">
        <v>80</v>
      </c>
      <c r="C9" s="50">
        <v>440</v>
      </c>
      <c r="D9" s="69">
        <v>7</v>
      </c>
      <c r="E9" s="29">
        <v>1</v>
      </c>
      <c r="F9" s="29">
        <v>28354</v>
      </c>
      <c r="G9" s="29">
        <v>7</v>
      </c>
      <c r="H9" s="39">
        <f>('Flow cytometer'!F9/'Flow cytometer'!G9)*POWER(10,'Flow cytometer'!E9+2)*10.2</f>
        <v>41315828.571428567</v>
      </c>
      <c r="I9" s="29">
        <v>1</v>
      </c>
      <c r="J9" s="29">
        <v>30273</v>
      </c>
      <c r="K9" s="29">
        <v>7</v>
      </c>
      <c r="L9" s="39">
        <f>('Flow cytometer'!J9/'Flow cytometer'!K9)*POWER(10,'Flow cytometer'!I9+2)*10.2</f>
        <v>44112085.714285709</v>
      </c>
      <c r="M9" s="29">
        <v>1</v>
      </c>
      <c r="N9" s="29">
        <v>29358</v>
      </c>
      <c r="O9" s="29">
        <v>7</v>
      </c>
      <c r="P9" s="39">
        <f>('Flow cytometer'!N9/'Flow cytometer'!O9)*POWER(10,'Flow cytometer'!M9+2)*10.2</f>
        <v>42778800</v>
      </c>
      <c r="Q9" s="42">
        <f>AVERAGE(H9,L9,P9)*Calculation!I9/Calculation!K8</f>
        <v>42762660.673852965</v>
      </c>
      <c r="R9" s="43">
        <f>STDEV(H9,L9,P9)*Calculation!I9/Calculation!K8</f>
        <v>1399516.2628609084</v>
      </c>
      <c r="S9" s="44">
        <f t="shared" si="0"/>
        <v>7.6310647189881875</v>
      </c>
      <c r="T9" s="44">
        <f t="shared" si="1"/>
        <v>17.571175865614997</v>
      </c>
      <c r="U9" s="44">
        <f t="shared" si="2"/>
        <v>7.6161164667715386</v>
      </c>
      <c r="V9" s="44">
        <f t="shared" si="3"/>
        <v>7.6445575926410312</v>
      </c>
      <c r="W9" s="44">
        <f t="shared" si="4"/>
        <v>7.6312285978912424</v>
      </c>
      <c r="X9" s="44">
        <f xml:space="preserve"> STDEV(U9:W9)*Calculation!I9/Calculation!K8</f>
        <v>1.4238896175019632E-2</v>
      </c>
    </row>
    <row r="10" spans="1:24">
      <c r="A10" s="49">
        <v>6</v>
      </c>
      <c r="B10" s="50">
        <v>95</v>
      </c>
      <c r="C10" s="50">
        <v>535</v>
      </c>
      <c r="D10" s="69">
        <v>9</v>
      </c>
      <c r="E10" s="29">
        <v>1</v>
      </c>
      <c r="F10" s="29">
        <v>43622</v>
      </c>
      <c r="G10" s="29">
        <v>7</v>
      </c>
      <c r="H10" s="39">
        <f>('Flow cytometer'!F10/'Flow cytometer'!G10)*POWER(10,'Flow cytometer'!E10+2)*10.2</f>
        <v>63563485.714285709</v>
      </c>
      <c r="I10" s="29">
        <v>1</v>
      </c>
      <c r="J10" s="29">
        <v>39620</v>
      </c>
      <c r="K10" s="29">
        <v>7</v>
      </c>
      <c r="L10" s="39">
        <f>('Flow cytometer'!J10/'Flow cytometer'!K10)*POWER(10,'Flow cytometer'!I10+2)*10.2</f>
        <v>57731999.999999993</v>
      </c>
      <c r="M10" s="29">
        <v>1</v>
      </c>
      <c r="N10" s="29">
        <v>45356</v>
      </c>
      <c r="O10" s="29">
        <v>7</v>
      </c>
      <c r="P10" s="39">
        <f>('Flow cytometer'!N10/'Flow cytometer'!O10)*POWER(10,'Flow cytometer'!M10+2)*10.2</f>
        <v>66090171.428571425</v>
      </c>
      <c r="Q10" s="42">
        <f>AVERAGE(H10,L10,P10)*Calculation!I10/Calculation!K9</f>
        <v>62501479.085482106</v>
      </c>
      <c r="R10" s="43">
        <f>STDEV(H10,L10,P10)*Calculation!I10/Calculation!K9</f>
        <v>4289312.4963239906</v>
      </c>
      <c r="S10" s="44">
        <f t="shared" si="0"/>
        <v>7.7958902949610742</v>
      </c>
      <c r="T10" s="44">
        <f t="shared" si="1"/>
        <v>17.950700779794325</v>
      </c>
      <c r="U10" s="44">
        <f t="shared" si="2"/>
        <v>7.8032077051648443</v>
      </c>
      <c r="V10" s="44">
        <f t="shared" si="3"/>
        <v>7.761416602950189</v>
      </c>
      <c r="W10" s="44">
        <f t="shared" si="4"/>
        <v>7.8201368783704464</v>
      </c>
      <c r="X10" s="44">
        <f xml:space="preserve"> STDEV(U10:W10)*Calculation!I10/Calculation!K9</f>
        <v>3.0243773142299292E-2</v>
      </c>
    </row>
    <row r="11" spans="1:24">
      <c r="A11" s="49">
        <v>7</v>
      </c>
      <c r="B11" s="50">
        <v>85</v>
      </c>
      <c r="C11" s="50">
        <v>620</v>
      </c>
      <c r="D11" s="69">
        <v>10</v>
      </c>
      <c r="E11" s="29">
        <v>2</v>
      </c>
      <c r="F11" s="29">
        <v>5089</v>
      </c>
      <c r="G11" s="29">
        <v>7</v>
      </c>
      <c r="H11" s="39">
        <f>('Flow cytometer'!F11/'Flow cytometer'!G11)*POWER(10,'Flow cytometer'!E11+2)*10.2</f>
        <v>74154000</v>
      </c>
      <c r="I11" s="29">
        <v>2</v>
      </c>
      <c r="J11" s="29">
        <v>5131</v>
      </c>
      <c r="K11" s="29">
        <v>7</v>
      </c>
      <c r="L11" s="39">
        <f>('Flow cytometer'!J11/'Flow cytometer'!K11)*POWER(10,'Flow cytometer'!I11+2)*10.2</f>
        <v>74766000</v>
      </c>
      <c r="M11" s="29">
        <v>2</v>
      </c>
      <c r="N11" s="29">
        <v>5363</v>
      </c>
      <c r="O11" s="29">
        <v>7</v>
      </c>
      <c r="P11" s="39">
        <f>('Flow cytometer'!N11/'Flow cytometer'!O11)*POWER(10,'Flow cytometer'!M11+2)*10.2</f>
        <v>78146571.428571418</v>
      </c>
      <c r="Q11" s="42">
        <f>AVERAGE(H11,L11,P11)*Calculation!I11/Calculation!K10</f>
        <v>75736834.833284169</v>
      </c>
      <c r="R11" s="43">
        <f>STDEV(H11,L11,P11)*Calculation!I11/Calculation!K10</f>
        <v>2151689.916731833</v>
      </c>
      <c r="S11" s="44">
        <f t="shared" si="0"/>
        <v>7.8793071512843813</v>
      </c>
      <c r="T11" s="44">
        <f t="shared" si="1"/>
        <v>18.142775189668797</v>
      </c>
      <c r="U11" s="44">
        <f t="shared" si="2"/>
        <v>7.8701345826209552</v>
      </c>
      <c r="V11" s="44">
        <f t="shared" si="3"/>
        <v>7.8737041464030453</v>
      </c>
      <c r="W11" s="44">
        <f t="shared" si="4"/>
        <v>7.8929099287107292</v>
      </c>
      <c r="X11" s="44">
        <f xml:space="preserve"> STDEV(U11:W11)*Calculation!I11/Calculation!K10</f>
        <v>1.2257392339599797E-2</v>
      </c>
    </row>
    <row r="12" spans="1:24">
      <c r="A12" s="49">
        <v>8</v>
      </c>
      <c r="B12" s="50">
        <v>60</v>
      </c>
      <c r="C12" s="50">
        <v>680</v>
      </c>
      <c r="D12" s="69">
        <v>11</v>
      </c>
      <c r="E12" s="29">
        <v>2</v>
      </c>
      <c r="F12" s="29">
        <v>6466</v>
      </c>
      <c r="G12" s="29">
        <v>7</v>
      </c>
      <c r="H12" s="39">
        <f>('Flow cytometer'!F12/'Flow cytometer'!G12)*POWER(10,'Flow cytometer'!E12+2)*10.2</f>
        <v>94218857.142857134</v>
      </c>
      <c r="I12" s="29">
        <v>2</v>
      </c>
      <c r="J12" s="29">
        <v>6708</v>
      </c>
      <c r="K12" s="29">
        <v>7</v>
      </c>
      <c r="L12" s="39">
        <f>('Flow cytometer'!J12/'Flow cytometer'!K12)*POWER(10,'Flow cytometer'!I12+2)*10.2</f>
        <v>97745142.857142866</v>
      </c>
      <c r="M12" s="29">
        <v>2</v>
      </c>
      <c r="N12" s="29">
        <v>6798</v>
      </c>
      <c r="O12" s="29">
        <v>7</v>
      </c>
      <c r="P12" s="39">
        <f>('Flow cytometer'!N12/'Flow cytometer'!O12)*POWER(10,'Flow cytometer'!M12+2)*10.2</f>
        <v>99056571.428571418</v>
      </c>
      <c r="Q12" s="42">
        <f>AVERAGE(H12,L12,P12)*Calculation!I12/Calculation!K11</f>
        <v>97153946.088117599</v>
      </c>
      <c r="R12" s="43">
        <f>STDEV(H12,L12,P12)*Calculation!I12/Calculation!K11</f>
        <v>2505726.7128553186</v>
      </c>
      <c r="S12" s="44">
        <f t="shared" si="0"/>
        <v>7.9874604449717275</v>
      </c>
      <c r="T12" s="44">
        <f t="shared" si="1"/>
        <v>18.391807351471488</v>
      </c>
      <c r="U12" s="44">
        <f t="shared" si="2"/>
        <v>7.9741378320231977</v>
      </c>
      <c r="V12" s="44">
        <f t="shared" si="3"/>
        <v>7.9900951856817093</v>
      </c>
      <c r="W12" s="44">
        <f t="shared" si="4"/>
        <v>7.9958832919947014</v>
      </c>
      <c r="X12" s="44">
        <f xml:space="preserve"> STDEV(U12:W12)*Calculation!I12/Calculation!K11</f>
        <v>1.127913908636421E-2</v>
      </c>
    </row>
    <row r="13" spans="1:24">
      <c r="A13" s="49">
        <v>9</v>
      </c>
      <c r="B13" s="50">
        <v>80</v>
      </c>
      <c r="C13" s="50">
        <v>760</v>
      </c>
      <c r="D13" s="69">
        <v>13</v>
      </c>
      <c r="E13" s="29">
        <v>2</v>
      </c>
      <c r="F13" s="29">
        <v>7635</v>
      </c>
      <c r="G13" s="29">
        <v>7</v>
      </c>
      <c r="H13" s="39">
        <f>('Flow cytometer'!F13/'Flow cytometer'!G13)*POWER(10,'Flow cytometer'!E13+2)*10.2</f>
        <v>111252857.14285715</v>
      </c>
      <c r="I13" s="29">
        <v>2</v>
      </c>
      <c r="J13" s="29">
        <v>8252</v>
      </c>
      <c r="K13" s="29">
        <v>7</v>
      </c>
      <c r="L13" s="39">
        <f>('Flow cytometer'!J13/'Flow cytometer'!K13)*POWER(10,'Flow cytometer'!I13+2)*10.2</f>
        <v>120243428.57142857</v>
      </c>
      <c r="M13" s="29">
        <v>2</v>
      </c>
      <c r="N13" s="29">
        <v>8676</v>
      </c>
      <c r="O13" s="29">
        <v>7</v>
      </c>
      <c r="P13" s="39">
        <f>('Flow cytometer'!N13/'Flow cytometer'!O13)*POWER(10,'Flow cytometer'!M13+2)*10.2</f>
        <v>126421714.28571425</v>
      </c>
      <c r="Q13" s="42">
        <f>AVERAGE(H13,L13,P13)*Calculation!I13/Calculation!K12</f>
        <v>119486900.54889007</v>
      </c>
      <c r="R13" s="43">
        <f>STDEV(H13,L13,P13)*Calculation!I13/Calculation!K12</f>
        <v>7639320.0854049465</v>
      </c>
      <c r="S13" s="44">
        <f t="shared" si="0"/>
        <v>8.0773202958183177</v>
      </c>
      <c r="T13" s="44">
        <f t="shared" si="1"/>
        <v>18.598717304489515</v>
      </c>
      <c r="U13" s="44">
        <f t="shared" si="2"/>
        <v>8.0463111731401007</v>
      </c>
      <c r="V13" s="44">
        <f t="shared" si="3"/>
        <v>8.0800613510487747</v>
      </c>
      <c r="W13" s="44">
        <f t="shared" si="4"/>
        <v>8.1018216750898162</v>
      </c>
      <c r="X13" s="44">
        <f xml:space="preserve"> STDEV(U13:W13)*Calculation!I13/Calculation!K12</f>
        <v>2.801263885417286E-2</v>
      </c>
    </row>
    <row r="14" spans="1:24">
      <c r="A14" s="49">
        <v>10</v>
      </c>
      <c r="B14" s="50">
        <v>80</v>
      </c>
      <c r="C14" s="50">
        <v>840</v>
      </c>
      <c r="D14" s="69">
        <v>14</v>
      </c>
      <c r="E14" s="29">
        <v>2</v>
      </c>
      <c r="F14" s="29">
        <v>8926</v>
      </c>
      <c r="G14" s="29">
        <v>7</v>
      </c>
      <c r="H14" s="39">
        <f>('Flow cytometer'!F14/'Flow cytometer'!G14)*POWER(10,'Flow cytometer'!E14+2)*10.2</f>
        <v>130064571.42857142</v>
      </c>
      <c r="I14" s="29">
        <v>2</v>
      </c>
      <c r="J14" s="29">
        <v>9466</v>
      </c>
      <c r="K14" s="29">
        <v>7</v>
      </c>
      <c r="L14" s="39">
        <f>('Flow cytometer'!J14/'Flow cytometer'!K14)*POWER(10,'Flow cytometer'!I14+2)*10.2</f>
        <v>137933142.85714284</v>
      </c>
      <c r="M14" s="29">
        <v>2</v>
      </c>
      <c r="N14" s="29">
        <v>9795</v>
      </c>
      <c r="O14" s="29">
        <v>7</v>
      </c>
      <c r="P14" s="39">
        <f>('Flow cytometer'!N14/'Flow cytometer'!O14)*POWER(10,'Flow cytometer'!M14+2)*10.2</f>
        <v>142727142.85714284</v>
      </c>
      <c r="Q14" s="42">
        <f>AVERAGE(H14,L14,P14)*Calculation!I14/Calculation!K13</f>
        <v>137115876.14589274</v>
      </c>
      <c r="R14" s="43">
        <f>STDEV(H14,L14,P14)*Calculation!I14/Calculation!K13</f>
        <v>6402887.7062800862</v>
      </c>
      <c r="S14" s="44">
        <f t="shared" si="0"/>
        <v>8.137087743070845</v>
      </c>
      <c r="T14" s="44">
        <f t="shared" si="1"/>
        <v>18.736336937579491</v>
      </c>
      <c r="U14" s="44">
        <f t="shared" si="2"/>
        <v>8.1141590142521718</v>
      </c>
      <c r="V14" s="44">
        <f t="shared" si="3"/>
        <v>8.1396686318796352</v>
      </c>
      <c r="W14" s="44">
        <f t="shared" si="4"/>
        <v>8.1545065720784162</v>
      </c>
      <c r="X14" s="44">
        <f xml:space="preserve"> STDEV(U14:W14)*Calculation!I14/Calculation!K13</f>
        <v>2.0438582999834809E-2</v>
      </c>
    </row>
    <row r="15" spans="1:24">
      <c r="A15" s="49">
        <v>11</v>
      </c>
      <c r="B15" s="50">
        <v>80</v>
      </c>
      <c r="C15" s="50">
        <v>920</v>
      </c>
      <c r="D15" s="69">
        <v>15</v>
      </c>
      <c r="E15" s="29">
        <v>2</v>
      </c>
      <c r="F15" s="29">
        <v>14770</v>
      </c>
      <c r="G15" s="29">
        <v>7</v>
      </c>
      <c r="H15" s="39">
        <f>('Flow cytometer'!F15/'Flow cytometer'!G15)*POWER(10,'Flow cytometer'!E15+2)*10.2</f>
        <v>215219999.99999997</v>
      </c>
      <c r="I15" s="29">
        <v>2</v>
      </c>
      <c r="J15" s="29">
        <v>15306</v>
      </c>
      <c r="K15" s="29">
        <v>7</v>
      </c>
      <c r="L15" s="39">
        <f>('Flow cytometer'!J15/'Flow cytometer'!K15)*POWER(10,'Flow cytometer'!I15+2)*10.2</f>
        <v>223030285.71428567</v>
      </c>
      <c r="M15" s="29">
        <v>2</v>
      </c>
      <c r="N15" s="29">
        <v>12940</v>
      </c>
      <c r="O15" s="29">
        <v>7</v>
      </c>
      <c r="P15" s="39">
        <f>('Flow cytometer'!N15/'Flow cytometer'!O15)*POWER(10,'Flow cytometer'!M15+2)*10.2</f>
        <v>188554285.71428573</v>
      </c>
      <c r="Q15" s="42">
        <f>AVERAGE(H15,L15,P15)*Calculation!I15/Calculation!K14</f>
        <v>209459250.50183371</v>
      </c>
      <c r="R15" s="43">
        <f>STDEV(H15,L15,P15)*Calculation!I15/Calculation!K14</f>
        <v>18122314.406247046</v>
      </c>
      <c r="S15" s="44">
        <f t="shared" si="0"/>
        <v>8.3210995451851222</v>
      </c>
      <c r="T15" s="44">
        <f t="shared" si="1"/>
        <v>19.160039770062795</v>
      </c>
      <c r="U15" s="44">
        <f t="shared" si="2"/>
        <v>8.332882627059611</v>
      </c>
      <c r="V15" s="44">
        <f t="shared" si="3"/>
        <v>8.3483638407410936</v>
      </c>
      <c r="W15" s="44">
        <f t="shared" si="4"/>
        <v>8.275436408080342</v>
      </c>
      <c r="X15" s="44">
        <f xml:space="preserve"> STDEV(U15:W15)*Calculation!I15/Calculation!K14</f>
        <v>3.8519837687139576E-2</v>
      </c>
    </row>
    <row r="16" spans="1:24">
      <c r="A16" s="49">
        <v>12</v>
      </c>
      <c r="B16" s="50">
        <v>80</v>
      </c>
      <c r="C16" s="50">
        <v>1000</v>
      </c>
      <c r="D16" s="69">
        <v>17</v>
      </c>
      <c r="E16" s="29">
        <v>2</v>
      </c>
      <c r="F16" s="29">
        <v>21861</v>
      </c>
      <c r="G16" s="29">
        <v>7</v>
      </c>
      <c r="H16" s="39">
        <f>('Flow cytometer'!F16/'Flow cytometer'!G16)*POWER(10,'Flow cytometer'!E16+2)*10.2</f>
        <v>318546000</v>
      </c>
      <c r="I16" s="29">
        <v>2</v>
      </c>
      <c r="J16" s="29">
        <v>21129</v>
      </c>
      <c r="K16" s="29">
        <v>7</v>
      </c>
      <c r="L16" s="39">
        <f>('Flow cytometer'!J16/'Flow cytometer'!K16)*POWER(10,'Flow cytometer'!I16+2)*10.2</f>
        <v>307879714.28571427</v>
      </c>
      <c r="M16" s="29">
        <v>2</v>
      </c>
      <c r="N16" s="29">
        <v>21624</v>
      </c>
      <c r="O16" s="29">
        <v>7</v>
      </c>
      <c r="P16" s="39">
        <f>('Flow cytometer'!N16/'Flow cytometer'!O16)*POWER(10,'Flow cytometer'!M16+2)*10.2</f>
        <v>315092571.42857146</v>
      </c>
      <c r="Q16" s="42">
        <f>AVERAGE(H16,L16,P16)*Calculation!I16/Calculation!K15</f>
        <v>314627115.7691437</v>
      </c>
      <c r="R16" s="43">
        <f>STDEV(H16,L16,P16)*Calculation!I16/Calculation!K15</f>
        <v>5456102.8707414512</v>
      </c>
      <c r="S16" s="44">
        <f t="shared" si="0"/>
        <v>8.4977961490610667</v>
      </c>
      <c r="T16" s="44">
        <f t="shared" si="1"/>
        <v>19.566898736130216</v>
      </c>
      <c r="U16" s="44">
        <f t="shared" si="2"/>
        <v>8.5031721559921163</v>
      </c>
      <c r="V16" s="44">
        <f t="shared" si="3"/>
        <v>8.4883810748596549</v>
      </c>
      <c r="W16" s="44">
        <f t="shared" si="4"/>
        <v>8.4984381644383298</v>
      </c>
      <c r="X16" s="44">
        <f xml:space="preserve"> STDEV(U16:W16)*Calculation!I16/Calculation!K15</f>
        <v>7.5724540435171909E-3</v>
      </c>
    </row>
    <row r="17" spans="1:24">
      <c r="A17" s="49">
        <v>13</v>
      </c>
      <c r="B17" s="50">
        <v>80</v>
      </c>
      <c r="C17" s="50">
        <v>1080</v>
      </c>
      <c r="D17" s="69">
        <v>18</v>
      </c>
      <c r="E17" s="29">
        <v>2</v>
      </c>
      <c r="F17" s="29">
        <v>33818</v>
      </c>
      <c r="G17" s="29">
        <v>7</v>
      </c>
      <c r="H17" s="39">
        <f>('Flow cytometer'!F17/'Flow cytometer'!G17)*POWER(10,'Flow cytometer'!E17+2)*10.2</f>
        <v>492776571.42857134</v>
      </c>
      <c r="I17" s="29">
        <v>2</v>
      </c>
      <c r="J17" s="29">
        <v>35264</v>
      </c>
      <c r="K17" s="29">
        <v>7</v>
      </c>
      <c r="L17" s="39">
        <f>('Flow cytometer'!J17/'Flow cytometer'!K17)*POWER(10,'Flow cytometer'!I17+2)*10.2</f>
        <v>513846857.14285702</v>
      </c>
      <c r="M17" s="29">
        <v>2</v>
      </c>
      <c r="N17" s="29">
        <v>37296</v>
      </c>
      <c r="O17" s="29">
        <v>7</v>
      </c>
      <c r="P17" s="39">
        <f>('Flow cytometer'!N17/'Flow cytometer'!O17)*POWER(10,'Flow cytometer'!M17+2)*10.2</f>
        <v>543456000</v>
      </c>
      <c r="Q17" s="42">
        <f>AVERAGE(H17,L17,P17)*Calculation!I17/Calculation!K16</f>
        <v>517989960.70959795</v>
      </c>
      <c r="R17" s="43">
        <f>STDEV(H17,L17,P17)*Calculation!I17/Calculation!K16</f>
        <v>25523221.848457355</v>
      </c>
      <c r="S17" s="44">
        <f t="shared" si="0"/>
        <v>8.7143213426589892</v>
      </c>
      <c r="T17" s="44">
        <f t="shared" si="1"/>
        <v>20.065466419166444</v>
      </c>
      <c r="U17" s="44">
        <f t="shared" si="2"/>
        <v>8.6926500515484868</v>
      </c>
      <c r="V17" s="44">
        <f t="shared" si="3"/>
        <v>8.7108337045833331</v>
      </c>
      <c r="W17" s="44">
        <f t="shared" si="4"/>
        <v>8.7351643879241614</v>
      </c>
      <c r="X17" s="44">
        <f xml:space="preserve"> STDEV(U17:W17)*Calculation!I17/Calculation!K16</f>
        <v>2.1384642471042482E-2</v>
      </c>
    </row>
    <row r="18" spans="1:24">
      <c r="A18" s="49">
        <v>14</v>
      </c>
      <c r="B18" s="50">
        <v>360</v>
      </c>
      <c r="C18" s="50">
        <v>1440</v>
      </c>
      <c r="D18" s="69">
        <v>24</v>
      </c>
      <c r="E18" s="29">
        <v>2</v>
      </c>
      <c r="F18" s="29">
        <v>50260</v>
      </c>
      <c r="G18" s="29">
        <v>7</v>
      </c>
      <c r="H18" s="39">
        <f>('Flow cytometer'!F18/'Flow cytometer'!G18)*POWER(10,'Flow cytometer'!E18+2)*10.2</f>
        <v>732360000</v>
      </c>
      <c r="I18" s="29">
        <v>2</v>
      </c>
      <c r="J18" s="29">
        <v>49378</v>
      </c>
      <c r="K18" s="29">
        <v>7</v>
      </c>
      <c r="L18" s="39">
        <f>('Flow cytometer'!J18/'Flow cytometer'!K18)*POWER(10,'Flow cytometer'!I18+2)*10.2</f>
        <v>719508000</v>
      </c>
      <c r="M18" s="29">
        <v>2</v>
      </c>
      <c r="N18" s="29">
        <v>45733</v>
      </c>
      <c r="O18" s="29">
        <v>7</v>
      </c>
      <c r="P18" s="39">
        <f>('Flow cytometer'!N18/'Flow cytometer'!O18)*POWER(10,'Flow cytometer'!M18+2)*10.2</f>
        <v>666395142.85714293</v>
      </c>
      <c r="Q18" s="42">
        <f>AVERAGE(H18,L18,P18)*Calculation!I18/Calculation!K17</f>
        <v>712758566.78647172</v>
      </c>
      <c r="R18" s="43">
        <f>STDEV(H18,L18,P18)*Calculation!I18/Calculation!K17</f>
        <v>35300639.60135375</v>
      </c>
      <c r="S18" s="44">
        <f t="shared" si="0"/>
        <v>8.8529424458843149</v>
      </c>
      <c r="T18" s="44">
        <f t="shared" si="1"/>
        <v>20.38465330502747</v>
      </c>
      <c r="U18" s="44">
        <f t="shared" si="2"/>
        <v>8.8647246160042172</v>
      </c>
      <c r="V18" s="44">
        <f t="shared" si="3"/>
        <v>8.8570356270933885</v>
      </c>
      <c r="W18" s="44">
        <f t="shared" si="4"/>
        <v>8.8237318229755193</v>
      </c>
      <c r="X18" s="44">
        <f xml:space="preserve"> STDEV(U18:W18)*Calculation!I18/Calculation!K17</f>
        <v>2.1995278502063492E-2</v>
      </c>
    </row>
    <row r="19" spans="1:24">
      <c r="A19" s="49">
        <v>15</v>
      </c>
      <c r="B19" s="50">
        <v>355</v>
      </c>
      <c r="C19" s="50">
        <v>1795</v>
      </c>
      <c r="D19" s="69">
        <v>30</v>
      </c>
      <c r="E19" s="29">
        <v>2</v>
      </c>
      <c r="F19" s="29">
        <v>48936</v>
      </c>
      <c r="G19" s="29">
        <v>7</v>
      </c>
      <c r="H19" s="39">
        <f>('Flow cytometer'!F19/'Flow cytometer'!G19)*POWER(10,'Flow cytometer'!E19+2)*10.2</f>
        <v>713067428.57142854</v>
      </c>
      <c r="I19" s="29">
        <v>2</v>
      </c>
      <c r="J19" s="29">
        <v>52200</v>
      </c>
      <c r="K19" s="29">
        <v>7</v>
      </c>
      <c r="L19" s="39">
        <f>('Flow cytometer'!J19/'Flow cytometer'!K19)*POWER(10,'Flow cytometer'!I19+2)*10.2</f>
        <v>760628571.42857134</v>
      </c>
      <c r="M19" s="29">
        <v>2</v>
      </c>
      <c r="N19" s="29">
        <v>42141</v>
      </c>
      <c r="O19" s="29">
        <v>7</v>
      </c>
      <c r="P19" s="39">
        <f>('Flow cytometer'!N19/'Flow cytometer'!O19)*POWER(10,'Flow cytometer'!M19+2)*10.2</f>
        <v>614054571.42857134</v>
      </c>
      <c r="Q19" s="42">
        <f>AVERAGE(H19,L19,P19)*Calculation!I19/Calculation!K18</f>
        <v>711903808.9734478</v>
      </c>
      <c r="R19" s="43">
        <f>STDEV(H19,L19,P19)*Calculation!I19/Calculation!K18</f>
        <v>76494754.74001427</v>
      </c>
      <c r="S19" s="44">
        <f t="shared" si="0"/>
        <v>8.8524213165944321</v>
      </c>
      <c r="T19" s="44">
        <f t="shared" si="1"/>
        <v>20.383453360493061</v>
      </c>
      <c r="U19" s="44">
        <f t="shared" si="2"/>
        <v>8.8531305992374065</v>
      </c>
      <c r="V19" s="44">
        <f t="shared" si="3"/>
        <v>8.8811726347499231</v>
      </c>
      <c r="W19" s="44">
        <f t="shared" si="4"/>
        <v>8.7882069688889626</v>
      </c>
      <c r="X19" s="44">
        <f xml:space="preserve"> STDEV(U19:W19)*Calculation!I19/Calculation!K18</f>
        <v>4.8782040580456029E-2</v>
      </c>
    </row>
    <row r="20" spans="1:24">
      <c r="A20" s="49">
        <v>16</v>
      </c>
      <c r="B20" s="50">
        <v>1085</v>
      </c>
      <c r="C20" s="50">
        <v>2880</v>
      </c>
      <c r="D20" s="69">
        <v>48</v>
      </c>
      <c r="E20" s="29">
        <v>3</v>
      </c>
      <c r="F20" s="29">
        <v>11759</v>
      </c>
      <c r="G20" s="29">
        <v>7</v>
      </c>
      <c r="H20" s="39">
        <f>('Flow cytometer'!F20/'Flow cytometer'!G20)*POWER(10,'Flow cytometer'!E20+2)*10.2</f>
        <v>1713454285.7142856</v>
      </c>
      <c r="I20" s="29">
        <v>3</v>
      </c>
      <c r="J20" s="29">
        <v>9246</v>
      </c>
      <c r="K20" s="29">
        <v>7</v>
      </c>
      <c r="L20" s="39">
        <f>('Flow cytometer'!J20/'Flow cytometer'!K20)*POWER(10,'Flow cytometer'!I20+2)*10.2</f>
        <v>1347274285.7142856</v>
      </c>
      <c r="M20" s="29">
        <v>3</v>
      </c>
      <c r="N20" s="29">
        <v>10330</v>
      </c>
      <c r="O20" s="29">
        <v>7</v>
      </c>
      <c r="P20" s="39">
        <f>('Flow cytometer'!N20/'Flow cytometer'!O20)*POWER(10,'Flow cytometer'!M20+2)*10.2</f>
        <v>1505228571.4285712</v>
      </c>
      <c r="Q20" s="42">
        <f>AVERAGE(H20,L20,P20)*Calculation!I20/Calculation!K19</f>
        <v>1630804833.569428</v>
      </c>
      <c r="R20" s="43">
        <f>STDEV(H20,L20,P20)*Calculation!I20/Calculation!K19</f>
        <v>196795877.68327957</v>
      </c>
      <c r="S20" s="44">
        <f>LOG(Q20)</f>
        <v>9.2124019899946266</v>
      </c>
      <c r="T20" s="44">
        <f>LN(Q20)</f>
        <v>21.21233949283031</v>
      </c>
      <c r="U20" s="44">
        <f>LOG(H20)</f>
        <v>9.2338725221146642</v>
      </c>
      <c r="V20" s="44">
        <f>LOG(L20)</f>
        <v>9.1294560208497231</v>
      </c>
      <c r="W20" s="44">
        <f>LOG(P20)</f>
        <v>9.1776024532672817</v>
      </c>
      <c r="X20" s="44">
        <f xml:space="preserve"> STDEV(U20:W20)*Calculation!I20/Calculation!K19</f>
        <v>5.599744818418257E-2</v>
      </c>
    </row>
    <row r="21" spans="1:24">
      <c r="A21" s="49">
        <v>17</v>
      </c>
      <c r="B21" s="50">
        <v>360</v>
      </c>
      <c r="C21" s="50">
        <v>3240</v>
      </c>
      <c r="D21" s="69">
        <v>54</v>
      </c>
      <c r="E21" s="29">
        <v>3</v>
      </c>
      <c r="F21" s="29">
        <v>13362</v>
      </c>
      <c r="G21" s="29">
        <v>7</v>
      </c>
      <c r="H21" s="39">
        <f>('Flow cytometer'!F21/'Flow cytometer'!G21)*POWER(10,'Flow cytometer'!E21+2)*10.2</f>
        <v>1947034285.7142856</v>
      </c>
      <c r="I21" s="29">
        <v>3</v>
      </c>
      <c r="J21" s="29">
        <v>13141</v>
      </c>
      <c r="K21" s="29">
        <v>7</v>
      </c>
      <c r="L21" s="39">
        <f>('Flow cytometer'!J21/'Flow cytometer'!K21)*POWER(10,'Flow cytometer'!I21+2)*10.2</f>
        <v>1914831428.5714285</v>
      </c>
      <c r="M21" s="29">
        <v>3</v>
      </c>
      <c r="N21" s="29">
        <v>11937</v>
      </c>
      <c r="O21" s="29">
        <v>7</v>
      </c>
      <c r="P21" s="39">
        <f>('Flow cytometer'!N21/'Flow cytometer'!O21)*POWER(10,'Flow cytometer'!M21+2)*10.2</f>
        <v>1739391428.5714285</v>
      </c>
      <c r="Q21" s="42">
        <f>AVERAGE(H21,L21,P21)*Calculation!I21/Calculation!K20</f>
        <v>2029084492.2240973</v>
      </c>
      <c r="R21" s="43">
        <f>STDEV(H21,L21,P21)*Calculation!I21/Calculation!K20</f>
        <v>121448808.09494354</v>
      </c>
      <c r="S21" s="44">
        <f>LOG(Q21)</f>
        <v>9.3073001316773514</v>
      </c>
      <c r="T21" s="44">
        <f>LN(Q21)</f>
        <v>21.43085053922179</v>
      </c>
      <c r="U21" s="44">
        <f t="shared" ref="U21:U22" si="5">LOG(H21)</f>
        <v>9.2893735991653426</v>
      </c>
      <c r="V21" s="44">
        <f t="shared" ref="V21:V22" si="6">LOG(L21)</f>
        <v>9.2821305470442592</v>
      </c>
      <c r="W21" s="44">
        <f t="shared" ref="W21:W22" si="7">LOG(P21)</f>
        <v>9.2403973256137117</v>
      </c>
      <c r="X21" s="44">
        <f xml:space="preserve"> STDEV(U21:W21)*Calculation!I21/Calculation!K20</f>
        <v>2.8728454914799875E-2</v>
      </c>
    </row>
    <row r="22" spans="1:24">
      <c r="A22" s="49">
        <v>18</v>
      </c>
      <c r="B22" s="50">
        <v>1080</v>
      </c>
      <c r="C22" s="50">
        <v>4320</v>
      </c>
      <c r="D22" s="69">
        <v>72</v>
      </c>
      <c r="E22" s="29">
        <v>3</v>
      </c>
      <c r="F22" s="29">
        <v>15435</v>
      </c>
      <c r="G22" s="29">
        <v>7</v>
      </c>
      <c r="H22" s="39">
        <f>('Flow cytometer'!F22/'Flow cytometer'!G22)*POWER(10,'Flow cytometer'!E22+2)*10.2</f>
        <v>2249100000</v>
      </c>
      <c r="I22" s="29">
        <v>3</v>
      </c>
      <c r="J22" s="29">
        <v>16749</v>
      </c>
      <c r="K22" s="29">
        <v>7</v>
      </c>
      <c r="L22" s="39">
        <f>('Flow cytometer'!J22/'Flow cytometer'!K22)*POWER(10,'Flow cytometer'!I22+2)*10.2</f>
        <v>2440568571.4285712</v>
      </c>
      <c r="M22" s="29">
        <v>3</v>
      </c>
      <c r="N22" s="29">
        <v>15715</v>
      </c>
      <c r="O22" s="29">
        <v>7</v>
      </c>
      <c r="P22" s="39">
        <f>('Flow cytometer'!N22/'Flow cytometer'!O22)*POWER(10,'Flow cytometer'!M22+2)*10.2</f>
        <v>2289900000</v>
      </c>
      <c r="Q22" s="42">
        <f>AVERAGE(H22,L22,P22)*Calculation!I22/Calculation!K21</f>
        <v>2579223805.7989821</v>
      </c>
      <c r="R22" s="43">
        <f>STDEV(H22,L22,P22)*Calculation!I22/Calculation!K21</f>
        <v>111805476.68576968</v>
      </c>
      <c r="S22" s="44">
        <f>LOG(Q22)</f>
        <v>9.4114890286080239</v>
      </c>
      <c r="T22" s="44">
        <f>LN(Q22)</f>
        <v>21.670754340149845</v>
      </c>
      <c r="U22" s="44">
        <f t="shared" si="5"/>
        <v>9.3520087655657758</v>
      </c>
      <c r="V22" s="44">
        <f t="shared" si="6"/>
        <v>9.387491014317753</v>
      </c>
      <c r="W22" s="44">
        <f t="shared" si="7"/>
        <v>9.3598165171012599</v>
      </c>
      <c r="X22" s="44">
        <f xml:space="preserve"> STDEV(U22:W22)*Calculation!I22/Calculation!K21</f>
        <v>2.0670234568591812E-2</v>
      </c>
    </row>
    <row r="62" spans="17:19">
      <c r="Q62" t="s">
        <v>117</v>
      </c>
    </row>
    <row r="63" spans="17:19" ht="16">
      <c r="Q63" t="s">
        <v>118</v>
      </c>
      <c r="R63">
        <v>0.53339999999999999</v>
      </c>
      <c r="S63" t="s">
        <v>119</v>
      </c>
    </row>
    <row r="64" spans="17:19">
      <c r="Q64" t="s">
        <v>120</v>
      </c>
    </row>
    <row r="65" spans="17:21" ht="16">
      <c r="Q65" t="s">
        <v>121</v>
      </c>
      <c r="R65">
        <v>14.782999999999999</v>
      </c>
    </row>
    <row r="67" spans="17:21" ht="16">
      <c r="Q67" t="s">
        <v>122</v>
      </c>
      <c r="R67">
        <v>0.99528000000000005</v>
      </c>
    </row>
    <row r="70" spans="17:21">
      <c r="Q70" t="s">
        <v>123</v>
      </c>
      <c r="R70">
        <f>LN(2)/R63</f>
        <v>1.299488527483962</v>
      </c>
      <c r="S70" t="s">
        <v>124</v>
      </c>
    </row>
    <row r="73" spans="17:21">
      <c r="Q73" s="56"/>
      <c r="R73" s="56" t="s">
        <v>125</v>
      </c>
      <c r="S73" s="56"/>
      <c r="T73" s="56" t="s">
        <v>126</v>
      </c>
      <c r="U73" s="56"/>
    </row>
    <row r="74" spans="17:21">
      <c r="Q74" s="56"/>
      <c r="R74" s="56"/>
      <c r="S74" s="56"/>
      <c r="T74" s="56"/>
      <c r="U74" s="56"/>
    </row>
    <row r="75" spans="17:21" ht="16">
      <c r="Q75">
        <v>0.53339999999999999</v>
      </c>
      <c r="R75" s="57">
        <f>AVERAGE(Q75:Q76)</f>
        <v>0.53339999999999999</v>
      </c>
      <c r="S75" s="56" t="s">
        <v>127</v>
      </c>
      <c r="T75" s="57" t="e">
        <f>STDEV(Q75:Q76)</f>
        <v>#DIV/0!</v>
      </c>
      <c r="U75" s="56" t="s">
        <v>127</v>
      </c>
    </row>
    <row r="76" spans="17:21">
      <c r="Q76" s="56"/>
      <c r="R76" s="56"/>
      <c r="S76" s="56"/>
      <c r="T76" s="56"/>
      <c r="U76" s="56"/>
    </row>
    <row r="77" spans="17:21">
      <c r="Q77" s="56"/>
      <c r="R77" s="56"/>
      <c r="S77" s="56"/>
      <c r="T77" s="56"/>
      <c r="U77" s="56"/>
    </row>
    <row r="78" spans="17:21">
      <c r="R78" t="s">
        <v>128</v>
      </c>
    </row>
    <row r="80" spans="17:21">
      <c r="R80">
        <f>LN(2)/R75</f>
        <v>1.299488527483962</v>
      </c>
      <c r="S80" t="s">
        <v>124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25" sqref="I25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92" t="s">
        <v>4</v>
      </c>
      <c r="B1" s="92" t="s">
        <v>103</v>
      </c>
      <c r="C1" s="92" t="s">
        <v>103</v>
      </c>
      <c r="D1" s="92" t="s">
        <v>5</v>
      </c>
      <c r="E1" s="92" t="s">
        <v>19</v>
      </c>
      <c r="F1" s="92" t="s">
        <v>24</v>
      </c>
      <c r="G1" s="94" t="s">
        <v>25</v>
      </c>
      <c r="H1" s="95" t="s">
        <v>26</v>
      </c>
      <c r="I1" s="3" t="s">
        <v>27</v>
      </c>
      <c r="J1" s="51" t="s">
        <v>27</v>
      </c>
    </row>
    <row r="2" spans="1:10">
      <c r="A2" s="93"/>
      <c r="B2" s="93"/>
      <c r="C2" s="93"/>
      <c r="D2" s="93"/>
      <c r="E2" s="93"/>
      <c r="F2" s="93"/>
      <c r="G2" s="94"/>
      <c r="H2" s="95"/>
      <c r="I2" s="4" t="s">
        <v>28</v>
      </c>
      <c r="J2" s="52" t="s">
        <v>23</v>
      </c>
    </row>
    <row r="3" spans="1:10">
      <c r="A3" s="47" t="s">
        <v>6</v>
      </c>
      <c r="B3" s="48">
        <v>-10</v>
      </c>
      <c r="C3" s="48">
        <v>-10</v>
      </c>
      <c r="D3" s="59">
        <v>0</v>
      </c>
      <c r="E3" s="36">
        <v>1</v>
      </c>
      <c r="F3" s="45">
        <v>9.6000000000000002E-2</v>
      </c>
      <c r="G3" s="45">
        <v>9.6000000000000002E-2</v>
      </c>
      <c r="H3" s="45">
        <v>9.6000000000000002E-2</v>
      </c>
      <c r="I3" s="46">
        <f>E3*(AVERAGE(F3:H3)*1.6007-0.0118)</f>
        <v>0.14186720000000003</v>
      </c>
      <c r="J3" s="53">
        <f>E3*(STDEV(F3:H3)*1.6007)</f>
        <v>2.7206696834821082E-17</v>
      </c>
    </row>
    <row r="4" spans="1:10">
      <c r="A4" s="49">
        <v>0</v>
      </c>
      <c r="B4" s="50">
        <v>10</v>
      </c>
      <c r="C4" s="50">
        <v>10</v>
      </c>
      <c r="D4" s="69">
        <v>0</v>
      </c>
      <c r="E4" s="36">
        <v>1</v>
      </c>
      <c r="F4" s="45">
        <v>0.10299999999999999</v>
      </c>
      <c r="G4" s="45">
        <v>0.10299999999999999</v>
      </c>
      <c r="H4" s="45">
        <v>0.10299999999999999</v>
      </c>
      <c r="I4" s="46">
        <f>E4*(AVERAGE(F4:H4)*1.6007-0.0118)</f>
        <v>0.15307209999999999</v>
      </c>
      <c r="J4" s="53">
        <f t="shared" ref="J4:J19" si="0">E4*(STDEV(F4:H4)*1.6007)</f>
        <v>0</v>
      </c>
    </row>
    <row r="5" spans="1:10">
      <c r="A5" s="49">
        <v>1</v>
      </c>
      <c r="B5" s="50">
        <v>110</v>
      </c>
      <c r="C5" s="50">
        <v>120</v>
      </c>
      <c r="D5" s="69">
        <v>2</v>
      </c>
      <c r="E5" s="36">
        <v>1</v>
      </c>
      <c r="F5" s="45">
        <v>0.1</v>
      </c>
      <c r="G5" s="45">
        <v>0.1</v>
      </c>
      <c r="H5" s="45">
        <v>0.1</v>
      </c>
      <c r="I5" s="46">
        <f t="shared" ref="I5:I19" si="1">E5*(AVERAGE(F5:H5)*1.6007-0.0118)</f>
        <v>0.14827000000000004</v>
      </c>
      <c r="J5" s="53">
        <f t="shared" si="0"/>
        <v>2.7206696834821082E-17</v>
      </c>
    </row>
    <row r="6" spans="1:10">
      <c r="A6" s="49">
        <v>2</v>
      </c>
      <c r="B6" s="50">
        <v>80</v>
      </c>
      <c r="C6" s="50">
        <v>200</v>
      </c>
      <c r="D6" s="69">
        <v>3</v>
      </c>
      <c r="E6" s="36">
        <v>1</v>
      </c>
      <c r="F6" s="45">
        <v>0.10100000000000001</v>
      </c>
      <c r="G6" s="45">
        <v>0.10100000000000001</v>
      </c>
      <c r="H6" s="45">
        <v>0.10100000000000001</v>
      </c>
      <c r="I6" s="46">
        <f t="shared" si="1"/>
        <v>0.14987070000000002</v>
      </c>
      <c r="J6" s="53">
        <f t="shared" si="0"/>
        <v>2.7206696834821082E-17</v>
      </c>
    </row>
    <row r="7" spans="1:10">
      <c r="A7" s="49">
        <v>3</v>
      </c>
      <c r="B7" s="50">
        <v>80</v>
      </c>
      <c r="C7" s="50">
        <v>280</v>
      </c>
      <c r="D7" s="69">
        <v>5</v>
      </c>
      <c r="E7" s="36">
        <v>1</v>
      </c>
      <c r="F7" s="45">
        <v>0.104</v>
      </c>
      <c r="G7" s="45">
        <v>0.104</v>
      </c>
      <c r="H7" s="45">
        <v>0.104</v>
      </c>
      <c r="I7" s="46">
        <f t="shared" si="1"/>
        <v>0.1546728</v>
      </c>
      <c r="J7" s="53">
        <f t="shared" si="0"/>
        <v>0</v>
      </c>
    </row>
    <row r="8" spans="1:10">
      <c r="A8" s="49">
        <v>4</v>
      </c>
      <c r="B8" s="50">
        <v>80</v>
      </c>
      <c r="C8" s="50">
        <v>360</v>
      </c>
      <c r="D8" s="69">
        <v>6</v>
      </c>
      <c r="E8" s="36">
        <v>1</v>
      </c>
      <c r="F8" s="45">
        <v>0.111</v>
      </c>
      <c r="G8" s="45">
        <v>0.111</v>
      </c>
      <c r="H8" s="45">
        <v>0.111</v>
      </c>
      <c r="I8" s="46">
        <f t="shared" si="1"/>
        <v>0.16587769999999999</v>
      </c>
      <c r="J8" s="53">
        <f t="shared" si="0"/>
        <v>0</v>
      </c>
    </row>
    <row r="9" spans="1:10">
      <c r="A9" s="49">
        <v>5</v>
      </c>
      <c r="B9" s="50">
        <v>80</v>
      </c>
      <c r="C9" s="50">
        <v>440</v>
      </c>
      <c r="D9" s="69">
        <v>7</v>
      </c>
      <c r="E9" s="36">
        <v>1</v>
      </c>
      <c r="F9" s="45">
        <v>0.11700000000000001</v>
      </c>
      <c r="G9" s="45">
        <v>0.11700000000000001</v>
      </c>
      <c r="H9" s="45">
        <v>0.11700000000000001</v>
      </c>
      <c r="I9" s="46">
        <f t="shared" si="1"/>
        <v>0.1754819</v>
      </c>
      <c r="J9" s="53">
        <f t="shared" si="0"/>
        <v>0</v>
      </c>
    </row>
    <row r="10" spans="1:10">
      <c r="A10" s="49">
        <v>6</v>
      </c>
      <c r="B10" s="50">
        <v>95</v>
      </c>
      <c r="C10" s="50">
        <v>535</v>
      </c>
      <c r="D10" s="69">
        <v>9</v>
      </c>
      <c r="E10" s="36">
        <v>1</v>
      </c>
      <c r="F10" s="45">
        <v>0.121</v>
      </c>
      <c r="G10" s="45">
        <v>0.121</v>
      </c>
      <c r="H10" s="45">
        <v>0.121</v>
      </c>
      <c r="I10" s="46">
        <f t="shared" si="1"/>
        <v>0.18188469999999998</v>
      </c>
      <c r="J10" s="53">
        <f t="shared" si="0"/>
        <v>0</v>
      </c>
    </row>
    <row r="11" spans="1:10">
      <c r="A11" s="49">
        <v>7</v>
      </c>
      <c r="B11" s="50">
        <v>85</v>
      </c>
      <c r="C11" s="50">
        <v>620</v>
      </c>
      <c r="D11" s="69">
        <v>10</v>
      </c>
      <c r="E11" s="36">
        <v>1</v>
      </c>
      <c r="F11" s="45">
        <v>0.13100000000000001</v>
      </c>
      <c r="G11" s="45">
        <v>0.13100000000000001</v>
      </c>
      <c r="H11" s="45">
        <v>0.13100000000000001</v>
      </c>
      <c r="I11" s="46">
        <f t="shared" si="1"/>
        <v>0.1978917</v>
      </c>
      <c r="J11" s="53">
        <f t="shared" si="0"/>
        <v>0</v>
      </c>
    </row>
    <row r="12" spans="1:10">
      <c r="A12" s="49">
        <v>8</v>
      </c>
      <c r="B12" s="50">
        <v>60</v>
      </c>
      <c r="C12" s="50">
        <v>680</v>
      </c>
      <c r="D12" s="69">
        <v>11</v>
      </c>
      <c r="E12" s="36">
        <v>1</v>
      </c>
      <c r="F12" s="45">
        <v>0.13800000000000001</v>
      </c>
      <c r="G12" s="45">
        <v>0.13800000000000001</v>
      </c>
      <c r="H12" s="45">
        <v>0.13800000000000001</v>
      </c>
      <c r="I12" s="46">
        <f t="shared" si="1"/>
        <v>0.20909660000000002</v>
      </c>
      <c r="J12" s="53">
        <f t="shared" si="0"/>
        <v>0</v>
      </c>
    </row>
    <row r="13" spans="1:10">
      <c r="A13" s="49">
        <v>9</v>
      </c>
      <c r="B13" s="50">
        <v>80</v>
      </c>
      <c r="C13" s="50">
        <v>760</v>
      </c>
      <c r="D13" s="69">
        <v>13</v>
      </c>
      <c r="E13" s="36">
        <v>1</v>
      </c>
      <c r="F13" s="45">
        <v>0.154</v>
      </c>
      <c r="G13" s="45">
        <v>0.154</v>
      </c>
      <c r="H13" s="45">
        <v>0.154</v>
      </c>
      <c r="I13" s="46">
        <f t="shared" si="1"/>
        <v>0.23470779999999999</v>
      </c>
      <c r="J13" s="53">
        <f t="shared" si="0"/>
        <v>0</v>
      </c>
    </row>
    <row r="14" spans="1:10">
      <c r="A14" s="49">
        <v>10</v>
      </c>
      <c r="B14" s="50">
        <v>80</v>
      </c>
      <c r="C14" s="50">
        <v>840</v>
      </c>
      <c r="D14" s="69">
        <v>14</v>
      </c>
      <c r="E14" s="36">
        <v>1</v>
      </c>
      <c r="F14" s="45">
        <v>0.17499999999999999</v>
      </c>
      <c r="G14" s="45">
        <v>0.17499999999999999</v>
      </c>
      <c r="H14" s="45">
        <v>0.17499999999999999</v>
      </c>
      <c r="I14" s="46">
        <f t="shared" si="1"/>
        <v>0.26832249999999996</v>
      </c>
      <c r="J14" s="53">
        <f t="shared" si="0"/>
        <v>5.4413393669642165E-17</v>
      </c>
    </row>
    <row r="15" spans="1:10">
      <c r="A15" s="49">
        <v>11</v>
      </c>
      <c r="B15" s="50">
        <v>80</v>
      </c>
      <c r="C15" s="50">
        <v>920</v>
      </c>
      <c r="D15" s="69">
        <v>15</v>
      </c>
      <c r="E15" s="36">
        <v>1</v>
      </c>
      <c r="F15" s="45">
        <v>0.20799999999999999</v>
      </c>
      <c r="G15" s="45">
        <v>0.20799999999999999</v>
      </c>
      <c r="H15" s="45">
        <v>0.20799999999999999</v>
      </c>
      <c r="I15" s="46">
        <f t="shared" si="1"/>
        <v>0.32114560000000003</v>
      </c>
      <c r="J15" s="53">
        <f t="shared" si="0"/>
        <v>0</v>
      </c>
    </row>
    <row r="16" spans="1:10">
      <c r="A16" s="49">
        <v>12</v>
      </c>
      <c r="B16" s="50">
        <v>80</v>
      </c>
      <c r="C16" s="50">
        <v>1000</v>
      </c>
      <c r="D16" s="69">
        <v>17</v>
      </c>
      <c r="E16" s="36">
        <v>1</v>
      </c>
      <c r="F16" s="45">
        <v>0.26200000000000001</v>
      </c>
      <c r="G16" s="45">
        <v>0.26200000000000001</v>
      </c>
      <c r="H16" s="45">
        <v>0.26200000000000001</v>
      </c>
      <c r="I16" s="46">
        <f t="shared" si="1"/>
        <v>0.40758340000000004</v>
      </c>
      <c r="J16" s="53">
        <f t="shared" si="0"/>
        <v>0</v>
      </c>
    </row>
    <row r="17" spans="1:10">
      <c r="A17" s="49">
        <v>13</v>
      </c>
      <c r="B17" s="50">
        <v>80</v>
      </c>
      <c r="C17" s="50">
        <v>1080</v>
      </c>
      <c r="D17" s="69">
        <v>18</v>
      </c>
      <c r="E17" s="36">
        <v>1</v>
      </c>
      <c r="F17" s="45">
        <v>0.33400000000000002</v>
      </c>
      <c r="G17" s="45">
        <v>0.33400000000000002</v>
      </c>
      <c r="H17" s="45">
        <v>0.33400000000000002</v>
      </c>
      <c r="I17" s="46">
        <f t="shared" si="1"/>
        <v>0.52283380000000002</v>
      </c>
      <c r="J17" s="53">
        <f t="shared" si="0"/>
        <v>0</v>
      </c>
    </row>
    <row r="18" spans="1:10">
      <c r="A18" s="49">
        <v>14</v>
      </c>
      <c r="B18" s="50">
        <v>360</v>
      </c>
      <c r="C18" s="50">
        <v>1440</v>
      </c>
      <c r="D18" s="69">
        <v>24</v>
      </c>
      <c r="E18" s="36">
        <v>10</v>
      </c>
      <c r="F18" s="45">
        <v>3.5000000000000003E-2</v>
      </c>
      <c r="G18" s="45">
        <v>3.6999999999999998E-2</v>
      </c>
      <c r="H18" s="45">
        <v>4.3999999999999997E-2</v>
      </c>
      <c r="I18" s="46">
        <f t="shared" si="1"/>
        <v>0.50093733333333346</v>
      </c>
      <c r="J18" s="53">
        <f t="shared" si="0"/>
        <v>7.5646130729425456E-2</v>
      </c>
    </row>
    <row r="19" spans="1:10">
      <c r="A19" s="49">
        <v>15</v>
      </c>
      <c r="B19" s="50">
        <v>355</v>
      </c>
      <c r="C19" s="50">
        <v>1795</v>
      </c>
      <c r="D19" s="69">
        <v>30</v>
      </c>
      <c r="E19" s="36">
        <v>10</v>
      </c>
      <c r="F19" s="45">
        <v>3.3000000000000002E-2</v>
      </c>
      <c r="G19" s="45">
        <v>3.2000000000000001E-2</v>
      </c>
      <c r="H19" s="45">
        <v>4.4999999999999998E-2</v>
      </c>
      <c r="I19" s="46">
        <f t="shared" si="1"/>
        <v>0.46892333333333336</v>
      </c>
      <c r="J19" s="53">
        <f t="shared" si="0"/>
        <v>0.11579748945609042</v>
      </c>
    </row>
    <row r="20" spans="1:10">
      <c r="A20" s="49">
        <v>16</v>
      </c>
      <c r="B20" s="50">
        <v>1085</v>
      </c>
      <c r="C20" s="50">
        <v>2880</v>
      </c>
      <c r="D20" s="69">
        <v>48</v>
      </c>
      <c r="E20" s="36">
        <v>10</v>
      </c>
      <c r="F20" s="45">
        <v>4.3999999999999997E-2</v>
      </c>
      <c r="G20" s="45">
        <v>4.9000000000000002E-2</v>
      </c>
      <c r="H20" s="45">
        <v>4.5999999999999999E-2</v>
      </c>
      <c r="I20" s="46">
        <f>E20*(AVERAGE(F20:H20)*1.6007-0.0118)</f>
        <v>0.62365766666666678</v>
      </c>
      <c r="J20" s="53">
        <f>E20*(STDEV(F20:H20)*1.6007)</f>
        <v>4.0283399935126328E-2</v>
      </c>
    </row>
    <row r="21" spans="1:10">
      <c r="A21" s="49">
        <v>17</v>
      </c>
      <c r="B21" s="50">
        <v>360</v>
      </c>
      <c r="C21" s="50">
        <v>3240</v>
      </c>
      <c r="D21" s="69">
        <v>54</v>
      </c>
      <c r="E21" s="36">
        <v>10</v>
      </c>
      <c r="F21" s="45">
        <v>4.1000000000000002E-2</v>
      </c>
      <c r="G21" s="45">
        <v>3.9E-2</v>
      </c>
      <c r="H21" s="45">
        <v>0.04</v>
      </c>
      <c r="I21" s="46">
        <f>E21*(AVERAGE(F21:H21)*1.6007-0.0118)</f>
        <v>0.52228000000000008</v>
      </c>
      <c r="J21" s="53">
        <f>E21*(STDEV(F21:H21)*1.6007)</f>
        <v>1.6007000000000014E-2</v>
      </c>
    </row>
    <row r="22" spans="1:10">
      <c r="A22" s="49">
        <v>18</v>
      </c>
      <c r="B22" s="50">
        <v>1080</v>
      </c>
      <c r="C22" s="50">
        <v>4320</v>
      </c>
      <c r="D22" s="69">
        <v>72</v>
      </c>
      <c r="E22" s="36">
        <v>10</v>
      </c>
      <c r="F22" s="45">
        <v>0.02</v>
      </c>
      <c r="G22" s="45">
        <v>2.1999999999999999E-2</v>
      </c>
      <c r="H22" s="45">
        <v>2.1999999999999999E-2</v>
      </c>
      <c r="I22" s="46">
        <f>E22*(AVERAGE(F22:H22)*1.6007-0.0118)</f>
        <v>0.22348266666666666</v>
      </c>
      <c r="J22" s="53">
        <f>E22*(STDEV(F22:H22)*1.6007)</f>
        <v>1.8483291517836661E-2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8" sqref="E18:G22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92" t="s">
        <v>4</v>
      </c>
      <c r="B1" s="92" t="s">
        <v>103</v>
      </c>
      <c r="C1" s="92" t="s">
        <v>103</v>
      </c>
      <c r="D1" s="92" t="s">
        <v>5</v>
      </c>
      <c r="E1" s="3" t="s">
        <v>29</v>
      </c>
      <c r="F1" s="3" t="s">
        <v>2</v>
      </c>
      <c r="G1" s="3" t="s">
        <v>32</v>
      </c>
    </row>
    <row r="2" spans="1:7">
      <c r="A2" s="93"/>
      <c r="B2" s="93"/>
      <c r="C2" s="93"/>
      <c r="D2" s="93"/>
      <c r="E2" s="4" t="s">
        <v>30</v>
      </c>
      <c r="F2" s="4" t="s">
        <v>31</v>
      </c>
      <c r="G2" s="4" t="s">
        <v>33</v>
      </c>
    </row>
    <row r="3" spans="1:7">
      <c r="A3" s="47" t="s">
        <v>6</v>
      </c>
      <c r="B3" s="48">
        <v>-10</v>
      </c>
      <c r="C3" s="48">
        <v>-10</v>
      </c>
      <c r="D3" s="59">
        <v>0</v>
      </c>
      <c r="E3" s="1"/>
      <c r="F3" s="1"/>
      <c r="G3" s="1" t="e">
        <f>(F3-$C$24)/E3*1000*Calculation!I4/Calculation!K3</f>
        <v>#DIV/0!</v>
      </c>
    </row>
    <row r="4" spans="1:7">
      <c r="A4" s="49">
        <v>0</v>
      </c>
      <c r="B4" s="50">
        <v>10</v>
      </c>
      <c r="C4" s="50">
        <v>10</v>
      </c>
      <c r="D4" s="69">
        <v>0</v>
      </c>
      <c r="E4" s="1"/>
      <c r="F4" s="1"/>
      <c r="G4" s="1" t="e">
        <f>(F4-$C$24)/E4*1000*Calculation!I5/Calculation!K4</f>
        <v>#DIV/0!</v>
      </c>
    </row>
    <row r="5" spans="1:7">
      <c r="A5" s="49">
        <v>1</v>
      </c>
      <c r="B5" s="50">
        <v>110</v>
      </c>
      <c r="C5" s="50">
        <v>120</v>
      </c>
      <c r="D5" s="69">
        <v>2</v>
      </c>
      <c r="E5" s="1"/>
      <c r="F5" s="1"/>
      <c r="G5" s="1" t="e">
        <f>(F5-$C$24)/E5*1000*Calculation!I6/Calculation!K5</f>
        <v>#DIV/0!</v>
      </c>
    </row>
    <row r="6" spans="1:7">
      <c r="A6" s="49">
        <v>2</v>
      </c>
      <c r="B6" s="50">
        <v>80</v>
      </c>
      <c r="C6" s="50">
        <v>200</v>
      </c>
      <c r="D6" s="69">
        <v>3</v>
      </c>
      <c r="E6" s="1"/>
      <c r="F6" s="1"/>
      <c r="G6" s="1" t="e">
        <f>(F6-$C$24)/E6*1000*Calculation!I7/Calculation!K6</f>
        <v>#DIV/0!</v>
      </c>
    </row>
    <row r="7" spans="1:7">
      <c r="A7" s="49">
        <v>3</v>
      </c>
      <c r="B7" s="50">
        <v>80</v>
      </c>
      <c r="C7" s="50">
        <v>280</v>
      </c>
      <c r="D7" s="69">
        <v>5</v>
      </c>
      <c r="E7" s="1"/>
      <c r="F7" s="1"/>
      <c r="G7" s="1" t="e">
        <f>(F7-$C$24)/E7*1000*Calculation!I8/Calculation!K7</f>
        <v>#DIV/0!</v>
      </c>
    </row>
    <row r="8" spans="1:7">
      <c r="A8" s="49">
        <v>4</v>
      </c>
      <c r="B8" s="50">
        <v>80</v>
      </c>
      <c r="C8" s="50">
        <v>360</v>
      </c>
      <c r="D8" s="69">
        <v>6</v>
      </c>
      <c r="E8" s="1"/>
      <c r="F8" s="1"/>
      <c r="G8" s="1" t="e">
        <f>(F8-$C$24)/E8*1000*Calculation!I9/Calculation!K8</f>
        <v>#DIV/0!</v>
      </c>
    </row>
    <row r="9" spans="1:7">
      <c r="A9" s="49">
        <v>5</v>
      </c>
      <c r="B9" s="50">
        <v>80</v>
      </c>
      <c r="C9" s="50">
        <v>440</v>
      </c>
      <c r="D9" s="69">
        <v>7</v>
      </c>
      <c r="E9" s="1"/>
      <c r="F9" s="1"/>
      <c r="G9" s="1" t="e">
        <f>(F9-$C$24)/E9*1000*Calculation!I10/Calculation!K9</f>
        <v>#DIV/0!</v>
      </c>
    </row>
    <row r="10" spans="1:7">
      <c r="A10" s="49">
        <v>6</v>
      </c>
      <c r="B10" s="50">
        <v>95</v>
      </c>
      <c r="C10" s="50">
        <v>535</v>
      </c>
      <c r="D10" s="69">
        <v>9</v>
      </c>
      <c r="E10" s="1"/>
      <c r="F10" s="1"/>
      <c r="G10" s="1" t="e">
        <f>(F10-$C$24)/E10*1000*Calculation!I11/Calculation!K10</f>
        <v>#DIV/0!</v>
      </c>
    </row>
    <row r="11" spans="1:7">
      <c r="A11" s="49">
        <v>7</v>
      </c>
      <c r="B11" s="50">
        <v>85</v>
      </c>
      <c r="C11" s="50">
        <v>620</v>
      </c>
      <c r="D11" s="69">
        <v>10</v>
      </c>
      <c r="E11" s="1"/>
      <c r="F11" s="1"/>
      <c r="G11" s="1" t="e">
        <f>(F11-$C$24)/E11*1000*Calculation!I12/Calculation!K11</f>
        <v>#DIV/0!</v>
      </c>
    </row>
    <row r="12" spans="1:7">
      <c r="A12" s="49">
        <v>8</v>
      </c>
      <c r="B12" s="50">
        <v>60</v>
      </c>
      <c r="C12" s="50">
        <v>680</v>
      </c>
      <c r="D12" s="69">
        <v>11</v>
      </c>
      <c r="E12" s="1"/>
      <c r="F12" s="1"/>
      <c r="G12" s="1" t="e">
        <f>(F12-$C$24)/E12*1000*Calculation!I13/Calculation!K12</f>
        <v>#DIV/0!</v>
      </c>
    </row>
    <row r="13" spans="1:7">
      <c r="A13" s="49">
        <v>9</v>
      </c>
      <c r="B13" s="50">
        <v>80</v>
      </c>
      <c r="C13" s="50">
        <v>760</v>
      </c>
      <c r="D13" s="69">
        <v>13</v>
      </c>
      <c r="E13" s="33"/>
      <c r="F13" s="33"/>
      <c r="G13" s="33" t="e">
        <f>(F13-$C$24)/E13*1000*Calculation!I14/Calculation!K13</f>
        <v>#DIV/0!</v>
      </c>
    </row>
    <row r="14" spans="1:7">
      <c r="A14" s="49">
        <v>10</v>
      </c>
      <c r="B14" s="50">
        <v>80</v>
      </c>
      <c r="C14" s="50">
        <v>840</v>
      </c>
      <c r="D14" s="69">
        <v>14</v>
      </c>
      <c r="E14" s="33"/>
      <c r="F14" s="33"/>
      <c r="G14" s="33" t="e">
        <f>(F14-$C$24)/E14*1000*Calculation!I15/Calculation!K14</f>
        <v>#DIV/0!</v>
      </c>
    </row>
    <row r="15" spans="1:7">
      <c r="A15" s="49">
        <v>11</v>
      </c>
      <c r="B15" s="50">
        <v>80</v>
      </c>
      <c r="C15" s="50">
        <v>920</v>
      </c>
      <c r="D15" s="69">
        <v>15</v>
      </c>
      <c r="E15" s="33"/>
      <c r="F15" s="33"/>
      <c r="G15" s="33" t="e">
        <f>(F15-$C$24)/E15*1000*Calculation!I16/Calculation!K15</f>
        <v>#DIV/0!</v>
      </c>
    </row>
    <row r="16" spans="1:7">
      <c r="A16" s="49">
        <v>12</v>
      </c>
      <c r="B16" s="50">
        <v>80</v>
      </c>
      <c r="C16" s="50">
        <v>1000</v>
      </c>
      <c r="D16" s="69">
        <v>17</v>
      </c>
      <c r="E16" s="33"/>
      <c r="F16" s="33"/>
      <c r="G16" s="33" t="e">
        <f>(F16-$C$24)/E16*1000*Calculation!I17/Calculation!K16</f>
        <v>#DIV/0!</v>
      </c>
    </row>
    <row r="17" spans="1:7" ht="15" customHeight="1">
      <c r="A17" s="49">
        <v>13</v>
      </c>
      <c r="B17" s="50">
        <v>80</v>
      </c>
      <c r="C17" s="50">
        <v>1080</v>
      </c>
      <c r="D17" s="69">
        <v>18</v>
      </c>
      <c r="E17" s="33"/>
      <c r="F17" s="33"/>
      <c r="G17" s="33" t="e">
        <f>(F17-$C$24)/E17*1000*Calculation!I18/Calculation!K17</f>
        <v>#DIV/0!</v>
      </c>
    </row>
    <row r="18" spans="1:7">
      <c r="A18" s="49">
        <v>14</v>
      </c>
      <c r="B18" s="50">
        <v>360</v>
      </c>
      <c r="C18" s="50">
        <v>1440</v>
      </c>
      <c r="D18" s="69">
        <v>24</v>
      </c>
      <c r="E18" s="33"/>
      <c r="F18" s="33"/>
      <c r="G18" s="33" t="e">
        <f>(F18-$C$24)/E18*1000*Calculation!I19/Calculation!K18</f>
        <v>#DIV/0!</v>
      </c>
    </row>
    <row r="19" spans="1:7">
      <c r="A19" s="49">
        <v>15</v>
      </c>
      <c r="B19" s="50">
        <v>355</v>
      </c>
      <c r="C19" s="50">
        <v>1795</v>
      </c>
      <c r="D19" s="69">
        <v>30</v>
      </c>
      <c r="E19" s="36"/>
      <c r="F19" s="36"/>
      <c r="G19" s="36" t="e">
        <f>(F19-$C$24)/E19*1000*Calculation!I24/Calculation!K19</f>
        <v>#DIV/0!</v>
      </c>
    </row>
    <row r="20" spans="1:7">
      <c r="A20" s="49">
        <v>16</v>
      </c>
      <c r="B20" s="50">
        <v>1085</v>
      </c>
      <c r="C20" s="50">
        <v>2880</v>
      </c>
      <c r="D20" s="69">
        <v>48</v>
      </c>
      <c r="E20" s="36"/>
      <c r="F20" s="36"/>
      <c r="G20" s="36" t="e">
        <f>(F20-$C$24)/E20*1000*Calculation!I25/Calculation!K20</f>
        <v>#DIV/0!</v>
      </c>
    </row>
    <row r="21" spans="1:7">
      <c r="A21" s="49">
        <v>17</v>
      </c>
      <c r="B21" s="50">
        <v>360</v>
      </c>
      <c r="C21" s="50">
        <v>3240</v>
      </c>
      <c r="D21" s="69">
        <v>54</v>
      </c>
      <c r="E21" s="36"/>
      <c r="F21" s="36"/>
      <c r="G21" s="36" t="e">
        <f>(F21-$C$24)/E21*1000*Calculation!I22/Calculation!K21</f>
        <v>#DIV/0!</v>
      </c>
    </row>
    <row r="22" spans="1:7">
      <c r="A22" s="49">
        <v>18</v>
      </c>
      <c r="B22" s="50">
        <v>1080</v>
      </c>
      <c r="C22" s="50">
        <v>4320</v>
      </c>
      <c r="D22" s="69">
        <v>72</v>
      </c>
      <c r="E22" s="36"/>
      <c r="F22" s="36"/>
      <c r="G22" s="36" t="e">
        <f>(F22-$C$24)/E22*1000*Calculation!I27/Calculation!K22</f>
        <v>#DIV/0!</v>
      </c>
    </row>
    <row r="23" spans="1:7">
      <c r="A23" s="58"/>
      <c r="B23" s="50"/>
      <c r="C23" s="50"/>
      <c r="D23" s="60"/>
    </row>
    <row r="24" spans="1:7">
      <c r="A24" s="103" t="s">
        <v>3</v>
      </c>
      <c r="B24" s="104"/>
      <c r="C24" s="1"/>
    </row>
  </sheetData>
  <mergeCells count="5">
    <mergeCell ref="A24:B24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54"/>
  <sheetViews>
    <sheetView workbookViewId="0">
      <selection activeCell="F5" sqref="F5:F154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1" t="s">
        <v>49</v>
      </c>
      <c r="B1" s="10">
        <v>69.900000000000006</v>
      </c>
      <c r="C1" s="24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94" t="s">
        <v>5</v>
      </c>
      <c r="B3" s="94" t="s">
        <v>36</v>
      </c>
      <c r="C3" s="94"/>
      <c r="D3" s="94" t="s">
        <v>51</v>
      </c>
      <c r="E3" s="94"/>
      <c r="F3" s="94"/>
      <c r="G3" s="21" t="s">
        <v>52</v>
      </c>
    </row>
    <row r="4" spans="1:10">
      <c r="A4" s="94"/>
      <c r="B4" s="21" t="s">
        <v>53</v>
      </c>
      <c r="C4" s="21" t="s">
        <v>54</v>
      </c>
      <c r="D4" s="21" t="s">
        <v>55</v>
      </c>
      <c r="E4" s="21" t="s">
        <v>56</v>
      </c>
      <c r="F4" s="21" t="s">
        <v>57</v>
      </c>
      <c r="G4" s="21" t="s">
        <v>58</v>
      </c>
    </row>
    <row r="5" spans="1:10">
      <c r="A5" s="10">
        <v>0</v>
      </c>
      <c r="B5" s="10">
        <v>1081.1400000000001</v>
      </c>
      <c r="C5" s="10">
        <f>B5/1000</f>
        <v>1.08114</v>
      </c>
      <c r="D5" s="10">
        <f>C5/1000*$B$1</f>
        <v>7.5571685999999999E-2</v>
      </c>
      <c r="E5" s="10">
        <f>D5/22.4</f>
        <v>3.3737359821428572E-3</v>
      </c>
      <c r="F5" s="10">
        <f>E5/Calculation!K$4*1000</f>
        <v>2.2918360676075522E-3</v>
      </c>
      <c r="G5" s="10">
        <f>(0+F5)/2*30</f>
        <v>3.4377541014113285E-2</v>
      </c>
      <c r="I5" s="83">
        <v>-0.16666666666666666</v>
      </c>
      <c r="J5" t="s">
        <v>175</v>
      </c>
    </row>
    <row r="6" spans="1:10">
      <c r="A6" s="10">
        <v>0.5</v>
      </c>
      <c r="B6" s="76">
        <v>2847.23</v>
      </c>
      <c r="C6" s="10">
        <f t="shared" ref="C6:C69" si="0">B6/1000</f>
        <v>2.8472300000000001</v>
      </c>
      <c r="D6" s="10">
        <f>C6/1000*$B$1</f>
        <v>0.19902137700000003</v>
      </c>
      <c r="E6" s="10">
        <f>D6/22.4</f>
        <v>8.8848829017857157E-3</v>
      </c>
      <c r="F6" s="10">
        <f>E6/Calculation!K$4*1000</f>
        <v>6.0356516332521707E-3</v>
      </c>
      <c r="G6" s="10">
        <f>G5+(F6+F5)/2*30</f>
        <v>0.15928985652700911</v>
      </c>
      <c r="I6" s="83">
        <v>0.16666666666666666</v>
      </c>
      <c r="J6" t="s">
        <v>176</v>
      </c>
    </row>
    <row r="7" spans="1:10">
      <c r="A7" s="10">
        <v>1</v>
      </c>
      <c r="B7" s="76">
        <v>3031.06</v>
      </c>
      <c r="C7" s="10">
        <f t="shared" si="0"/>
        <v>3.0310600000000001</v>
      </c>
      <c r="D7" s="10">
        <f t="shared" ref="D7:D69" si="1">C7/1000*$B$1</f>
        <v>0.21187109400000001</v>
      </c>
      <c r="E7" s="10">
        <f t="shared" ref="E7:E69" si="2">D7/22.4</f>
        <v>9.4585309821428581E-3</v>
      </c>
      <c r="F7" s="10">
        <f>E7/Calculation!K$4*1000</f>
        <v>6.4253405026939592E-3</v>
      </c>
      <c r="G7" s="10">
        <f t="shared" ref="G7:G70" si="3">G6+(F7+F6)/2*30</f>
        <v>0.34620473856620104</v>
      </c>
      <c r="I7" s="83">
        <v>2</v>
      </c>
      <c r="J7" t="s">
        <v>177</v>
      </c>
    </row>
    <row r="8" spans="1:10">
      <c r="A8" s="10">
        <v>1.5</v>
      </c>
      <c r="B8" s="76">
        <v>3202.3</v>
      </c>
      <c r="C8" s="10">
        <f t="shared" si="0"/>
        <v>3.2023000000000001</v>
      </c>
      <c r="D8" s="10">
        <f t="shared" si="1"/>
        <v>0.22384077000000002</v>
      </c>
      <c r="E8" s="10">
        <f t="shared" si="2"/>
        <v>9.9928915178571446E-3</v>
      </c>
      <c r="F8" s="10">
        <f>E8/Calculation!K$4*1000</f>
        <v>6.7883406767853061E-3</v>
      </c>
      <c r="G8" s="10">
        <f t="shared" si="3"/>
        <v>0.54440995625839006</v>
      </c>
      <c r="I8" s="83">
        <v>3.3333333333333335</v>
      </c>
      <c r="J8" t="s">
        <v>178</v>
      </c>
    </row>
    <row r="9" spans="1:10">
      <c r="A9" s="10">
        <v>2</v>
      </c>
      <c r="B9" s="76">
        <v>3292.95</v>
      </c>
      <c r="C9" s="10">
        <f t="shared" si="0"/>
        <v>3.2929499999999998</v>
      </c>
      <c r="D9" s="10">
        <f t="shared" si="1"/>
        <v>0.230177205</v>
      </c>
      <c r="E9" s="10">
        <f t="shared" si="2"/>
        <v>1.0275768080357144E-2</v>
      </c>
      <c r="F9" s="10">
        <f>E9/Calculation!K$5*1000</f>
        <v>7.2308591345576273E-3</v>
      </c>
      <c r="G9" s="10">
        <f t="shared" si="3"/>
        <v>0.75469795342853407</v>
      </c>
      <c r="I9" s="83">
        <v>4.666666666666667</v>
      </c>
      <c r="J9" t="s">
        <v>179</v>
      </c>
    </row>
    <row r="10" spans="1:10">
      <c r="A10" s="10">
        <v>2.5</v>
      </c>
      <c r="B10" s="76">
        <v>3301.35</v>
      </c>
      <c r="C10" s="10">
        <f t="shared" si="0"/>
        <v>3.3013499999999998</v>
      </c>
      <c r="D10" s="10">
        <f t="shared" si="1"/>
        <v>0.230764365</v>
      </c>
      <c r="E10" s="10">
        <f t="shared" si="2"/>
        <v>1.0301980580357143E-2</v>
      </c>
      <c r="F10" s="10">
        <f>E10/Calculation!K$5*1000</f>
        <v>7.249304363525659E-3</v>
      </c>
      <c r="G10" s="10">
        <f t="shared" si="3"/>
        <v>0.97190040589978333</v>
      </c>
      <c r="I10" s="83">
        <v>6</v>
      </c>
      <c r="J10" t="s">
        <v>180</v>
      </c>
    </row>
    <row r="11" spans="1:10">
      <c r="A11" s="10">
        <v>3</v>
      </c>
      <c r="B11" s="76">
        <v>3459.99</v>
      </c>
      <c r="C11" s="10">
        <f t="shared" si="0"/>
        <v>3.4599899999999999</v>
      </c>
      <c r="D11" s="10">
        <f t="shared" si="1"/>
        <v>0.24185330100000002</v>
      </c>
      <c r="E11" s="10">
        <f t="shared" si="2"/>
        <v>1.079702236607143E-2</v>
      </c>
      <c r="F11" s="10">
        <f>E11/Calculation!K$5*1000</f>
        <v>7.5976556877505111E-3</v>
      </c>
      <c r="G11" s="10">
        <f t="shared" si="3"/>
        <v>1.1946048066689259</v>
      </c>
      <c r="I11" s="83">
        <v>7.333333333333333</v>
      </c>
      <c r="J11" t="s">
        <v>181</v>
      </c>
    </row>
    <row r="12" spans="1:10">
      <c r="A12" s="10">
        <v>3.5</v>
      </c>
      <c r="B12" s="76">
        <v>3542.25</v>
      </c>
      <c r="C12" s="10">
        <f t="shared" si="0"/>
        <v>3.5422500000000001</v>
      </c>
      <c r="D12" s="10">
        <f t="shared" si="1"/>
        <v>0.24760327500000004</v>
      </c>
      <c r="E12" s="10">
        <f t="shared" si="2"/>
        <v>1.1053717633928574E-2</v>
      </c>
      <c r="F12" s="10">
        <f>E12/Calculation!K$6*1000</f>
        <v>8.0324795715050728E-3</v>
      </c>
      <c r="G12" s="10">
        <f t="shared" si="3"/>
        <v>1.4290568355577598</v>
      </c>
      <c r="I12" s="83">
        <v>8.9166666666666661</v>
      </c>
      <c r="J12" t="s">
        <v>182</v>
      </c>
    </row>
    <row r="13" spans="1:10">
      <c r="A13" s="10">
        <v>4</v>
      </c>
      <c r="B13" s="76">
        <v>3565.76</v>
      </c>
      <c r="C13" s="10">
        <f t="shared" si="0"/>
        <v>3.56576</v>
      </c>
      <c r="D13" s="10">
        <f t="shared" si="1"/>
        <v>0.249246624</v>
      </c>
      <c r="E13" s="10">
        <f t="shared" si="2"/>
        <v>1.1127081428571429E-2</v>
      </c>
      <c r="F13" s="10">
        <f>E13/Calculation!K$6*1000</f>
        <v>8.0857913351372497E-3</v>
      </c>
      <c r="G13" s="10">
        <f t="shared" si="3"/>
        <v>1.6708308991573946</v>
      </c>
      <c r="I13" s="83">
        <v>10.333333333333334</v>
      </c>
      <c r="J13" t="s">
        <v>183</v>
      </c>
    </row>
    <row r="14" spans="1:10">
      <c r="A14" s="10">
        <v>4.5</v>
      </c>
      <c r="B14" s="76">
        <v>3793.23</v>
      </c>
      <c r="C14" s="10">
        <f t="shared" si="0"/>
        <v>3.7932299999999999</v>
      </c>
      <c r="D14" s="10">
        <f t="shared" si="1"/>
        <v>0.265146777</v>
      </c>
      <c r="E14" s="10">
        <f t="shared" si="2"/>
        <v>1.1836909687500001E-2</v>
      </c>
      <c r="F14" s="10">
        <f>E14/Calculation!K$6*1000</f>
        <v>8.6016070252015481E-3</v>
      </c>
      <c r="G14" s="10">
        <f t="shared" si="3"/>
        <v>1.9211418745624766</v>
      </c>
      <c r="I14" s="83">
        <v>11.333333333333334</v>
      </c>
      <c r="J14" t="s">
        <v>184</v>
      </c>
    </row>
    <row r="15" spans="1:10">
      <c r="A15" s="10">
        <v>5</v>
      </c>
      <c r="B15" s="76">
        <v>3811.7</v>
      </c>
      <c r="C15" s="10">
        <f t="shared" si="0"/>
        <v>3.8116999999999996</v>
      </c>
      <c r="D15" s="10">
        <f t="shared" si="1"/>
        <v>0.26643782999999999</v>
      </c>
      <c r="E15" s="10">
        <f t="shared" si="2"/>
        <v>1.1894545982142858E-2</v>
      </c>
      <c r="F15" s="10">
        <f>E15/Calculation!K$7*1000</f>
        <v>8.948936618698132E-3</v>
      </c>
      <c r="G15" s="10">
        <f t="shared" si="3"/>
        <v>2.184400029220972</v>
      </c>
      <c r="I15" s="83">
        <v>12.666666666666666</v>
      </c>
      <c r="J15" t="s">
        <v>185</v>
      </c>
    </row>
    <row r="16" spans="1:10">
      <c r="A16" s="10">
        <v>5.5</v>
      </c>
      <c r="B16" s="76">
        <v>3948.52</v>
      </c>
      <c r="C16" s="10">
        <f t="shared" si="0"/>
        <v>3.9485199999999998</v>
      </c>
      <c r="D16" s="10">
        <f t="shared" si="1"/>
        <v>0.27600154799999999</v>
      </c>
      <c r="E16" s="10">
        <f t="shared" si="2"/>
        <v>1.2321497678571429E-2</v>
      </c>
      <c r="F16" s="10">
        <f>E16/Calculation!K$7*1000</f>
        <v>9.2701564177826018E-3</v>
      </c>
      <c r="G16" s="10">
        <f t="shared" si="3"/>
        <v>2.4576864247681831</v>
      </c>
      <c r="I16" s="83">
        <v>14</v>
      </c>
      <c r="J16" t="s">
        <v>186</v>
      </c>
    </row>
    <row r="17" spans="1:10">
      <c r="A17" s="10">
        <v>6</v>
      </c>
      <c r="B17" s="76">
        <v>4588.1400000000003</v>
      </c>
      <c r="C17" s="10">
        <f t="shared" si="0"/>
        <v>4.5881400000000001</v>
      </c>
      <c r="D17" s="10">
        <f t="shared" si="1"/>
        <v>0.32071098600000003</v>
      </c>
      <c r="E17" s="10">
        <f t="shared" si="2"/>
        <v>1.4317454732142859E-2</v>
      </c>
      <c r="F17" s="10">
        <f>E17/Calculation!K$8*1000</f>
        <v>1.1131725165091344E-2</v>
      </c>
      <c r="G17" s="10">
        <f t="shared" si="3"/>
        <v>2.7637146485112924</v>
      </c>
      <c r="I17" s="83">
        <v>15.333333333333334</v>
      </c>
      <c r="J17" t="s">
        <v>187</v>
      </c>
    </row>
    <row r="18" spans="1:10">
      <c r="A18" s="10">
        <v>6.5</v>
      </c>
      <c r="B18" s="76">
        <v>4289.32</v>
      </c>
      <c r="C18" s="10">
        <f t="shared" si="0"/>
        <v>4.28932</v>
      </c>
      <c r="D18" s="10">
        <f t="shared" si="1"/>
        <v>0.29982346800000004</v>
      </c>
      <c r="E18" s="10">
        <f t="shared" si="2"/>
        <v>1.3384976250000003E-2</v>
      </c>
      <c r="F18" s="10">
        <f>E18/Calculation!K$8*1000</f>
        <v>1.0406729390369431E-2</v>
      </c>
      <c r="G18" s="10">
        <f t="shared" si="3"/>
        <v>3.0867914668432039</v>
      </c>
      <c r="I18" s="83">
        <v>16.666666666666668</v>
      </c>
      <c r="J18" t="s">
        <v>188</v>
      </c>
    </row>
    <row r="19" spans="1:10">
      <c r="A19" s="10">
        <v>7</v>
      </c>
      <c r="B19" s="76">
        <v>4292.67</v>
      </c>
      <c r="C19" s="10">
        <f t="shared" si="0"/>
        <v>4.2926700000000002</v>
      </c>
      <c r="D19" s="10">
        <f t="shared" si="1"/>
        <v>0.30005763300000005</v>
      </c>
      <c r="E19" s="10">
        <f t="shared" si="2"/>
        <v>1.339543004464286E-2</v>
      </c>
      <c r="F19" s="10">
        <f>E19/Calculation!K$8*1000</f>
        <v>1.0414857145691427E-2</v>
      </c>
      <c r="G19" s="10">
        <f t="shared" si="3"/>
        <v>3.399115264884117</v>
      </c>
      <c r="I19" s="83">
        <v>18</v>
      </c>
      <c r="J19" t="s">
        <v>189</v>
      </c>
    </row>
    <row r="20" spans="1:10">
      <c r="A20" s="10">
        <v>7.5</v>
      </c>
      <c r="B20" s="76">
        <v>4635.99</v>
      </c>
      <c r="C20" s="10">
        <f t="shared" si="0"/>
        <v>4.6359899999999996</v>
      </c>
      <c r="D20" s="10">
        <f t="shared" si="1"/>
        <v>0.32405570099999997</v>
      </c>
      <c r="E20" s="10">
        <f t="shared" si="2"/>
        <v>1.4466772366071428E-2</v>
      </c>
      <c r="F20" s="10">
        <f>E20/Calculation!K$9*1000</f>
        <v>1.1655348285778758E-2</v>
      </c>
      <c r="G20" s="10">
        <f t="shared" si="3"/>
        <v>3.7301683463561699</v>
      </c>
      <c r="I20" s="83">
        <v>24</v>
      </c>
      <c r="J20" t="s">
        <v>190</v>
      </c>
    </row>
    <row r="21" spans="1:10">
      <c r="A21" s="10">
        <v>8</v>
      </c>
      <c r="B21" s="76">
        <v>4923.8999999999996</v>
      </c>
      <c r="C21" s="10">
        <f t="shared" si="0"/>
        <v>4.9238999999999997</v>
      </c>
      <c r="D21" s="10">
        <f t="shared" si="1"/>
        <v>0.34418061000000005</v>
      </c>
      <c r="E21" s="10">
        <f t="shared" si="2"/>
        <v>1.5365205803571431E-2</v>
      </c>
      <c r="F21" s="10">
        <f>E21/Calculation!K$9*1000</f>
        <v>1.2379183178640603E-2</v>
      </c>
      <c r="G21" s="10">
        <f t="shared" si="3"/>
        <v>4.0906863183224607</v>
      </c>
      <c r="I21" s="83">
        <v>29.916666666666668</v>
      </c>
      <c r="J21" t="s">
        <v>191</v>
      </c>
    </row>
    <row r="22" spans="1:10">
      <c r="A22" s="10">
        <v>8.5</v>
      </c>
      <c r="B22" s="76">
        <v>5140.46</v>
      </c>
      <c r="C22" s="10">
        <f t="shared" si="0"/>
        <v>5.14046</v>
      </c>
      <c r="D22" s="10">
        <f t="shared" si="1"/>
        <v>0.35931815400000006</v>
      </c>
      <c r="E22" s="10">
        <f t="shared" si="2"/>
        <v>1.6040989017857145E-2</v>
      </c>
      <c r="F22" s="10">
        <f>E22/Calculation!K$9*1000</f>
        <v>1.2923636946825658E-2</v>
      </c>
      <c r="G22" s="10">
        <f t="shared" si="3"/>
        <v>4.4702286202044546</v>
      </c>
      <c r="I22" s="83">
        <v>48</v>
      </c>
      <c r="J22" t="s">
        <v>192</v>
      </c>
    </row>
    <row r="23" spans="1:10">
      <c r="A23" s="10">
        <v>9</v>
      </c>
      <c r="B23" s="76">
        <v>5461.95</v>
      </c>
      <c r="C23" s="10">
        <f t="shared" si="0"/>
        <v>5.4619499999999999</v>
      </c>
      <c r="D23" s="10">
        <f t="shared" si="1"/>
        <v>0.38179030500000005</v>
      </c>
      <c r="E23" s="10">
        <f t="shared" si="2"/>
        <v>1.7044210044642859E-2</v>
      </c>
      <c r="F23" s="10">
        <f>E23/Calculation!K$10*1000</f>
        <v>1.4392416908849645E-2</v>
      </c>
      <c r="G23" s="10">
        <f t="shared" si="3"/>
        <v>4.8799694280395842</v>
      </c>
      <c r="I23" s="83">
        <v>54</v>
      </c>
      <c r="J23" t="s">
        <v>193</v>
      </c>
    </row>
    <row r="24" spans="1:10">
      <c r="A24" s="10">
        <v>9.5</v>
      </c>
      <c r="B24" s="76">
        <v>5655.85</v>
      </c>
      <c r="C24" s="10">
        <f t="shared" si="0"/>
        <v>5.65585</v>
      </c>
      <c r="D24" s="10">
        <f t="shared" si="1"/>
        <v>0.39534391500000005</v>
      </c>
      <c r="E24" s="10">
        <f t="shared" si="2"/>
        <v>1.7649281919642861E-2</v>
      </c>
      <c r="F24" s="10">
        <f>E24/Calculation!K$10*1000</f>
        <v>1.4903349751264157E-2</v>
      </c>
      <c r="G24" s="10">
        <f t="shared" si="3"/>
        <v>5.3194059279412915</v>
      </c>
      <c r="I24" s="83">
        <v>72</v>
      </c>
      <c r="J24" t="s">
        <v>194</v>
      </c>
    </row>
    <row r="25" spans="1:10">
      <c r="A25" s="10">
        <v>10</v>
      </c>
      <c r="B25" s="76">
        <v>6051.21</v>
      </c>
      <c r="C25" s="10">
        <f t="shared" si="0"/>
        <v>6.0512100000000002</v>
      </c>
      <c r="D25" s="10">
        <f t="shared" si="1"/>
        <v>0.42297957900000005</v>
      </c>
      <c r="E25" s="10">
        <f t="shared" si="2"/>
        <v>1.8883016919642861E-2</v>
      </c>
      <c r="F25" s="10">
        <f>E25/Calculation!K$10*1000</f>
        <v>1.5945136283378656E-2</v>
      </c>
      <c r="G25" s="10">
        <f t="shared" si="3"/>
        <v>5.7821332184609338</v>
      </c>
    </row>
    <row r="26" spans="1:10">
      <c r="A26" s="10">
        <v>10.5</v>
      </c>
      <c r="B26" s="76">
        <v>6448.24</v>
      </c>
      <c r="C26" s="10">
        <f t="shared" si="0"/>
        <v>6.4482400000000002</v>
      </c>
      <c r="D26" s="10">
        <f t="shared" si="1"/>
        <v>0.45073197600000003</v>
      </c>
      <c r="E26" s="10">
        <f t="shared" si="2"/>
        <v>2.0121963214285717E-2</v>
      </c>
      <c r="F26" s="10">
        <f>E26/Calculation!K$11*1000</f>
        <v>1.7755483363615775E-2</v>
      </c>
      <c r="G26" s="10">
        <f t="shared" si="3"/>
        <v>6.2876425131658502</v>
      </c>
    </row>
    <row r="27" spans="1:10">
      <c r="A27" s="10">
        <v>11</v>
      </c>
      <c r="B27" s="76">
        <v>6552.33</v>
      </c>
      <c r="C27" s="10">
        <f t="shared" si="0"/>
        <v>6.5523299999999995</v>
      </c>
      <c r="D27" s="10">
        <f t="shared" si="1"/>
        <v>0.45800786700000001</v>
      </c>
      <c r="E27" s="10">
        <f t="shared" si="2"/>
        <v>2.0446779776785717E-2</v>
      </c>
      <c r="F27" s="10">
        <f>E27/Calculation!K$11*1000</f>
        <v>1.8042099287235051E-2</v>
      </c>
      <c r="G27" s="10">
        <f t="shared" si="3"/>
        <v>6.8246062529286124</v>
      </c>
    </row>
    <row r="28" spans="1:10">
      <c r="A28" s="10">
        <v>11.5</v>
      </c>
      <c r="B28" s="76">
        <v>6825.97</v>
      </c>
      <c r="C28" s="10">
        <f t="shared" si="0"/>
        <v>6.8259699999999999</v>
      </c>
      <c r="D28" s="10">
        <f t="shared" si="1"/>
        <v>0.47713530300000001</v>
      </c>
      <c r="E28" s="10">
        <f t="shared" si="2"/>
        <v>2.130068316964286E-2</v>
      </c>
      <c r="F28" s="10">
        <f>E28/Calculation!K$12*1000</f>
        <v>1.9553602965277302E-2</v>
      </c>
      <c r="G28" s="10">
        <f t="shared" si="3"/>
        <v>7.3885417867162975</v>
      </c>
    </row>
    <row r="29" spans="1:10">
      <c r="A29" s="10">
        <v>12</v>
      </c>
      <c r="B29" s="76">
        <v>7111.37</v>
      </c>
      <c r="C29" s="10">
        <f t="shared" si="0"/>
        <v>7.11137</v>
      </c>
      <c r="D29" s="10">
        <f t="shared" si="1"/>
        <v>0.49708476300000004</v>
      </c>
      <c r="E29" s="10">
        <f t="shared" si="2"/>
        <v>2.2191284062500004E-2</v>
      </c>
      <c r="F29" s="10">
        <f>E29/Calculation!K$12*1000</f>
        <v>2.0371156849383173E-2</v>
      </c>
      <c r="G29" s="10">
        <f t="shared" si="3"/>
        <v>7.987413183936205</v>
      </c>
    </row>
    <row r="30" spans="1:10">
      <c r="A30" s="10">
        <v>12.5</v>
      </c>
      <c r="B30" s="76">
        <v>7520.99</v>
      </c>
      <c r="C30" s="10">
        <f t="shared" si="0"/>
        <v>7.5209899999999994</v>
      </c>
      <c r="D30" s="10">
        <f t="shared" si="1"/>
        <v>0.52571720099999997</v>
      </c>
      <c r="E30" s="10">
        <f t="shared" si="2"/>
        <v>2.3469517901785714E-2</v>
      </c>
      <c r="F30" s="10">
        <f>E30/Calculation!K$12*1000</f>
        <v>2.1544550058939745E-2</v>
      </c>
      <c r="G30" s="10">
        <f t="shared" si="3"/>
        <v>8.6161487875610483</v>
      </c>
    </row>
    <row r="31" spans="1:10">
      <c r="A31" s="10">
        <v>13</v>
      </c>
      <c r="B31" s="76">
        <v>7795.47</v>
      </c>
      <c r="C31" s="10">
        <f t="shared" si="0"/>
        <v>7.7954699999999999</v>
      </c>
      <c r="D31" s="10">
        <f t="shared" si="1"/>
        <v>0.54490335300000003</v>
      </c>
      <c r="E31" s="10">
        <f t="shared" si="2"/>
        <v>2.4326042544642861E-2</v>
      </c>
      <c r="F31" s="10">
        <f>E31/Calculation!K$13*1000</f>
        <v>2.3247068208913577E-2</v>
      </c>
      <c r="G31" s="10">
        <f t="shared" si="3"/>
        <v>9.2880230615788477</v>
      </c>
    </row>
    <row r="32" spans="1:10">
      <c r="A32" s="10">
        <v>13.5</v>
      </c>
      <c r="B32" s="76">
        <v>8457.76</v>
      </c>
      <c r="C32" s="10">
        <f t="shared" si="0"/>
        <v>8.4577600000000004</v>
      </c>
      <c r="D32" s="10">
        <f t="shared" si="1"/>
        <v>0.59119742400000008</v>
      </c>
      <c r="E32" s="10">
        <f t="shared" si="2"/>
        <v>2.6392742142857147E-2</v>
      </c>
      <c r="F32" s="10">
        <f>E32/Calculation!K$13*1000</f>
        <v>2.5222099965059308E-2</v>
      </c>
      <c r="G32" s="10">
        <f t="shared" si="3"/>
        <v>10.015060584188442</v>
      </c>
    </row>
    <row r="33" spans="1:7">
      <c r="A33" s="10">
        <v>14</v>
      </c>
      <c r="B33" s="76">
        <v>8582.83</v>
      </c>
      <c r="C33" s="10">
        <f t="shared" si="0"/>
        <v>8.5828299999999995</v>
      </c>
      <c r="D33" s="10">
        <f t="shared" si="1"/>
        <v>0.59993981699999999</v>
      </c>
      <c r="E33" s="10">
        <f t="shared" si="2"/>
        <v>2.678302754464286E-2</v>
      </c>
      <c r="F33" s="10">
        <f>E33/Calculation!K$14*1000</f>
        <v>2.6610751929220525E-2</v>
      </c>
      <c r="G33" s="10">
        <f t="shared" si="3"/>
        <v>10.792553362602639</v>
      </c>
    </row>
    <row r="34" spans="1:7">
      <c r="A34" s="10">
        <v>14.5</v>
      </c>
      <c r="B34" s="76">
        <v>9117.52</v>
      </c>
      <c r="C34" s="10">
        <f t="shared" si="0"/>
        <v>9.1175200000000007</v>
      </c>
      <c r="D34" s="10">
        <f t="shared" si="1"/>
        <v>0.63731464800000004</v>
      </c>
      <c r="E34" s="10">
        <f t="shared" si="2"/>
        <v>2.845154678571429E-2</v>
      </c>
      <c r="F34" s="10">
        <f>E34/Calculation!K$14*1000</f>
        <v>2.8268538807095879E-2</v>
      </c>
      <c r="G34" s="10">
        <f t="shared" si="3"/>
        <v>11.615742723647385</v>
      </c>
    </row>
    <row r="35" spans="1:7">
      <c r="A35" s="10">
        <v>15</v>
      </c>
      <c r="B35" s="76">
        <v>9911.59</v>
      </c>
      <c r="C35" s="10">
        <f t="shared" si="0"/>
        <v>9.9115900000000003</v>
      </c>
      <c r="D35" s="10">
        <f t="shared" si="1"/>
        <v>0.692820141</v>
      </c>
      <c r="E35" s="10">
        <f t="shared" si="2"/>
        <v>3.0929470580357145E-2</v>
      </c>
      <c r="F35" s="10">
        <f>E35/Calculation!K$14*1000</f>
        <v>3.0730523931400584E-2</v>
      </c>
      <c r="G35" s="10">
        <f t="shared" si="3"/>
        <v>12.500728664724832</v>
      </c>
    </row>
    <row r="36" spans="1:7">
      <c r="A36" s="10">
        <v>15.5</v>
      </c>
      <c r="B36" s="76">
        <v>11010.36</v>
      </c>
      <c r="C36" s="10">
        <f t="shared" si="0"/>
        <v>11.01036</v>
      </c>
      <c r="D36" s="10">
        <f t="shared" si="1"/>
        <v>0.76962416400000011</v>
      </c>
      <c r="E36" s="10">
        <f t="shared" si="2"/>
        <v>3.4358221607142865E-2</v>
      </c>
      <c r="F36" s="10">
        <f>E36/Calculation!K$15*1000</f>
        <v>3.5842305197629529E-2</v>
      </c>
      <c r="G36" s="10">
        <f t="shared" si="3"/>
        <v>13.499321101660284</v>
      </c>
    </row>
    <row r="37" spans="1:7">
      <c r="A37" s="10">
        <v>16</v>
      </c>
      <c r="B37" s="76">
        <v>11336.05</v>
      </c>
      <c r="C37" s="10">
        <f t="shared" si="0"/>
        <v>11.336049999999998</v>
      </c>
      <c r="D37" s="10">
        <f t="shared" si="1"/>
        <v>0.79238989500000001</v>
      </c>
      <c r="E37" s="10">
        <f t="shared" si="2"/>
        <v>3.5374548883928575E-2</v>
      </c>
      <c r="F37" s="10">
        <f>E37/Calculation!K$15*1000</f>
        <v>3.6902532145687172E-2</v>
      </c>
      <c r="G37" s="10">
        <f t="shared" si="3"/>
        <v>14.590493661810035</v>
      </c>
    </row>
    <row r="38" spans="1:7">
      <c r="A38" s="10">
        <v>16.5</v>
      </c>
      <c r="B38" s="76">
        <v>12610.25</v>
      </c>
      <c r="C38" s="10">
        <f t="shared" si="0"/>
        <v>12.610250000000001</v>
      </c>
      <c r="D38" s="10">
        <f t="shared" si="1"/>
        <v>0.88145647500000002</v>
      </c>
      <c r="E38" s="10">
        <f t="shared" si="2"/>
        <v>3.9350735491071431E-2</v>
      </c>
      <c r="F38" s="10">
        <f>E38/Calculation!K$15*1000</f>
        <v>4.1050467842868699E-2</v>
      </c>
      <c r="G38" s="10">
        <f t="shared" si="3"/>
        <v>15.759788661638373</v>
      </c>
    </row>
    <row r="39" spans="1:7">
      <c r="A39" s="10">
        <v>17</v>
      </c>
      <c r="B39" s="76">
        <v>14005.33</v>
      </c>
      <c r="C39" s="10">
        <f t="shared" si="0"/>
        <v>14.005330000000001</v>
      </c>
      <c r="D39" s="10">
        <f t="shared" si="1"/>
        <v>0.97897256700000002</v>
      </c>
      <c r="E39" s="10">
        <f t="shared" si="2"/>
        <v>4.3704132455357148E-2</v>
      </c>
      <c r="F39" s="10">
        <f>E39/Calculation!K$16*1000</f>
        <v>4.7936348902965338E-2</v>
      </c>
      <c r="G39" s="10">
        <f t="shared" si="3"/>
        <v>17.094590912825883</v>
      </c>
    </row>
    <row r="40" spans="1:7">
      <c r="A40" s="10">
        <v>17.5</v>
      </c>
      <c r="B40" s="76">
        <v>15261.9</v>
      </c>
      <c r="C40" s="10">
        <f t="shared" si="0"/>
        <v>15.261899999999999</v>
      </c>
      <c r="D40" s="10">
        <f t="shared" si="1"/>
        <v>1.0668068099999999</v>
      </c>
      <c r="E40" s="10">
        <f t="shared" si="2"/>
        <v>4.762530401785714E-2</v>
      </c>
      <c r="F40" s="10">
        <f>E40/Calculation!K$16*1000</f>
        <v>5.2237238488644436E-2</v>
      </c>
      <c r="G40" s="10">
        <f t="shared" si="3"/>
        <v>18.597194723700028</v>
      </c>
    </row>
    <row r="41" spans="1:7">
      <c r="A41" s="10">
        <v>18</v>
      </c>
      <c r="B41" s="76">
        <v>16641.87</v>
      </c>
      <c r="C41" s="10">
        <f t="shared" si="0"/>
        <v>16.641869999999997</v>
      </c>
      <c r="D41" s="10">
        <f t="shared" si="1"/>
        <v>1.1632667129999998</v>
      </c>
      <c r="E41" s="10">
        <f t="shared" si="2"/>
        <v>5.1931549687499995E-2</v>
      </c>
      <c r="F41" s="10">
        <f>E41/Calculation!K$17*1000</f>
        <v>6.0048315619399377E-2</v>
      </c>
      <c r="G41" s="10">
        <f t="shared" si="3"/>
        <v>20.281478035320685</v>
      </c>
    </row>
    <row r="42" spans="1:7">
      <c r="A42" s="10">
        <v>18.5</v>
      </c>
      <c r="B42" s="76">
        <v>20672.650000000001</v>
      </c>
      <c r="C42" s="10">
        <f t="shared" si="0"/>
        <v>20.672650000000001</v>
      </c>
      <c r="D42" s="10">
        <f t="shared" si="1"/>
        <v>1.4450182350000003</v>
      </c>
      <c r="E42" s="10">
        <f t="shared" si="2"/>
        <v>6.4509742633928585E-2</v>
      </c>
      <c r="F42" s="10">
        <f>E42/Calculation!K$17*1000</f>
        <v>7.4592447356539679E-2</v>
      </c>
      <c r="G42" s="10">
        <f t="shared" si="3"/>
        <v>22.301089479959771</v>
      </c>
    </row>
    <row r="43" spans="1:7">
      <c r="A43" s="10">
        <v>19</v>
      </c>
      <c r="B43" s="76">
        <v>18420.55</v>
      </c>
      <c r="C43" s="10">
        <f t="shared" si="0"/>
        <v>18.420549999999999</v>
      </c>
      <c r="D43" s="10">
        <f t="shared" si="1"/>
        <v>1.2875964449999999</v>
      </c>
      <c r="E43" s="10">
        <f t="shared" si="2"/>
        <v>5.7481984151785716E-2</v>
      </c>
      <c r="F43" s="10">
        <f>E43/Calculation!K$17*1000</f>
        <v>6.6466268531296502E-2</v>
      </c>
      <c r="G43" s="10">
        <f t="shared" si="3"/>
        <v>24.416970218277314</v>
      </c>
    </row>
    <row r="44" spans="1:7">
      <c r="A44" s="10">
        <v>19.5</v>
      </c>
      <c r="B44" s="76">
        <v>21095.71</v>
      </c>
      <c r="C44" s="10">
        <f t="shared" si="0"/>
        <v>21.09571</v>
      </c>
      <c r="D44" s="10">
        <f t="shared" si="1"/>
        <v>1.4745901290000001</v>
      </c>
      <c r="E44" s="10">
        <f t="shared" si="2"/>
        <v>6.5829916473214289E-2</v>
      </c>
      <c r="F44" s="10">
        <f>E44/Calculation!K$17*1000</f>
        <v>7.6118960927787555E-2</v>
      </c>
      <c r="G44" s="10">
        <f t="shared" si="3"/>
        <v>26.555748660163573</v>
      </c>
    </row>
    <row r="45" spans="1:7">
      <c r="A45" s="10">
        <v>20</v>
      </c>
      <c r="B45" s="76">
        <v>23937.9</v>
      </c>
      <c r="C45" s="10">
        <f t="shared" si="0"/>
        <v>23.937900000000003</v>
      </c>
      <c r="D45" s="10">
        <f t="shared" si="1"/>
        <v>1.6732592100000003</v>
      </c>
      <c r="E45" s="10">
        <f t="shared" si="2"/>
        <v>7.4699071875000023E-2</v>
      </c>
      <c r="F45" s="10">
        <f>E45/Calculation!K$17*1000</f>
        <v>8.6374342214283667E-2</v>
      </c>
      <c r="G45" s="10">
        <f t="shared" si="3"/>
        <v>28.993148207294642</v>
      </c>
    </row>
    <row r="46" spans="1:7">
      <c r="A46" s="10">
        <v>20.5</v>
      </c>
      <c r="B46" s="76">
        <v>30810.04</v>
      </c>
      <c r="C46" s="10">
        <f t="shared" si="0"/>
        <v>30.810040000000001</v>
      </c>
      <c r="D46" s="10">
        <f t="shared" si="1"/>
        <v>2.1536217960000004</v>
      </c>
      <c r="E46" s="10">
        <f t="shared" si="2"/>
        <v>9.6143830178571449E-2</v>
      </c>
      <c r="F46" s="10">
        <f>E46/Calculation!K$17*1000</f>
        <v>0.11117086037604669</v>
      </c>
      <c r="G46" s="10">
        <f t="shared" si="3"/>
        <v>31.956326246149597</v>
      </c>
    </row>
    <row r="47" spans="1:7">
      <c r="A47" s="10">
        <v>21</v>
      </c>
      <c r="B47" s="76">
        <v>29638.240000000002</v>
      </c>
      <c r="C47" s="10">
        <f t="shared" si="0"/>
        <v>29.638240000000003</v>
      </c>
      <c r="D47" s="10">
        <f t="shared" si="1"/>
        <v>2.0717129760000006</v>
      </c>
      <c r="E47" s="10">
        <f t="shared" si="2"/>
        <v>9.2487186428571455E-2</v>
      </c>
      <c r="F47" s="10">
        <f>E47/Calculation!K$17*1000</f>
        <v>0.10694269273365963</v>
      </c>
      <c r="G47" s="10">
        <f t="shared" si="3"/>
        <v>35.228029542795191</v>
      </c>
    </row>
    <row r="48" spans="1:7">
      <c r="A48" s="10">
        <v>21.5</v>
      </c>
      <c r="B48" s="76">
        <v>32708.76</v>
      </c>
      <c r="C48" s="10">
        <f t="shared" si="0"/>
        <v>32.708759999999998</v>
      </c>
      <c r="D48" s="10">
        <f t="shared" si="1"/>
        <v>2.286342324</v>
      </c>
      <c r="E48" s="10">
        <f t="shared" si="2"/>
        <v>0.10206885375000001</v>
      </c>
      <c r="F48" s="10">
        <f>E48/Calculation!K$17*1000</f>
        <v>0.11802194969670991</v>
      </c>
      <c r="G48" s="10">
        <f t="shared" si="3"/>
        <v>38.602499179250735</v>
      </c>
    </row>
    <row r="49" spans="1:7">
      <c r="A49" s="10">
        <v>22</v>
      </c>
      <c r="B49" s="76">
        <v>33887.269999999997</v>
      </c>
      <c r="C49" s="10">
        <f t="shared" si="0"/>
        <v>33.887269999999994</v>
      </c>
      <c r="D49" s="10">
        <f t="shared" si="1"/>
        <v>2.3687201729999998</v>
      </c>
      <c r="E49" s="10">
        <f t="shared" si="2"/>
        <v>0.10574643629464285</v>
      </c>
      <c r="F49" s="10">
        <f>E49/Calculation!K$17*1000</f>
        <v>0.1222743288127959</v>
      </c>
      <c r="G49" s="10">
        <f t="shared" si="3"/>
        <v>42.206943356893319</v>
      </c>
    </row>
    <row r="50" spans="1:7">
      <c r="A50" s="10">
        <v>22.5</v>
      </c>
      <c r="B50" s="76">
        <v>37105.51</v>
      </c>
      <c r="C50" s="10">
        <f t="shared" si="0"/>
        <v>37.105510000000002</v>
      </c>
      <c r="D50" s="10">
        <f t="shared" si="1"/>
        <v>2.5936751490000005</v>
      </c>
      <c r="E50" s="10">
        <f t="shared" si="2"/>
        <v>0.11578906915178575</v>
      </c>
      <c r="F50" s="10">
        <f>E50/Calculation!K$17*1000</f>
        <v>0.13388659902395467</v>
      </c>
      <c r="G50" s="10">
        <f t="shared" si="3"/>
        <v>46.049357274444581</v>
      </c>
    </row>
    <row r="51" spans="1:7">
      <c r="A51" s="10">
        <v>23</v>
      </c>
      <c r="B51" s="76">
        <v>38039.760000000002</v>
      </c>
      <c r="C51" s="10">
        <f t="shared" si="0"/>
        <v>38.039760000000001</v>
      </c>
      <c r="D51" s="10">
        <f t="shared" si="1"/>
        <v>2.6589792240000003</v>
      </c>
      <c r="E51" s="10">
        <f t="shared" si="2"/>
        <v>0.11870442964285717</v>
      </c>
      <c r="F51" s="10">
        <f>E51/Calculation!K$17*1000</f>
        <v>0.13725762276512221</v>
      </c>
      <c r="G51" s="10">
        <f t="shared" si="3"/>
        <v>50.116520601280733</v>
      </c>
    </row>
    <row r="52" spans="1:7">
      <c r="A52" s="10">
        <v>23.5</v>
      </c>
      <c r="B52" s="76">
        <v>39596</v>
      </c>
      <c r="C52" s="10">
        <f t="shared" si="0"/>
        <v>39.595999999999997</v>
      </c>
      <c r="D52" s="10">
        <f t="shared" si="1"/>
        <v>2.7677604000000002</v>
      </c>
      <c r="E52" s="10">
        <f t="shared" si="2"/>
        <v>0.12356073214285716</v>
      </c>
      <c r="F52" s="10">
        <f>E52/Calculation!K$17*1000</f>
        <v>0.14287295269496389</v>
      </c>
      <c r="G52" s="10">
        <f t="shared" si="3"/>
        <v>54.318479233182025</v>
      </c>
    </row>
    <row r="53" spans="1:7">
      <c r="A53" s="10">
        <v>24</v>
      </c>
      <c r="B53" s="76">
        <v>40542</v>
      </c>
      <c r="C53" s="10">
        <f t="shared" si="0"/>
        <v>40.542000000000002</v>
      </c>
      <c r="D53" s="10">
        <f t="shared" si="1"/>
        <v>2.8338858000000005</v>
      </c>
      <c r="E53" s="10">
        <f t="shared" si="2"/>
        <v>0.12651275892857144</v>
      </c>
      <c r="F53" s="10">
        <f>E53/Calculation!K$18*1000</f>
        <v>0.15555177117273636</v>
      </c>
      <c r="G53" s="10">
        <f t="shared" si="3"/>
        <v>58.794850091197532</v>
      </c>
    </row>
    <row r="54" spans="1:7">
      <c r="A54" s="10">
        <v>24.5</v>
      </c>
      <c r="B54" s="76">
        <v>39925.879999999997</v>
      </c>
      <c r="C54" s="10">
        <f t="shared" si="0"/>
        <v>39.925879999999999</v>
      </c>
      <c r="D54" s="10">
        <f t="shared" si="1"/>
        <v>2.790819012</v>
      </c>
      <c r="E54" s="10">
        <f t="shared" si="2"/>
        <v>0.12459013446428573</v>
      </c>
      <c r="F54" s="10">
        <f>E54/Calculation!K$18*1000</f>
        <v>0.1531878385286895</v>
      </c>
      <c r="G54" s="10">
        <f t="shared" si="3"/>
        <v>63.425944236718919</v>
      </c>
    </row>
    <row r="55" spans="1:7">
      <c r="A55" s="10">
        <v>25</v>
      </c>
      <c r="B55" s="76">
        <v>40160.080000000002</v>
      </c>
      <c r="C55" s="10">
        <f t="shared" si="0"/>
        <v>40.160080000000001</v>
      </c>
      <c r="D55" s="10">
        <f t="shared" si="1"/>
        <v>2.8071895920000003</v>
      </c>
      <c r="E55" s="10">
        <f t="shared" si="2"/>
        <v>0.12532096392857145</v>
      </c>
      <c r="F55" s="10">
        <f>E55/Calculation!K$18*1000</f>
        <v>0.15408641839176129</v>
      </c>
      <c r="G55" s="10">
        <f t="shared" si="3"/>
        <v>68.035058090525681</v>
      </c>
    </row>
    <row r="56" spans="1:7">
      <c r="A56" s="10">
        <v>25.5</v>
      </c>
      <c r="B56" s="76">
        <v>40374.120000000003</v>
      </c>
      <c r="C56" s="10">
        <f t="shared" si="0"/>
        <v>40.374120000000005</v>
      </c>
      <c r="D56" s="10">
        <f t="shared" si="1"/>
        <v>2.8221509880000006</v>
      </c>
      <c r="E56" s="10">
        <f t="shared" si="2"/>
        <v>0.12598888339285719</v>
      </c>
      <c r="F56" s="10">
        <f>E56/Calculation!K$18*1000</f>
        <v>0.15490764825466427</v>
      </c>
      <c r="G56" s="10">
        <f t="shared" si="3"/>
        <v>72.669969090222068</v>
      </c>
    </row>
    <row r="57" spans="1:7">
      <c r="A57" s="10">
        <v>26</v>
      </c>
      <c r="B57" s="76">
        <v>39434.839999999997</v>
      </c>
      <c r="C57" s="10">
        <f t="shared" si="0"/>
        <v>39.434839999999994</v>
      </c>
      <c r="D57" s="10">
        <f t="shared" si="1"/>
        <v>2.7564953159999996</v>
      </c>
      <c r="E57" s="10">
        <f t="shared" si="2"/>
        <v>0.12305782660714285</v>
      </c>
      <c r="F57" s="10">
        <f>E57/Calculation!K$18*1000</f>
        <v>0.1513038135245787</v>
      </c>
      <c r="G57" s="10">
        <f t="shared" si="3"/>
        <v>77.263141016910708</v>
      </c>
    </row>
    <row r="58" spans="1:7">
      <c r="A58" s="10">
        <v>26.5</v>
      </c>
      <c r="B58" s="76">
        <v>39549</v>
      </c>
      <c r="C58" s="10">
        <f t="shared" si="0"/>
        <v>39.548999999999999</v>
      </c>
      <c r="D58" s="10">
        <f t="shared" si="1"/>
        <v>2.7644751000000003</v>
      </c>
      <c r="E58" s="10">
        <f t="shared" si="2"/>
        <v>0.12341406696428574</v>
      </c>
      <c r="F58" s="10">
        <f>E58/Calculation!K$18*1000</f>
        <v>0.15174182324775665</v>
      </c>
      <c r="G58" s="10">
        <f t="shared" si="3"/>
        <v>81.808825568495735</v>
      </c>
    </row>
    <row r="59" spans="1:7">
      <c r="A59" s="10">
        <v>27</v>
      </c>
      <c r="B59" s="76">
        <v>40429.519999999997</v>
      </c>
      <c r="C59" s="10">
        <f t="shared" si="0"/>
        <v>40.429519999999997</v>
      </c>
      <c r="D59" s="10">
        <f t="shared" si="1"/>
        <v>2.8260234479999999</v>
      </c>
      <c r="E59" s="10">
        <f t="shared" si="2"/>
        <v>0.12616176107142857</v>
      </c>
      <c r="F59" s="10">
        <f>E59/Calculation!K$18*1000</f>
        <v>0.15512020728290579</v>
      </c>
      <c r="G59" s="10">
        <f t="shared" si="3"/>
        <v>86.411756026455677</v>
      </c>
    </row>
    <row r="60" spans="1:7">
      <c r="A60" s="10">
        <v>27.5</v>
      </c>
      <c r="B60" s="76">
        <v>40885.31</v>
      </c>
      <c r="C60" s="10">
        <f t="shared" si="0"/>
        <v>40.885309999999997</v>
      </c>
      <c r="D60" s="10">
        <f t="shared" si="1"/>
        <v>2.8578831689999999</v>
      </c>
      <c r="E60" s="10">
        <f t="shared" si="2"/>
        <v>0.12758407004464287</v>
      </c>
      <c r="F60" s="10">
        <f>E60/Calculation!K$18*1000</f>
        <v>0.15686898489088819</v>
      </c>
      <c r="G60" s="10">
        <f t="shared" si="3"/>
        <v>91.091593909062581</v>
      </c>
    </row>
    <row r="61" spans="1:7">
      <c r="A61" s="10">
        <v>28</v>
      </c>
      <c r="B61" s="76">
        <v>40639.370000000003</v>
      </c>
      <c r="C61" s="10">
        <f t="shared" si="0"/>
        <v>40.63937</v>
      </c>
      <c r="D61" s="10">
        <f t="shared" si="1"/>
        <v>2.8406919630000003</v>
      </c>
      <c r="E61" s="10">
        <f t="shared" si="2"/>
        <v>0.12681660549107146</v>
      </c>
      <c r="F61" s="10">
        <f>E61/Calculation!K$18*1000</f>
        <v>0.15592536093049594</v>
      </c>
      <c r="G61" s="10">
        <f t="shared" si="3"/>
        <v>95.783509096383341</v>
      </c>
    </row>
    <row r="62" spans="1:7">
      <c r="A62" s="10">
        <v>28.5</v>
      </c>
      <c r="B62" s="76">
        <v>40701.49</v>
      </c>
      <c r="C62" s="10">
        <f t="shared" si="0"/>
        <v>40.70149</v>
      </c>
      <c r="D62" s="10">
        <f t="shared" si="1"/>
        <v>2.8450341510000001</v>
      </c>
      <c r="E62" s="10">
        <f t="shared" si="2"/>
        <v>0.12701045316964288</v>
      </c>
      <c r="F62" s="10">
        <f>E62/Calculation!K$18*1000</f>
        <v>0.15616370329212712</v>
      </c>
      <c r="G62" s="10">
        <f t="shared" si="3"/>
        <v>100.46484505972269</v>
      </c>
    </row>
    <row r="63" spans="1:7">
      <c r="A63" s="10">
        <v>29</v>
      </c>
      <c r="B63" s="76">
        <v>40125.660000000003</v>
      </c>
      <c r="C63" s="10">
        <f t="shared" si="0"/>
        <v>40.125660000000003</v>
      </c>
      <c r="D63" s="10">
        <f t="shared" si="1"/>
        <v>2.8047836340000001</v>
      </c>
      <c r="E63" s="10">
        <f t="shared" si="2"/>
        <v>0.12521355508928572</v>
      </c>
      <c r="F63" s="10">
        <f>E63/Calculation!K$18*1000</f>
        <v>0.15395435554425091</v>
      </c>
      <c r="G63" s="10">
        <f t="shared" si="3"/>
        <v>105.11661594226837</v>
      </c>
    </row>
    <row r="64" spans="1:7">
      <c r="A64" s="10">
        <v>29.5</v>
      </c>
      <c r="B64" s="76">
        <v>40205.4</v>
      </c>
      <c r="C64" s="10">
        <f t="shared" si="0"/>
        <v>40.205400000000004</v>
      </c>
      <c r="D64" s="10">
        <f t="shared" si="1"/>
        <v>2.8103574600000005</v>
      </c>
      <c r="E64" s="10">
        <f t="shared" si="2"/>
        <v>0.1254623866071429</v>
      </c>
      <c r="F64" s="10">
        <f>E64/Calculation!K$18*1000</f>
        <v>0.15426030241991848</v>
      </c>
      <c r="G64" s="10">
        <f t="shared" si="3"/>
        <v>109.73983581173091</v>
      </c>
    </row>
    <row r="65" spans="1:7">
      <c r="A65" s="10">
        <v>30</v>
      </c>
      <c r="B65" s="76">
        <v>45197.29</v>
      </c>
      <c r="C65" s="10">
        <f t="shared" si="0"/>
        <v>45.197290000000002</v>
      </c>
      <c r="D65" s="10">
        <f t="shared" si="1"/>
        <v>3.1592905710000005</v>
      </c>
      <c r="E65" s="10">
        <f t="shared" si="2"/>
        <v>0.14103975763392859</v>
      </c>
      <c r="F65" s="10">
        <f>E65/Calculation!K$19*1000</f>
        <v>0.18497409466285972</v>
      </c>
      <c r="G65" s="10">
        <f t="shared" si="3"/>
        <v>114.82835176797259</v>
      </c>
    </row>
    <row r="66" spans="1:7">
      <c r="A66" s="10">
        <v>30.5</v>
      </c>
      <c r="B66" s="76">
        <v>55199.54</v>
      </c>
      <c r="C66" s="10">
        <f t="shared" si="0"/>
        <v>55.199539999999999</v>
      </c>
      <c r="D66" s="10">
        <f t="shared" si="1"/>
        <v>3.8584478460000002</v>
      </c>
      <c r="E66" s="10">
        <f t="shared" si="2"/>
        <v>0.17225213598214287</v>
      </c>
      <c r="F66" s="10">
        <f>E66/Calculation!K$19*1000</f>
        <v>0.22590922901143654</v>
      </c>
      <c r="G66" s="10">
        <f t="shared" si="3"/>
        <v>120.99160162308704</v>
      </c>
    </row>
    <row r="67" spans="1:7">
      <c r="A67" s="10">
        <v>31</v>
      </c>
      <c r="B67" s="76">
        <v>39024.370000000003</v>
      </c>
      <c r="C67" s="10">
        <f t="shared" si="0"/>
        <v>39.024370000000005</v>
      </c>
      <c r="D67" s="10">
        <f t="shared" si="1"/>
        <v>2.7278034630000003</v>
      </c>
      <c r="E67" s="10">
        <f t="shared" si="2"/>
        <v>0.12177694031250003</v>
      </c>
      <c r="F67" s="10">
        <f>E67/Calculation!K$19*1000</f>
        <v>0.15971084794107043</v>
      </c>
      <c r="G67" s="10">
        <f t="shared" si="3"/>
        <v>126.77590277737464</v>
      </c>
    </row>
    <row r="68" spans="1:7">
      <c r="A68" s="10">
        <v>31.5</v>
      </c>
      <c r="B68" s="76">
        <v>39784.870000000003</v>
      </c>
      <c r="C68" s="10">
        <f t="shared" si="0"/>
        <v>39.784870000000005</v>
      </c>
      <c r="D68" s="10">
        <f t="shared" si="1"/>
        <v>2.7809624130000006</v>
      </c>
      <c r="E68" s="10">
        <f t="shared" si="2"/>
        <v>0.12415010772321432</v>
      </c>
      <c r="F68" s="10">
        <f>E68/Calculation!K$19*1000</f>
        <v>0.1628232646145282</v>
      </c>
      <c r="G68" s="10">
        <f t="shared" si="3"/>
        <v>131.61391446570863</v>
      </c>
    </row>
    <row r="69" spans="1:7">
      <c r="A69" s="10">
        <v>32</v>
      </c>
      <c r="B69" s="76">
        <v>37615.870000000003</v>
      </c>
      <c r="C69" s="10">
        <f t="shared" si="0"/>
        <v>37.615870000000001</v>
      </c>
      <c r="D69" s="10">
        <f t="shared" si="1"/>
        <v>2.6293493130000005</v>
      </c>
      <c r="E69" s="10">
        <f t="shared" si="2"/>
        <v>0.1173816657589286</v>
      </c>
      <c r="F69" s="10">
        <f>E69/Calculation!K$19*1000</f>
        <v>0.15394643126182622</v>
      </c>
      <c r="G69" s="10">
        <f t="shared" si="3"/>
        <v>136.36545990385395</v>
      </c>
    </row>
    <row r="70" spans="1:7">
      <c r="A70" s="10">
        <v>32.5</v>
      </c>
      <c r="B70" s="76">
        <v>35830.47</v>
      </c>
      <c r="C70" s="10">
        <f t="shared" ref="C70:C101" si="4">B70/1000</f>
        <v>35.830469999999998</v>
      </c>
      <c r="D70" s="10">
        <f t="shared" ref="D70:D101" si="5">C70/1000*$B$1</f>
        <v>2.5045498529999999</v>
      </c>
      <c r="E70" s="10">
        <f t="shared" ref="E70:E101" si="6">D70/22.4</f>
        <v>0.11181026129464286</v>
      </c>
      <c r="F70" s="10">
        <f>E70/Calculation!K$19*1000</f>
        <v>0.14663951643106818</v>
      </c>
      <c r="G70" s="10">
        <f t="shared" si="3"/>
        <v>140.87424911924737</v>
      </c>
    </row>
    <row r="71" spans="1:7">
      <c r="A71" s="10">
        <v>33</v>
      </c>
      <c r="B71" s="76">
        <v>35052.35</v>
      </c>
      <c r="C71" s="10">
        <f t="shared" si="4"/>
        <v>35.052349999999997</v>
      </c>
      <c r="D71" s="10">
        <f t="shared" si="5"/>
        <v>2.4501592649999999</v>
      </c>
      <c r="E71" s="10">
        <f t="shared" si="6"/>
        <v>0.10938211004464286</v>
      </c>
      <c r="F71" s="10">
        <f>E71/Calculation!K$19*1000</f>
        <v>0.14345498827597164</v>
      </c>
      <c r="G71" s="10">
        <f t="shared" ref="G71:G101" si="7">G70+(F71+F70)/2*30</f>
        <v>145.22566668985297</v>
      </c>
    </row>
    <row r="72" spans="1:7">
      <c r="A72" s="10">
        <v>33.5</v>
      </c>
      <c r="B72" s="76">
        <v>34050.11</v>
      </c>
      <c r="C72" s="10">
        <f t="shared" si="4"/>
        <v>34.050110000000004</v>
      </c>
      <c r="D72" s="10">
        <f t="shared" si="5"/>
        <v>2.3801026890000001</v>
      </c>
      <c r="E72" s="10">
        <f t="shared" si="6"/>
        <v>0.10625458433035716</v>
      </c>
      <c r="F72" s="10">
        <f>E72/Calculation!K$19*1000</f>
        <v>0.1393532282670219</v>
      </c>
      <c r="G72" s="10">
        <f t="shared" si="7"/>
        <v>149.46778993799788</v>
      </c>
    </row>
    <row r="73" spans="1:7">
      <c r="A73" s="10">
        <v>34</v>
      </c>
      <c r="B73" s="76">
        <v>33652.239999999998</v>
      </c>
      <c r="C73" s="10">
        <f t="shared" si="4"/>
        <v>33.652239999999999</v>
      </c>
      <c r="D73" s="10">
        <f t="shared" si="5"/>
        <v>2.3522915760000003</v>
      </c>
      <c r="E73" s="10">
        <f t="shared" si="6"/>
        <v>0.1050130167857143</v>
      </c>
      <c r="F73" s="10">
        <f>E73/Calculation!K$19*1000</f>
        <v>0.1377249084486542</v>
      </c>
      <c r="G73" s="10">
        <f t="shared" si="7"/>
        <v>153.62396198873302</v>
      </c>
    </row>
    <row r="74" spans="1:7">
      <c r="A74" s="10">
        <v>34.5</v>
      </c>
      <c r="B74" s="76">
        <v>32947.980000000003</v>
      </c>
      <c r="C74" s="10">
        <f t="shared" si="4"/>
        <v>32.947980000000001</v>
      </c>
      <c r="D74" s="10">
        <f t="shared" si="5"/>
        <v>2.3030638020000005</v>
      </c>
      <c r="E74" s="10">
        <f t="shared" si="6"/>
        <v>0.10281534830357146</v>
      </c>
      <c r="F74" s="10">
        <f>E74/Calculation!K$19*1000</f>
        <v>0.13484265918310612</v>
      </c>
      <c r="G74" s="10">
        <f t="shared" si="7"/>
        <v>157.71247550320942</v>
      </c>
    </row>
    <row r="75" spans="1:7">
      <c r="A75" s="10">
        <v>35</v>
      </c>
      <c r="B75" s="76">
        <v>32005.34</v>
      </c>
      <c r="C75" s="10">
        <f t="shared" si="4"/>
        <v>32.005339999999997</v>
      </c>
      <c r="D75" s="10">
        <f t="shared" si="5"/>
        <v>2.2371732660000001</v>
      </c>
      <c r="E75" s="10">
        <f t="shared" si="6"/>
        <v>9.9873806517857155E-2</v>
      </c>
      <c r="F75" s="10">
        <f>E75/Calculation!K$19*1000</f>
        <v>0.13098481769320708</v>
      </c>
      <c r="G75" s="10">
        <f t="shared" si="7"/>
        <v>161.69988765635412</v>
      </c>
    </row>
    <row r="76" spans="1:7">
      <c r="A76" s="10">
        <v>35.5</v>
      </c>
      <c r="B76" s="76">
        <v>31427</v>
      </c>
      <c r="C76" s="10">
        <f t="shared" si="4"/>
        <v>31.427</v>
      </c>
      <c r="D76" s="10">
        <f t="shared" si="5"/>
        <v>2.1967472999999997</v>
      </c>
      <c r="E76" s="10">
        <f t="shared" si="6"/>
        <v>9.8069075892857141E-2</v>
      </c>
      <c r="F76" s="10">
        <f>E76/Calculation!K$19*1000</f>
        <v>0.1286179076880426</v>
      </c>
      <c r="G76" s="10">
        <f t="shared" si="7"/>
        <v>165.59392853707286</v>
      </c>
    </row>
    <row r="77" spans="1:7">
      <c r="A77" s="10">
        <v>36</v>
      </c>
      <c r="B77" s="76">
        <v>30299.69</v>
      </c>
      <c r="C77" s="10">
        <f t="shared" si="4"/>
        <v>30.299689999999998</v>
      </c>
      <c r="D77" s="10">
        <f t="shared" si="5"/>
        <v>2.117948331</v>
      </c>
      <c r="E77" s="10">
        <f t="shared" si="6"/>
        <v>9.4551264776785715E-2</v>
      </c>
      <c r="F77" s="10">
        <f>E77/Calculation!K$19*1000</f>
        <v>0.12400428712242047</v>
      </c>
      <c r="G77" s="10">
        <f t="shared" si="7"/>
        <v>169.3832614592298</v>
      </c>
    </row>
    <row r="78" spans="1:7">
      <c r="A78" s="10">
        <v>36.5</v>
      </c>
      <c r="B78" s="76">
        <v>29674.34</v>
      </c>
      <c r="C78" s="10">
        <f t="shared" si="4"/>
        <v>29.674340000000001</v>
      </c>
      <c r="D78" s="10">
        <f t="shared" si="5"/>
        <v>2.0742363660000001</v>
      </c>
      <c r="E78" s="10">
        <f t="shared" si="6"/>
        <v>9.2599837767857157E-2</v>
      </c>
      <c r="F78" s="10">
        <f>E78/Calculation!K$19*1000</f>
        <v>0.12144498433905848</v>
      </c>
      <c r="G78" s="10">
        <f t="shared" si="7"/>
        <v>173.06500053115198</v>
      </c>
    </row>
    <row r="79" spans="1:7">
      <c r="A79" s="10">
        <v>37</v>
      </c>
      <c r="B79" s="76">
        <v>28359</v>
      </c>
      <c r="C79" s="10">
        <f t="shared" si="4"/>
        <v>28.359000000000002</v>
      </c>
      <c r="D79" s="10">
        <f t="shared" si="5"/>
        <v>1.9822941000000003</v>
      </c>
      <c r="E79" s="10">
        <f t="shared" si="6"/>
        <v>8.8495272321428592E-2</v>
      </c>
      <c r="F79" s="10">
        <f>E79/Calculation!K$19*1000</f>
        <v>0.1160618335865721</v>
      </c>
      <c r="G79" s="10">
        <f t="shared" si="7"/>
        <v>176.62760280003644</v>
      </c>
    </row>
    <row r="80" spans="1:7">
      <c r="A80" s="10">
        <v>37.5</v>
      </c>
      <c r="B80" s="76">
        <v>27290.45</v>
      </c>
      <c r="C80" s="10">
        <f t="shared" si="4"/>
        <v>27.29045</v>
      </c>
      <c r="D80" s="10">
        <f t="shared" si="5"/>
        <v>1.9076024550000001</v>
      </c>
      <c r="E80" s="10">
        <f t="shared" si="6"/>
        <v>8.516082388392858E-2</v>
      </c>
      <c r="F80" s="10">
        <f>E80/Calculation!K$19*1000</f>
        <v>0.11168869376221538</v>
      </c>
      <c r="G80" s="10">
        <f t="shared" si="7"/>
        <v>180.04386071026826</v>
      </c>
    </row>
    <row r="81" spans="1:7">
      <c r="A81" s="10">
        <v>38</v>
      </c>
      <c r="B81" s="76">
        <v>26223.58</v>
      </c>
      <c r="C81" s="10">
        <f t="shared" si="4"/>
        <v>26.223580000000002</v>
      </c>
      <c r="D81" s="10">
        <f t="shared" si="5"/>
        <v>1.8330282420000004</v>
      </c>
      <c r="E81" s="10">
        <f t="shared" si="6"/>
        <v>8.1831617946428598E-2</v>
      </c>
      <c r="F81" s="10">
        <f>E81/Calculation!K$19*1000</f>
        <v>0.10732242949342927</v>
      </c>
      <c r="G81" s="10">
        <f t="shared" si="7"/>
        <v>183.32902755910294</v>
      </c>
    </row>
    <row r="82" spans="1:7">
      <c r="A82" s="10">
        <v>38.5</v>
      </c>
      <c r="B82" s="76">
        <v>24966.16</v>
      </c>
      <c r="C82" s="10">
        <f t="shared" si="4"/>
        <v>24.966159999999999</v>
      </c>
      <c r="D82" s="10">
        <f t="shared" si="5"/>
        <v>1.7451345839999999</v>
      </c>
      <c r="E82" s="10">
        <f t="shared" si="6"/>
        <v>7.7907793928571431E-2</v>
      </c>
      <c r="F82" s="10">
        <f>E82/Calculation!K$19*1000</f>
        <v>0.10217632170442301</v>
      </c>
      <c r="G82" s="10">
        <f t="shared" si="7"/>
        <v>186.47150882707072</v>
      </c>
    </row>
    <row r="83" spans="1:7">
      <c r="A83" s="10">
        <v>39</v>
      </c>
      <c r="B83" s="76">
        <v>24083.96</v>
      </c>
      <c r="C83" s="10">
        <f t="shared" si="4"/>
        <v>24.083959999999998</v>
      </c>
      <c r="D83" s="10">
        <f t="shared" si="5"/>
        <v>1.6834688040000001</v>
      </c>
      <c r="E83" s="10">
        <f t="shared" si="6"/>
        <v>7.5154857321428584E-2</v>
      </c>
      <c r="F83" s="10">
        <f>E83/Calculation!K$19*1000</f>
        <v>9.8565836511360014E-2</v>
      </c>
      <c r="G83" s="10">
        <f t="shared" si="7"/>
        <v>189.48264120030746</v>
      </c>
    </row>
    <row r="84" spans="1:7">
      <c r="A84" s="10">
        <v>39.5</v>
      </c>
      <c r="B84" s="76">
        <v>24538.07</v>
      </c>
      <c r="C84" s="10">
        <f t="shared" si="4"/>
        <v>24.538070000000001</v>
      </c>
      <c r="D84" s="10">
        <f t="shared" si="5"/>
        <v>1.7152110930000002</v>
      </c>
      <c r="E84" s="10">
        <f t="shared" si="6"/>
        <v>7.6571923794642865E-2</v>
      </c>
      <c r="F84" s="10">
        <f>E84/Calculation!K$19*1000</f>
        <v>0.10042432373763732</v>
      </c>
      <c r="G84" s="10">
        <f t="shared" si="7"/>
        <v>192.4674936040424</v>
      </c>
    </row>
    <row r="85" spans="1:7">
      <c r="A85" s="10">
        <v>40</v>
      </c>
      <c r="B85" s="76">
        <v>25280.1</v>
      </c>
      <c r="C85" s="10">
        <f t="shared" si="4"/>
        <v>25.280099999999997</v>
      </c>
      <c r="D85" s="10">
        <f t="shared" si="5"/>
        <v>1.7670789899999999</v>
      </c>
      <c r="E85" s="10">
        <f t="shared" si="6"/>
        <v>7.8887454910714291E-2</v>
      </c>
      <c r="F85" s="10">
        <f>E85/Calculation!K$19*1000</f>
        <v>0.10346115022574494</v>
      </c>
      <c r="G85" s="10">
        <f t="shared" si="7"/>
        <v>195.52577571349315</v>
      </c>
    </row>
    <row r="86" spans="1:7">
      <c r="A86" s="10">
        <v>40.5</v>
      </c>
      <c r="B86" s="76">
        <v>24989.67</v>
      </c>
      <c r="C86" s="10">
        <f t="shared" si="4"/>
        <v>24.989669999999997</v>
      </c>
      <c r="D86" s="10">
        <f t="shared" si="5"/>
        <v>1.7467779329999997</v>
      </c>
      <c r="E86" s="10">
        <f t="shared" si="6"/>
        <v>7.7981157723214276E-2</v>
      </c>
      <c r="F86" s="10">
        <f>E86/Calculation!K$19*1000</f>
        <v>0.10227253855648478</v>
      </c>
      <c r="G86" s="10">
        <f t="shared" si="7"/>
        <v>198.61178104522659</v>
      </c>
    </row>
    <row r="87" spans="1:7">
      <c r="A87" s="10">
        <v>41</v>
      </c>
      <c r="B87" s="76">
        <v>24334.94</v>
      </c>
      <c r="C87" s="10">
        <f t="shared" si="4"/>
        <v>24.33494</v>
      </c>
      <c r="D87" s="10">
        <f t="shared" si="5"/>
        <v>1.7010123060000002</v>
      </c>
      <c r="E87" s="10">
        <f t="shared" si="6"/>
        <v>7.5938049375000011E-2</v>
      </c>
      <c r="F87" s="10">
        <f>E87/Calculation!K$19*1000</f>
        <v>9.9592995402490087E-2</v>
      </c>
      <c r="G87" s="10">
        <f t="shared" si="7"/>
        <v>201.63976405461122</v>
      </c>
    </row>
    <row r="88" spans="1:7">
      <c r="A88" s="10">
        <v>41.5</v>
      </c>
      <c r="B88" s="76">
        <v>23832.14</v>
      </c>
      <c r="C88" s="10">
        <f t="shared" si="4"/>
        <v>23.832139999999999</v>
      </c>
      <c r="D88" s="10">
        <f t="shared" si="5"/>
        <v>1.6658665859999999</v>
      </c>
      <c r="E88" s="10">
        <f t="shared" si="6"/>
        <v>7.4369044017857142E-2</v>
      </c>
      <c r="F88" s="10">
        <f>E88/Calculation!K$19*1000</f>
        <v>9.7535239842444652E-2</v>
      </c>
      <c r="G88" s="10">
        <f t="shared" si="7"/>
        <v>204.59668758328525</v>
      </c>
    </row>
    <row r="89" spans="1:7">
      <c r="A89" s="10">
        <v>42</v>
      </c>
      <c r="B89" s="76">
        <v>22999.46</v>
      </c>
      <c r="C89" s="10">
        <f t="shared" si="4"/>
        <v>22.999459999999999</v>
      </c>
      <c r="D89" s="10">
        <f t="shared" si="5"/>
        <v>1.6076622540000001</v>
      </c>
      <c r="E89" s="10">
        <f t="shared" si="6"/>
        <v>7.1770636339285723E-2</v>
      </c>
      <c r="F89" s="10">
        <f>E89/Calculation!K$19*1000</f>
        <v>9.4127419835009038E-2</v>
      </c>
      <c r="G89" s="10">
        <f t="shared" si="7"/>
        <v>207.47162747844706</v>
      </c>
    </row>
    <row r="90" spans="1:7">
      <c r="A90" s="10">
        <v>42.5</v>
      </c>
      <c r="B90" s="76">
        <v>28603.27</v>
      </c>
      <c r="C90" s="10">
        <f t="shared" si="4"/>
        <v>28.603270000000002</v>
      </c>
      <c r="D90" s="10">
        <f t="shared" si="5"/>
        <v>1.9993685730000004</v>
      </c>
      <c r="E90" s="10">
        <f t="shared" si="6"/>
        <v>8.9257525580357169E-2</v>
      </c>
      <c r="F90" s="10">
        <f>E90/Calculation!K$19*1000</f>
        <v>0.11706153118134596</v>
      </c>
      <c r="G90" s="10">
        <f t="shared" si="7"/>
        <v>210.63946174369238</v>
      </c>
    </row>
    <row r="91" spans="1:7">
      <c r="A91" s="10">
        <v>43</v>
      </c>
      <c r="B91" s="76">
        <v>22136.560000000001</v>
      </c>
      <c r="C91" s="10">
        <f t="shared" si="4"/>
        <v>22.136560000000003</v>
      </c>
      <c r="D91" s="10">
        <f t="shared" si="5"/>
        <v>1.5473455440000004</v>
      </c>
      <c r="E91" s="10">
        <f t="shared" si="6"/>
        <v>6.9077926071428597E-2</v>
      </c>
      <c r="F91" s="10">
        <f>E91/Calculation!K$19*1000</f>
        <v>9.0595921679155422E-2</v>
      </c>
      <c r="G91" s="10">
        <f t="shared" si="7"/>
        <v>213.75432353659991</v>
      </c>
    </row>
    <row r="92" spans="1:7">
      <c r="A92" s="10">
        <v>43.5</v>
      </c>
      <c r="B92" s="76">
        <v>21615.29</v>
      </c>
      <c r="C92" s="10">
        <f t="shared" si="4"/>
        <v>21.615290000000002</v>
      </c>
      <c r="D92" s="10">
        <f t="shared" si="5"/>
        <v>1.5109087710000002</v>
      </c>
      <c r="E92" s="10">
        <f t="shared" si="6"/>
        <v>6.7451284419642876E-2</v>
      </c>
      <c r="F92" s="10">
        <f>E92/Calculation!K$19*1000</f>
        <v>8.8462575933759863E-2</v>
      </c>
      <c r="G92" s="10">
        <f t="shared" si="7"/>
        <v>216.44020100079365</v>
      </c>
    </row>
    <row r="93" spans="1:7">
      <c r="A93" s="10">
        <v>44</v>
      </c>
      <c r="B93" s="76">
        <v>22379.98</v>
      </c>
      <c r="C93" s="10">
        <f t="shared" si="4"/>
        <v>22.37998</v>
      </c>
      <c r="D93" s="10">
        <f t="shared" si="5"/>
        <v>1.5643606020000003</v>
      </c>
      <c r="E93" s="10">
        <f t="shared" si="6"/>
        <v>6.9837526875000014E-2</v>
      </c>
      <c r="F93" s="10">
        <f>E93/Calculation!K$19*1000</f>
        <v>9.1592140570217986E-2</v>
      </c>
      <c r="G93" s="10">
        <f t="shared" si="7"/>
        <v>219.14102174835332</v>
      </c>
    </row>
    <row r="94" spans="1:7">
      <c r="A94" s="10">
        <v>44.5</v>
      </c>
      <c r="B94" s="76">
        <v>21428.95</v>
      </c>
      <c r="C94" s="10">
        <f t="shared" si="4"/>
        <v>21.42895</v>
      </c>
      <c r="D94" s="10">
        <f t="shared" si="5"/>
        <v>1.497883605</v>
      </c>
      <c r="E94" s="10">
        <f t="shared" si="6"/>
        <v>6.6869803794642857E-2</v>
      </c>
      <c r="F94" s="10">
        <f>E94/Calculation!K$19*1000</f>
        <v>8.7699962228392173E-2</v>
      </c>
      <c r="G94" s="10">
        <f t="shared" si="7"/>
        <v>221.83040329033247</v>
      </c>
    </row>
    <row r="95" spans="1:7">
      <c r="A95" s="10">
        <v>45</v>
      </c>
      <c r="B95" s="76">
        <v>21119.21</v>
      </c>
      <c r="C95" s="10">
        <f t="shared" si="4"/>
        <v>21.119209999999999</v>
      </c>
      <c r="D95" s="10">
        <f t="shared" si="5"/>
        <v>1.4762327790000001</v>
      </c>
      <c r="E95" s="10">
        <f t="shared" si="6"/>
        <v>6.5903249062500002E-2</v>
      </c>
      <c r="F95" s="10">
        <f>E95/Calculation!K$19*1000</f>
        <v>8.6432322595996647E-2</v>
      </c>
      <c r="G95" s="10">
        <f t="shared" si="7"/>
        <v>224.44238756269831</v>
      </c>
    </row>
    <row r="96" spans="1:7">
      <c r="A96" s="10">
        <v>45.5</v>
      </c>
      <c r="B96" s="76">
        <v>21435.66</v>
      </c>
      <c r="C96" s="10">
        <f t="shared" si="4"/>
        <v>21.435659999999999</v>
      </c>
      <c r="D96" s="10">
        <f t="shared" si="5"/>
        <v>1.498352634</v>
      </c>
      <c r="E96" s="10">
        <f t="shared" si="6"/>
        <v>6.689074258928572E-2</v>
      </c>
      <c r="F96" s="10">
        <f>E96/Calculation!K$19*1000</f>
        <v>8.7727423524748382E-2</v>
      </c>
      <c r="G96" s="10">
        <f t="shared" si="7"/>
        <v>227.05478375450949</v>
      </c>
    </row>
    <row r="97" spans="1:7">
      <c r="A97" s="10">
        <v>46</v>
      </c>
      <c r="B97" s="76">
        <v>21839.41</v>
      </c>
      <c r="C97" s="10">
        <f t="shared" si="4"/>
        <v>21.839410000000001</v>
      </c>
      <c r="D97" s="10">
        <f t="shared" si="5"/>
        <v>1.5265747590000001</v>
      </c>
      <c r="E97" s="10">
        <f t="shared" si="6"/>
        <v>6.8150658883928572E-2</v>
      </c>
      <c r="F97" s="10">
        <f>E97/Calculation!K$19*1000</f>
        <v>8.9379807787613036E-2</v>
      </c>
      <c r="G97" s="10">
        <f t="shared" si="7"/>
        <v>229.7113922241949</v>
      </c>
    </row>
    <row r="98" spans="1:7">
      <c r="A98" s="10">
        <v>46.5</v>
      </c>
      <c r="B98" s="76">
        <v>22149.15</v>
      </c>
      <c r="C98" s="10">
        <f t="shared" si="4"/>
        <v>22.149150000000002</v>
      </c>
      <c r="D98" s="10">
        <f t="shared" si="5"/>
        <v>1.5482255850000004</v>
      </c>
      <c r="E98" s="10">
        <f t="shared" si="6"/>
        <v>6.9117213616071455E-2</v>
      </c>
      <c r="F98" s="10">
        <f>E98/Calculation!K$19*1000</f>
        <v>9.0647447420008589E-2</v>
      </c>
      <c r="G98" s="10">
        <f t="shared" si="7"/>
        <v>232.41180105230922</v>
      </c>
    </row>
    <row r="99" spans="1:7">
      <c r="A99" s="10">
        <v>47</v>
      </c>
      <c r="B99" s="76">
        <v>22540.31</v>
      </c>
      <c r="C99" s="10">
        <f t="shared" si="4"/>
        <v>22.540310000000002</v>
      </c>
      <c r="D99" s="10">
        <f t="shared" si="5"/>
        <v>1.5755676690000002</v>
      </c>
      <c r="E99" s="10">
        <f t="shared" si="6"/>
        <v>7.0337842366071449E-2</v>
      </c>
      <c r="F99" s="10">
        <f>E99/Calculation!K$19*1000</f>
        <v>9.2248305942020062E-2</v>
      </c>
      <c r="G99" s="10">
        <f t="shared" si="7"/>
        <v>235.15523735273965</v>
      </c>
    </row>
    <row r="100" spans="1:7">
      <c r="A100" s="10">
        <v>47.5</v>
      </c>
      <c r="B100" s="76">
        <v>22995.26</v>
      </c>
      <c r="C100" s="10">
        <f t="shared" si="4"/>
        <v>22.995259999999998</v>
      </c>
      <c r="D100" s="10">
        <f t="shared" si="5"/>
        <v>1.6073686739999999</v>
      </c>
      <c r="E100" s="10">
        <f t="shared" si="6"/>
        <v>7.1757530089285718E-2</v>
      </c>
      <c r="F100" s="10">
        <f>E100/Calculation!K$19*1000</f>
        <v>9.4110230946082632E-2</v>
      </c>
      <c r="G100" s="10">
        <f t="shared" si="7"/>
        <v>237.95061540606119</v>
      </c>
    </row>
    <row r="101" spans="1:7">
      <c r="A101" s="10">
        <v>48</v>
      </c>
      <c r="B101" s="76">
        <v>24742.880000000001</v>
      </c>
      <c r="C101" s="10">
        <f t="shared" si="4"/>
        <v>24.74288</v>
      </c>
      <c r="D101" s="10">
        <f t="shared" si="5"/>
        <v>1.7295273120000001</v>
      </c>
      <c r="E101" s="10">
        <f t="shared" si="6"/>
        <v>7.7211040714285722E-2</v>
      </c>
      <c r="F101" s="10">
        <f>E101/Calculation!K$20*1000</f>
        <v>0.10716513610410119</v>
      </c>
      <c r="G101" s="10">
        <f t="shared" si="7"/>
        <v>240.96974591181396</v>
      </c>
    </row>
    <row r="102" spans="1:7">
      <c r="A102" s="10">
        <v>48.5</v>
      </c>
      <c r="B102" s="77">
        <v>26941.26</v>
      </c>
      <c r="C102" s="10">
        <f t="shared" ref="C102:C154" si="8">B102/1000</f>
        <v>26.94126</v>
      </c>
      <c r="D102" s="10">
        <f t="shared" ref="D102:D154" si="9">C102/1000*$B$1</f>
        <v>1.8831940739999999</v>
      </c>
      <c r="E102" s="10">
        <f t="shared" ref="E102:E154" si="10">D102/22.4</f>
        <v>8.407116401785715E-2</v>
      </c>
      <c r="F102" s="10">
        <f>E102/Calculation!K$20*1000</f>
        <v>0.11668665065327792</v>
      </c>
      <c r="G102" s="10">
        <f t="shared" ref="G102:G154" si="11">G101+(F102+F101)/2*30</f>
        <v>244.32752271317466</v>
      </c>
    </row>
    <row r="103" spans="1:7">
      <c r="A103" s="10">
        <v>49</v>
      </c>
      <c r="B103" s="77">
        <v>26728.06</v>
      </c>
      <c r="C103" s="10">
        <f t="shared" si="8"/>
        <v>26.728060000000003</v>
      </c>
      <c r="D103" s="10">
        <f t="shared" si="9"/>
        <v>1.8682913940000003</v>
      </c>
      <c r="E103" s="10">
        <f t="shared" si="10"/>
        <v>8.3405865803571455E-2</v>
      </c>
      <c r="F103" s="10">
        <f>E103/Calculation!K$20*1000</f>
        <v>0.11576324937511653</v>
      </c>
      <c r="G103" s="10">
        <f t="shared" si="11"/>
        <v>247.81427121360056</v>
      </c>
    </row>
    <row r="104" spans="1:7">
      <c r="A104" s="10">
        <v>49.5</v>
      </c>
      <c r="B104" s="77">
        <v>27271.15</v>
      </c>
      <c r="C104" s="10">
        <f t="shared" si="8"/>
        <v>27.271150000000002</v>
      </c>
      <c r="D104" s="10">
        <f t="shared" si="9"/>
        <v>1.9062533850000003</v>
      </c>
      <c r="E104" s="10">
        <f t="shared" si="10"/>
        <v>8.5100597544642873E-2</v>
      </c>
      <c r="F104" s="10">
        <f>E104/Calculation!K$20*1000</f>
        <v>0.11811545387866568</v>
      </c>
      <c r="G104" s="10">
        <f t="shared" si="11"/>
        <v>251.3224517624073</v>
      </c>
    </row>
    <row r="105" spans="1:7">
      <c r="A105" s="10">
        <v>50</v>
      </c>
      <c r="B105" s="77">
        <v>27848.65</v>
      </c>
      <c r="C105" s="10">
        <f t="shared" si="8"/>
        <v>27.848650000000003</v>
      </c>
      <c r="D105" s="10">
        <f t="shared" si="9"/>
        <v>1.9466206350000004</v>
      </c>
      <c r="E105" s="10">
        <f t="shared" si="10"/>
        <v>8.6902706919642886E-2</v>
      </c>
      <c r="F105" s="10">
        <f>E105/Calculation!K$20*1000</f>
        <v>0.12061669326955787</v>
      </c>
      <c r="G105" s="10">
        <f t="shared" si="11"/>
        <v>254.90343396963064</v>
      </c>
    </row>
    <row r="106" spans="1:7">
      <c r="A106" s="10">
        <v>50.5</v>
      </c>
      <c r="B106" s="77">
        <v>27822.63</v>
      </c>
      <c r="C106" s="10">
        <f t="shared" si="8"/>
        <v>27.82263</v>
      </c>
      <c r="D106" s="10">
        <f t="shared" si="9"/>
        <v>1.9448018370000002</v>
      </c>
      <c r="E106" s="10">
        <f t="shared" si="10"/>
        <v>8.6821510580357156E-2</v>
      </c>
      <c r="F106" s="10">
        <f>E106/Calculation!K$20*1000</f>
        <v>0.12050399673457775</v>
      </c>
      <c r="G106" s="10">
        <f t="shared" si="11"/>
        <v>258.52024431969267</v>
      </c>
    </row>
    <row r="107" spans="1:7">
      <c r="A107" s="10">
        <v>51</v>
      </c>
      <c r="B107" s="77">
        <v>36050.39</v>
      </c>
      <c r="C107" s="10">
        <f t="shared" si="8"/>
        <v>36.05039</v>
      </c>
      <c r="D107" s="10">
        <f t="shared" si="9"/>
        <v>2.5199222610000005</v>
      </c>
      <c r="E107" s="10">
        <f t="shared" si="10"/>
        <v>0.11249652950892861</v>
      </c>
      <c r="F107" s="10">
        <f>E107/Calculation!K$20*1000</f>
        <v>0.15613966324679784</v>
      </c>
      <c r="G107" s="10">
        <f t="shared" si="11"/>
        <v>262.66989921941331</v>
      </c>
    </row>
    <row r="108" spans="1:7">
      <c r="A108" s="10">
        <v>51.5</v>
      </c>
      <c r="B108" s="77">
        <v>27940.14</v>
      </c>
      <c r="C108" s="10">
        <f t="shared" si="8"/>
        <v>27.94014</v>
      </c>
      <c r="D108" s="10">
        <f t="shared" si="9"/>
        <v>1.9530157860000001</v>
      </c>
      <c r="E108" s="10">
        <f t="shared" si="10"/>
        <v>8.7188204732142865E-2</v>
      </c>
      <c r="F108" s="10">
        <f>E108/Calculation!K$20*1000</f>
        <v>0.12101295022518162</v>
      </c>
      <c r="G108" s="10">
        <f t="shared" si="11"/>
        <v>266.82718842149302</v>
      </c>
    </row>
    <row r="109" spans="1:7">
      <c r="A109" s="10">
        <v>52</v>
      </c>
      <c r="B109" s="77">
        <v>29148.04</v>
      </c>
      <c r="C109" s="10">
        <f t="shared" si="8"/>
        <v>29.148040000000002</v>
      </c>
      <c r="D109" s="10">
        <f t="shared" si="9"/>
        <v>2.037447996</v>
      </c>
      <c r="E109" s="10">
        <f t="shared" si="10"/>
        <v>9.0957499821428575E-2</v>
      </c>
      <c r="F109" s="10">
        <f>E109/Calculation!K$20*1000</f>
        <v>0.12624454686632217</v>
      </c>
      <c r="G109" s="10">
        <f t="shared" si="11"/>
        <v>270.53605087786559</v>
      </c>
    </row>
    <row r="110" spans="1:7">
      <c r="A110" s="10">
        <v>52.5</v>
      </c>
      <c r="B110" s="77">
        <v>35766.68</v>
      </c>
      <c r="C110" s="10">
        <f t="shared" si="8"/>
        <v>35.766680000000001</v>
      </c>
      <c r="D110" s="10">
        <f t="shared" si="9"/>
        <v>2.5000909320000004</v>
      </c>
      <c r="E110" s="10">
        <f t="shared" si="10"/>
        <v>0.1116112023214286</v>
      </c>
      <c r="F110" s="10">
        <f>E110/Calculation!K$20*1000</f>
        <v>0.15491087254967223</v>
      </c>
      <c r="G110" s="10">
        <f t="shared" si="11"/>
        <v>274.75338216910552</v>
      </c>
    </row>
    <row r="111" spans="1:7">
      <c r="A111" s="10">
        <v>53</v>
      </c>
      <c r="B111" s="77">
        <v>28039.19</v>
      </c>
      <c r="C111" s="10">
        <f t="shared" si="8"/>
        <v>28.039189999999998</v>
      </c>
      <c r="D111" s="10">
        <f t="shared" si="9"/>
        <v>1.9599393810000001</v>
      </c>
      <c r="E111" s="10">
        <f t="shared" si="10"/>
        <v>8.7497293794642869E-2</v>
      </c>
      <c r="F111" s="10">
        <f>E111/Calculation!K$20*1000</f>
        <v>0.12144195067828617</v>
      </c>
      <c r="G111" s="10">
        <f t="shared" si="11"/>
        <v>278.89867451752491</v>
      </c>
    </row>
    <row r="112" spans="1:7">
      <c r="A112" s="10">
        <v>53.5</v>
      </c>
      <c r="B112" s="77">
        <v>27864.6</v>
      </c>
      <c r="C112" s="10">
        <f t="shared" si="8"/>
        <v>27.864599999999999</v>
      </c>
      <c r="D112" s="10">
        <f t="shared" si="9"/>
        <v>1.94773554</v>
      </c>
      <c r="E112" s="10">
        <f t="shared" si="10"/>
        <v>8.695247946428572E-2</v>
      </c>
      <c r="F112" s="10">
        <f>E112/Calculation!K$20*1000</f>
        <v>0.12068577511940154</v>
      </c>
      <c r="G112" s="10">
        <f t="shared" si="11"/>
        <v>282.53059040449023</v>
      </c>
    </row>
    <row r="113" spans="1:7">
      <c r="A113" s="10">
        <v>54</v>
      </c>
      <c r="B113" s="77">
        <v>33798.29</v>
      </c>
      <c r="C113" s="10">
        <f t="shared" si="8"/>
        <v>33.798290000000001</v>
      </c>
      <c r="D113" s="10">
        <f t="shared" si="9"/>
        <v>2.3625004710000002</v>
      </c>
      <c r="E113" s="10">
        <f t="shared" si="10"/>
        <v>0.10546877102678573</v>
      </c>
      <c r="F113" s="10">
        <f>E113/Calculation!K$21*1000</f>
        <v>0.15364588510441932</v>
      </c>
      <c r="G113" s="10">
        <f t="shared" si="11"/>
        <v>286.64556530784756</v>
      </c>
    </row>
    <row r="114" spans="1:7">
      <c r="A114" s="10">
        <v>54.5</v>
      </c>
      <c r="B114" s="77">
        <v>27394.54</v>
      </c>
      <c r="C114" s="10">
        <f t="shared" si="8"/>
        <v>27.394539999999999</v>
      </c>
      <c r="D114" s="10">
        <f t="shared" si="9"/>
        <v>1.9148783460000001</v>
      </c>
      <c r="E114" s="10">
        <f t="shared" si="10"/>
        <v>8.5485640446428576E-2</v>
      </c>
      <c r="F114" s="10">
        <f>E114/Calculation!K$21*1000</f>
        <v>0.12453465383391936</v>
      </c>
      <c r="G114" s="10">
        <f t="shared" si="11"/>
        <v>290.81827339192262</v>
      </c>
    </row>
    <row r="115" spans="1:7">
      <c r="A115" s="10">
        <v>55</v>
      </c>
      <c r="B115" s="77">
        <v>31213.79</v>
      </c>
      <c r="C115" s="10">
        <f t="shared" si="8"/>
        <v>31.213789999999999</v>
      </c>
      <c r="D115" s="10">
        <f t="shared" si="9"/>
        <v>2.181843921</v>
      </c>
      <c r="E115" s="10">
        <f t="shared" si="10"/>
        <v>9.7403746473214287E-2</v>
      </c>
      <c r="F115" s="10">
        <f>E115/Calculation!K$21*1000</f>
        <v>0.14189683537283904</v>
      </c>
      <c r="G115" s="10">
        <f t="shared" si="11"/>
        <v>294.81474573002401</v>
      </c>
    </row>
    <row r="116" spans="1:7">
      <c r="A116" s="10">
        <v>55.5</v>
      </c>
      <c r="B116" s="77">
        <v>26176.57</v>
      </c>
      <c r="C116" s="10">
        <f t="shared" si="8"/>
        <v>26.176569999999998</v>
      </c>
      <c r="D116" s="10">
        <f t="shared" si="9"/>
        <v>1.8297422430000001</v>
      </c>
      <c r="E116" s="10">
        <f t="shared" si="10"/>
        <v>8.1684921562500012E-2</v>
      </c>
      <c r="F116" s="10">
        <f>E116/Calculation!K$21*1000</f>
        <v>0.11899780333998523</v>
      </c>
      <c r="G116" s="10">
        <f t="shared" si="11"/>
        <v>298.72816531071641</v>
      </c>
    </row>
    <row r="117" spans="1:7">
      <c r="A117" s="10">
        <v>56</v>
      </c>
      <c r="B117" s="77">
        <v>34691.410000000003</v>
      </c>
      <c r="C117" s="10">
        <f t="shared" si="8"/>
        <v>34.691410000000005</v>
      </c>
      <c r="D117" s="10">
        <f t="shared" si="9"/>
        <v>2.4249295590000006</v>
      </c>
      <c r="E117" s="10">
        <f t="shared" si="10"/>
        <v>0.10825578388392861</v>
      </c>
      <c r="F117" s="10">
        <f>E117/Calculation!K$21*1000</f>
        <v>0.15770597846726281</v>
      </c>
      <c r="G117" s="10">
        <f t="shared" si="11"/>
        <v>302.87872203782513</v>
      </c>
    </row>
    <row r="118" spans="1:7">
      <c r="A118" s="10">
        <v>56.5</v>
      </c>
      <c r="B118" s="77">
        <v>26019.61</v>
      </c>
      <c r="C118" s="10">
        <f t="shared" si="8"/>
        <v>26.01961</v>
      </c>
      <c r="D118" s="10">
        <f t="shared" si="9"/>
        <v>1.8187707390000001</v>
      </c>
      <c r="E118" s="10">
        <f t="shared" si="10"/>
        <v>8.1195122276785728E-2</v>
      </c>
      <c r="F118" s="10">
        <f>E118/Calculation!K$21*1000</f>
        <v>0.11828426847990829</v>
      </c>
      <c r="G118" s="10">
        <f t="shared" si="11"/>
        <v>307.01857574203268</v>
      </c>
    </row>
    <row r="119" spans="1:7">
      <c r="A119" s="10">
        <v>57</v>
      </c>
      <c r="B119" s="77">
        <v>24986.31</v>
      </c>
      <c r="C119" s="10">
        <f t="shared" si="8"/>
        <v>24.98631</v>
      </c>
      <c r="D119" s="10">
        <f t="shared" si="9"/>
        <v>1.7465430690000001</v>
      </c>
      <c r="E119" s="10">
        <f t="shared" si="10"/>
        <v>7.7970672723214299E-2</v>
      </c>
      <c r="F119" s="10">
        <f>E119/Calculation!K$21*1000</f>
        <v>0.11358692157039316</v>
      </c>
      <c r="G119" s="10">
        <f t="shared" si="11"/>
        <v>310.49664359278722</v>
      </c>
    </row>
    <row r="120" spans="1:7">
      <c r="A120" s="10">
        <v>57.5</v>
      </c>
      <c r="B120" s="77">
        <v>24017.65</v>
      </c>
      <c r="C120" s="10">
        <f t="shared" si="8"/>
        <v>24.01765</v>
      </c>
      <c r="D120" s="10">
        <f t="shared" si="9"/>
        <v>1.678833735</v>
      </c>
      <c r="E120" s="10">
        <f t="shared" si="10"/>
        <v>7.4947934598214291E-2</v>
      </c>
      <c r="F120" s="10">
        <f>E120/Calculation!K$21*1000</f>
        <v>0.10918342591823894</v>
      </c>
      <c r="G120" s="10">
        <f t="shared" si="11"/>
        <v>313.83819880511669</v>
      </c>
    </row>
    <row r="121" spans="1:7">
      <c r="A121" s="10">
        <v>58</v>
      </c>
      <c r="B121" s="77">
        <v>23673.49</v>
      </c>
      <c r="C121" s="10">
        <f t="shared" si="8"/>
        <v>23.673490000000001</v>
      </c>
      <c r="D121" s="10">
        <f t="shared" si="9"/>
        <v>1.6547769510000003</v>
      </c>
      <c r="E121" s="10">
        <f t="shared" si="10"/>
        <v>7.3873971026785737E-2</v>
      </c>
      <c r="F121" s="10">
        <f>E121/Calculation!K$21*1000</f>
        <v>0.10761888617917119</v>
      </c>
      <c r="G121" s="10">
        <f t="shared" si="11"/>
        <v>317.09023348657786</v>
      </c>
    </row>
    <row r="122" spans="1:7">
      <c r="A122" s="10">
        <v>58.5</v>
      </c>
      <c r="B122" s="77">
        <v>23096.83</v>
      </c>
      <c r="C122" s="10">
        <f t="shared" si="8"/>
        <v>23.096830000000001</v>
      </c>
      <c r="D122" s="10">
        <f t="shared" si="9"/>
        <v>1.6144684170000003</v>
      </c>
      <c r="E122" s="10">
        <f t="shared" si="10"/>
        <v>7.2074482901785739E-2</v>
      </c>
      <c r="F122" s="10">
        <f>E122/Calculation!K$21*1000</f>
        <v>0.10499740929071577</v>
      </c>
      <c r="G122" s="10">
        <f t="shared" si="11"/>
        <v>320.27947791862618</v>
      </c>
    </row>
    <row r="123" spans="1:7">
      <c r="A123" s="10">
        <v>59</v>
      </c>
      <c r="B123" s="77">
        <v>22785.41</v>
      </c>
      <c r="C123" s="10">
        <f t="shared" si="8"/>
        <v>22.785409999999999</v>
      </c>
      <c r="D123" s="10">
        <f t="shared" si="9"/>
        <v>1.5927001590000001</v>
      </c>
      <c r="E123" s="10">
        <f t="shared" si="10"/>
        <v>7.1102685669642868E-2</v>
      </c>
      <c r="F123" s="10">
        <f>E123/Calculation!K$21*1000</f>
        <v>0.10358170448614669</v>
      </c>
      <c r="G123" s="10">
        <f t="shared" si="11"/>
        <v>323.40816462527914</v>
      </c>
    </row>
    <row r="124" spans="1:7">
      <c r="A124" s="10">
        <v>59.5</v>
      </c>
      <c r="B124" s="77">
        <v>21418.04</v>
      </c>
      <c r="C124" s="10">
        <f t="shared" si="8"/>
        <v>21.418040000000001</v>
      </c>
      <c r="D124" s="10">
        <f t="shared" si="9"/>
        <v>1.4971209960000003</v>
      </c>
      <c r="E124" s="10">
        <f t="shared" si="10"/>
        <v>6.6835758750000016E-2</v>
      </c>
      <c r="F124" s="10">
        <f>E124/Calculation!K$21*1000</f>
        <v>9.7365686636864096E-2</v>
      </c>
      <c r="G124" s="10">
        <f t="shared" si="11"/>
        <v>326.42237549212433</v>
      </c>
    </row>
    <row r="125" spans="1:7">
      <c r="A125" s="10">
        <v>60</v>
      </c>
      <c r="B125" s="77">
        <v>21707.63</v>
      </c>
      <c r="C125" s="10">
        <f t="shared" si="8"/>
        <v>21.707630000000002</v>
      </c>
      <c r="D125" s="10">
        <f t="shared" si="9"/>
        <v>1.5173633370000004</v>
      </c>
      <c r="E125" s="10">
        <f t="shared" si="10"/>
        <v>6.7739434687500016E-2</v>
      </c>
      <c r="F125" s="10">
        <f>E125/Calculation!K$21*1000</f>
        <v>9.868215299854656E-2</v>
      </c>
      <c r="G125" s="10">
        <f t="shared" si="11"/>
        <v>329.36309308665551</v>
      </c>
    </row>
    <row r="126" spans="1:7">
      <c r="A126" s="10">
        <v>60.5</v>
      </c>
      <c r="B126" s="77">
        <v>28572.21</v>
      </c>
      <c r="C126" s="10">
        <f t="shared" si="8"/>
        <v>28.572209999999998</v>
      </c>
      <c r="D126" s="10">
        <f t="shared" si="9"/>
        <v>1.997197479</v>
      </c>
      <c r="E126" s="10">
        <f t="shared" si="10"/>
        <v>8.9160601741071432E-2</v>
      </c>
      <c r="F126" s="10">
        <f>E126/Calculation!K$21*1000</f>
        <v>0.1298883018886263</v>
      </c>
      <c r="G126" s="10">
        <f t="shared" si="11"/>
        <v>332.7916499099631</v>
      </c>
    </row>
    <row r="127" spans="1:7">
      <c r="A127" s="10">
        <v>61</v>
      </c>
      <c r="B127" s="77">
        <v>20864.87</v>
      </c>
      <c r="C127" s="10">
        <f t="shared" si="8"/>
        <v>20.86487</v>
      </c>
      <c r="D127" s="10">
        <f t="shared" si="9"/>
        <v>1.4584544130000001</v>
      </c>
      <c r="E127" s="10">
        <f t="shared" si="10"/>
        <v>6.5109572008928585E-2</v>
      </c>
      <c r="F127" s="10">
        <f>E127/Calculation!K$21*1000</f>
        <v>9.4850994495243562E-2</v>
      </c>
      <c r="G127" s="10">
        <f t="shared" si="11"/>
        <v>336.16273935572116</v>
      </c>
    </row>
    <row r="128" spans="1:7">
      <c r="A128" s="10">
        <v>61.5</v>
      </c>
      <c r="B128" s="77">
        <v>20168.169999999998</v>
      </c>
      <c r="C128" s="10">
        <f t="shared" si="8"/>
        <v>20.16817</v>
      </c>
      <c r="D128" s="10">
        <f t="shared" si="9"/>
        <v>1.4097550830000001</v>
      </c>
      <c r="E128" s="10">
        <f t="shared" si="10"/>
        <v>6.2935494776785728E-2</v>
      </c>
      <c r="F128" s="10">
        <f>E128/Calculation!K$21*1000</f>
        <v>9.1683819820067722E-2</v>
      </c>
      <c r="G128" s="10">
        <f t="shared" si="11"/>
        <v>338.96076157045081</v>
      </c>
    </row>
    <row r="129" spans="1:7">
      <c r="A129" s="10">
        <v>62</v>
      </c>
      <c r="B129" s="77">
        <v>19747.64</v>
      </c>
      <c r="C129" s="10">
        <f t="shared" si="8"/>
        <v>19.747640000000001</v>
      </c>
      <c r="D129" s="10">
        <f t="shared" si="9"/>
        <v>1.3803600360000001</v>
      </c>
      <c r="E129" s="10">
        <f t="shared" si="10"/>
        <v>6.1623215892857151E-2</v>
      </c>
      <c r="F129" s="10">
        <f>E129/Calculation!K$21*1000</f>
        <v>8.9772104639715064E-2</v>
      </c>
      <c r="G129" s="10">
        <f t="shared" si="11"/>
        <v>341.68260043734756</v>
      </c>
    </row>
    <row r="130" spans="1:7">
      <c r="A130" s="10">
        <v>62.5</v>
      </c>
      <c r="B130" s="77">
        <v>19056.810000000001</v>
      </c>
      <c r="C130" s="10">
        <f t="shared" si="8"/>
        <v>19.056810000000002</v>
      </c>
      <c r="D130" s="10">
        <f t="shared" si="9"/>
        <v>1.3320710190000005</v>
      </c>
      <c r="E130" s="10">
        <f t="shared" si="10"/>
        <v>5.9467456205357171E-2</v>
      </c>
      <c r="F130" s="10">
        <f>E130/Calculation!K$21*1000</f>
        <v>8.663161478633237E-2</v>
      </c>
      <c r="G130" s="10">
        <f t="shared" si="11"/>
        <v>344.32865622873828</v>
      </c>
    </row>
    <row r="131" spans="1:7">
      <c r="A131" s="10">
        <v>63</v>
      </c>
      <c r="B131" s="77">
        <v>22995.26</v>
      </c>
      <c r="C131" s="10">
        <f t="shared" si="8"/>
        <v>22.995259999999998</v>
      </c>
      <c r="D131" s="10">
        <f t="shared" si="9"/>
        <v>1.6073686739999999</v>
      </c>
      <c r="E131" s="10">
        <f t="shared" si="10"/>
        <v>7.1757530089285718E-2</v>
      </c>
      <c r="F131" s="10">
        <f>E131/Calculation!K$21*1000</f>
        <v>0.10453567550033592</v>
      </c>
      <c r="G131" s="10">
        <f t="shared" si="11"/>
        <v>347.19616558303829</v>
      </c>
    </row>
    <row r="132" spans="1:7">
      <c r="A132" s="10">
        <v>63.5</v>
      </c>
      <c r="B132" s="77">
        <v>17528.27</v>
      </c>
      <c r="C132" s="10">
        <f t="shared" si="8"/>
        <v>17.528269999999999</v>
      </c>
      <c r="D132" s="10">
        <f t="shared" si="9"/>
        <v>1.225226073</v>
      </c>
      <c r="E132" s="10">
        <f t="shared" si="10"/>
        <v>5.4697592544642862E-2</v>
      </c>
      <c r="F132" s="10">
        <f>E132/Calculation!K$21*1000</f>
        <v>7.9682923559127983E-2</v>
      </c>
      <c r="G132" s="10">
        <f t="shared" si="11"/>
        <v>349.95944456893028</v>
      </c>
    </row>
    <row r="133" spans="1:7">
      <c r="A133" s="10">
        <v>64</v>
      </c>
      <c r="B133" s="77">
        <v>16832.41</v>
      </c>
      <c r="C133" s="10">
        <f t="shared" si="8"/>
        <v>16.832409999999999</v>
      </c>
      <c r="D133" s="10">
        <f t="shared" si="9"/>
        <v>1.176585459</v>
      </c>
      <c r="E133" s="10">
        <f t="shared" si="10"/>
        <v>5.2526136562500006E-2</v>
      </c>
      <c r="F133" s="10">
        <f>E133/Calculation!K$21*1000</f>
        <v>7.6519567495588636E-2</v>
      </c>
      <c r="G133" s="10">
        <f t="shared" si="11"/>
        <v>352.30248193475103</v>
      </c>
    </row>
    <row r="134" spans="1:7">
      <c r="A134" s="10">
        <v>64.5</v>
      </c>
      <c r="B134" s="77">
        <v>15990.5</v>
      </c>
      <c r="C134" s="10">
        <f t="shared" si="8"/>
        <v>15.990500000000001</v>
      </c>
      <c r="D134" s="10">
        <f t="shared" si="9"/>
        <v>1.1177359500000001</v>
      </c>
      <c r="E134" s="10">
        <f t="shared" si="10"/>
        <v>4.9898926339285721E-2</v>
      </c>
      <c r="F134" s="10">
        <f>E134/Calculation!K$21*1000</f>
        <v>7.2692273063584487E-2</v>
      </c>
      <c r="G134" s="10">
        <f t="shared" si="11"/>
        <v>354.54065954313864</v>
      </c>
    </row>
    <row r="135" spans="1:7">
      <c r="A135" s="10">
        <v>65</v>
      </c>
      <c r="B135" s="77">
        <v>15314.79</v>
      </c>
      <c r="C135" s="10">
        <f t="shared" si="8"/>
        <v>15.31479</v>
      </c>
      <c r="D135" s="10">
        <f t="shared" si="9"/>
        <v>1.0705038210000002</v>
      </c>
      <c r="E135" s="10">
        <f t="shared" si="10"/>
        <v>4.7790349151785726E-2</v>
      </c>
      <c r="F135" s="10">
        <f>E135/Calculation!K$21*1000</f>
        <v>6.9620518219658742E-2</v>
      </c>
      <c r="G135" s="10">
        <f t="shared" si="11"/>
        <v>356.67535141238727</v>
      </c>
    </row>
    <row r="136" spans="1:7">
      <c r="A136" s="10">
        <v>65.5</v>
      </c>
      <c r="B136" s="77">
        <v>14508.96</v>
      </c>
      <c r="C136" s="10">
        <f t="shared" si="8"/>
        <v>14.508959999999998</v>
      </c>
      <c r="D136" s="10">
        <f t="shared" si="9"/>
        <v>1.014176304</v>
      </c>
      <c r="E136" s="10">
        <f t="shared" si="10"/>
        <v>4.5275727857142858E-2</v>
      </c>
      <c r="F136" s="10">
        <f>E136/Calculation!K$21*1000</f>
        <v>6.5957242249374604E-2</v>
      </c>
      <c r="G136" s="10">
        <f t="shared" si="11"/>
        <v>358.7090178194228</v>
      </c>
    </row>
    <row r="137" spans="1:7">
      <c r="A137" s="10">
        <v>66</v>
      </c>
      <c r="B137" s="77">
        <v>13239.8</v>
      </c>
      <c r="C137" s="10">
        <f t="shared" si="8"/>
        <v>13.239799999999999</v>
      </c>
      <c r="D137" s="10">
        <f t="shared" si="9"/>
        <v>0.92546202</v>
      </c>
      <c r="E137" s="10">
        <f t="shared" si="10"/>
        <v>4.1315268750000002E-2</v>
      </c>
      <c r="F137" s="10">
        <f>E137/Calculation!K$21*1000</f>
        <v>6.0187683743925816E-2</v>
      </c>
      <c r="G137" s="10">
        <f t="shared" si="11"/>
        <v>360.60119170932228</v>
      </c>
    </row>
    <row r="138" spans="1:7">
      <c r="A138" s="10">
        <v>66.5</v>
      </c>
      <c r="B138" s="77">
        <v>12303.87</v>
      </c>
      <c r="C138" s="10">
        <f t="shared" si="8"/>
        <v>12.303870000000002</v>
      </c>
      <c r="D138" s="10">
        <f t="shared" si="9"/>
        <v>0.86004051300000017</v>
      </c>
      <c r="E138" s="10">
        <f t="shared" si="10"/>
        <v>3.8394665758928581E-2</v>
      </c>
      <c r="F138" s="10">
        <f>E138/Calculation!K$21*1000</f>
        <v>5.5932977566608012E-2</v>
      </c>
      <c r="G138" s="10">
        <f t="shared" si="11"/>
        <v>362.34300162898029</v>
      </c>
    </row>
    <row r="139" spans="1:7">
      <c r="A139" s="10">
        <v>67</v>
      </c>
      <c r="B139" s="77">
        <v>10912.99</v>
      </c>
      <c r="C139" s="10">
        <f t="shared" si="8"/>
        <v>10.912990000000001</v>
      </c>
      <c r="D139" s="10">
        <f t="shared" si="9"/>
        <v>0.76281800100000008</v>
      </c>
      <c r="E139" s="10">
        <f t="shared" si="10"/>
        <v>3.4054375044642864E-2</v>
      </c>
      <c r="F139" s="10">
        <f>E139/Calculation!K$21*1000</f>
        <v>4.9610084051165806E-2</v>
      </c>
      <c r="G139" s="10">
        <f t="shared" si="11"/>
        <v>363.92614755324689</v>
      </c>
    </row>
    <row r="140" spans="1:7">
      <c r="A140" s="10">
        <v>67.5</v>
      </c>
      <c r="B140" s="77">
        <v>9256.86</v>
      </c>
      <c r="C140" s="10">
        <f t="shared" si="8"/>
        <v>9.2568600000000014</v>
      </c>
      <c r="D140" s="10">
        <f t="shared" si="9"/>
        <v>0.64705451400000025</v>
      </c>
      <c r="E140" s="10">
        <f t="shared" si="10"/>
        <v>2.888636223214287E-2</v>
      </c>
      <c r="F140" s="10">
        <f>E140/Calculation!K$21*1000</f>
        <v>4.2081372992174911E-2</v>
      </c>
      <c r="G140" s="10">
        <f t="shared" si="11"/>
        <v>365.30151940889698</v>
      </c>
    </row>
    <row r="141" spans="1:7">
      <c r="A141" s="10">
        <v>68</v>
      </c>
      <c r="B141" s="77">
        <v>7667.05</v>
      </c>
      <c r="C141" s="10">
        <f t="shared" si="8"/>
        <v>7.6670500000000006</v>
      </c>
      <c r="D141" s="10">
        <f t="shared" si="9"/>
        <v>0.53592679500000007</v>
      </c>
      <c r="E141" s="10">
        <f t="shared" si="10"/>
        <v>2.3925303348214289E-2</v>
      </c>
      <c r="F141" s="10">
        <f>E141/Calculation!K$21*1000</f>
        <v>3.4854150413817918E-2</v>
      </c>
      <c r="G141" s="10">
        <f t="shared" si="11"/>
        <v>366.45555225998686</v>
      </c>
    </row>
    <row r="142" spans="1:7">
      <c r="A142" s="10">
        <v>68.5</v>
      </c>
      <c r="B142" s="77">
        <v>5780.08</v>
      </c>
      <c r="C142" s="10">
        <f t="shared" si="8"/>
        <v>5.7800799999999999</v>
      </c>
      <c r="D142" s="10">
        <f t="shared" si="9"/>
        <v>0.40402759200000005</v>
      </c>
      <c r="E142" s="10">
        <f t="shared" si="10"/>
        <v>1.8036946071428573E-2</v>
      </c>
      <c r="F142" s="10">
        <f>E142/Calculation!K$21*1000</f>
        <v>2.6276048509387664E-2</v>
      </c>
      <c r="G142" s="10">
        <f t="shared" si="11"/>
        <v>367.37250524383495</v>
      </c>
    </row>
    <row r="143" spans="1:7">
      <c r="A143" s="10">
        <v>69</v>
      </c>
      <c r="B143" s="77">
        <v>5033.8599999999997</v>
      </c>
      <c r="C143" s="10">
        <f t="shared" si="8"/>
        <v>5.0338599999999998</v>
      </c>
      <c r="D143" s="10">
        <f t="shared" si="9"/>
        <v>0.35186681399999997</v>
      </c>
      <c r="E143" s="10">
        <f t="shared" si="10"/>
        <v>1.5708339910714287E-2</v>
      </c>
      <c r="F143" s="10">
        <f>E143/Calculation!K$21*1000</f>
        <v>2.2883757586307833E-2</v>
      </c>
      <c r="G143" s="10">
        <f t="shared" si="11"/>
        <v>368.10990233527036</v>
      </c>
    </row>
    <row r="144" spans="1:7">
      <c r="A144" s="10">
        <v>69.5</v>
      </c>
      <c r="B144" s="77">
        <v>1822.33</v>
      </c>
      <c r="C144" s="10">
        <f t="shared" si="8"/>
        <v>1.82233</v>
      </c>
      <c r="D144" s="10">
        <f t="shared" si="9"/>
        <v>0.12738086700000001</v>
      </c>
      <c r="E144" s="10">
        <f t="shared" si="10"/>
        <v>5.6866458482142867E-3</v>
      </c>
      <c r="F144" s="10">
        <f>E144/Calculation!K$21*1000</f>
        <v>8.2842506470693165E-3</v>
      </c>
      <c r="G144" s="10">
        <f t="shared" si="11"/>
        <v>368.57742245877103</v>
      </c>
    </row>
    <row r="145" spans="1:7">
      <c r="A145" s="10">
        <v>70</v>
      </c>
      <c r="B145" s="77">
        <v>776.44</v>
      </c>
      <c r="C145" s="10">
        <f t="shared" si="8"/>
        <v>0.77644000000000002</v>
      </c>
      <c r="D145" s="10">
        <f t="shared" si="9"/>
        <v>5.4273156000000003E-2</v>
      </c>
      <c r="E145" s="10">
        <f t="shared" si="10"/>
        <v>2.4229087500000001E-3</v>
      </c>
      <c r="F145" s="10">
        <f>E145/Calculation!K$21*1000</f>
        <v>3.5296700226690558E-3</v>
      </c>
      <c r="G145" s="10">
        <f t="shared" si="11"/>
        <v>368.75463126881709</v>
      </c>
    </row>
    <row r="146" spans="1:7">
      <c r="A146" s="10">
        <v>70.5</v>
      </c>
      <c r="B146" s="77">
        <v>388.64</v>
      </c>
      <c r="C146" s="10">
        <f t="shared" si="8"/>
        <v>0.38863999999999999</v>
      </c>
      <c r="D146" s="10">
        <f t="shared" si="9"/>
        <v>2.7165936000000002E-2</v>
      </c>
      <c r="E146" s="10">
        <f t="shared" si="10"/>
        <v>1.2127650000000002E-3</v>
      </c>
      <c r="F146" s="10">
        <f>E146/Calculation!K$21*1000</f>
        <v>1.7667443171527767E-3</v>
      </c>
      <c r="G146" s="10">
        <f t="shared" si="11"/>
        <v>368.83407748391443</v>
      </c>
    </row>
    <row r="147" spans="1:7">
      <c r="A147" s="10">
        <v>71</v>
      </c>
      <c r="B147" s="77">
        <v>291.27</v>
      </c>
      <c r="C147" s="10">
        <f t="shared" si="8"/>
        <v>0.29126999999999997</v>
      </c>
      <c r="D147" s="10">
        <f t="shared" si="9"/>
        <v>2.0359773000000001E-2</v>
      </c>
      <c r="E147" s="10">
        <f t="shared" si="10"/>
        <v>9.0891843750000008E-4</v>
      </c>
      <c r="F147" s="10">
        <f>E147/Calculation!K$21*1000</f>
        <v>1.3241035849554581E-3</v>
      </c>
      <c r="G147" s="10">
        <f t="shared" si="11"/>
        <v>368.88044020244604</v>
      </c>
    </row>
    <row r="148" spans="1:7">
      <c r="A148" s="10">
        <v>71.5</v>
      </c>
      <c r="B148" s="77">
        <v>283.72000000000003</v>
      </c>
      <c r="C148" s="10">
        <f t="shared" si="8"/>
        <v>0.28372000000000003</v>
      </c>
      <c r="D148" s="10">
        <f t="shared" si="9"/>
        <v>1.9832028000000002E-2</v>
      </c>
      <c r="E148" s="10">
        <f t="shared" si="10"/>
        <v>8.8535839285714302E-4</v>
      </c>
      <c r="F148" s="10">
        <f>E148/Calculation!K$21*1000</f>
        <v>1.2897815398893212E-3</v>
      </c>
      <c r="G148" s="10">
        <f t="shared" si="11"/>
        <v>368.91964847931871</v>
      </c>
    </row>
    <row r="149" spans="1:7">
      <c r="A149" s="10">
        <v>72</v>
      </c>
      <c r="B149" s="77">
        <v>264.41000000000003</v>
      </c>
      <c r="C149" s="10">
        <f t="shared" si="8"/>
        <v>0.26441000000000003</v>
      </c>
      <c r="D149" s="10">
        <f t="shared" si="9"/>
        <v>1.8482259000000004E-2</v>
      </c>
      <c r="E149" s="10">
        <f t="shared" si="10"/>
        <v>8.2510084821428597E-4</v>
      </c>
      <c r="F149" s="10">
        <f>E149/Calculation!K$22*1000</f>
        <v>1.3048804382099865E-3</v>
      </c>
      <c r="G149" s="10">
        <f t="shared" si="11"/>
        <v>368.95856840899017</v>
      </c>
    </row>
    <row r="150" spans="1:7">
      <c r="A150" s="10">
        <v>72.5</v>
      </c>
      <c r="B150" s="77">
        <v>288.75</v>
      </c>
      <c r="C150" s="10">
        <f t="shared" si="8"/>
        <v>0.28875000000000001</v>
      </c>
      <c r="D150" s="10">
        <f t="shared" si="9"/>
        <v>2.0183625E-2</v>
      </c>
      <c r="E150" s="10">
        <f t="shared" si="10"/>
        <v>9.0105468750000005E-4</v>
      </c>
      <c r="F150" s="10">
        <f>E150/Calculation!K$22*1000</f>
        <v>1.4249999112481886E-3</v>
      </c>
      <c r="G150" s="10">
        <f t="shared" si="11"/>
        <v>368.99951661423205</v>
      </c>
    </row>
    <row r="151" spans="1:7">
      <c r="A151" s="10">
        <v>73</v>
      </c>
      <c r="B151" s="77">
        <v>312.26</v>
      </c>
      <c r="C151" s="10">
        <f t="shared" si="8"/>
        <v>0.31225999999999998</v>
      </c>
      <c r="D151" s="10">
        <f t="shared" si="9"/>
        <v>2.1826973999999999E-2</v>
      </c>
      <c r="E151" s="10">
        <f t="shared" si="10"/>
        <v>9.7441848214285711E-4</v>
      </c>
      <c r="F151" s="10">
        <f>E151/Calculation!K$22*1000</f>
        <v>1.5410232806454002E-3</v>
      </c>
      <c r="G151" s="10">
        <f t="shared" si="11"/>
        <v>369.04400696211047</v>
      </c>
    </row>
    <row r="152" spans="1:7">
      <c r="A152" s="10">
        <v>73.5</v>
      </c>
      <c r="B152" s="77">
        <v>324.01</v>
      </c>
      <c r="C152" s="10">
        <f t="shared" si="8"/>
        <v>0.32400999999999996</v>
      </c>
      <c r="D152" s="10">
        <f t="shared" si="9"/>
        <v>2.2648299E-2</v>
      </c>
      <c r="E152" s="10">
        <f t="shared" si="10"/>
        <v>1.0110847767857143E-3</v>
      </c>
      <c r="F152" s="10">
        <f>E152/Calculation!K$22*1000</f>
        <v>1.5990102900208677E-3</v>
      </c>
      <c r="G152" s="10">
        <f t="shared" si="11"/>
        <v>369.09110746567046</v>
      </c>
    </row>
    <row r="153" spans="1:7">
      <c r="A153" s="10">
        <v>74</v>
      </c>
      <c r="B153" s="77">
        <v>338.28</v>
      </c>
      <c r="C153" s="10">
        <f t="shared" si="8"/>
        <v>0.33827999999999997</v>
      </c>
      <c r="D153" s="10">
        <f t="shared" si="9"/>
        <v>2.3645772000000002E-2</v>
      </c>
      <c r="E153" s="10">
        <f t="shared" si="10"/>
        <v>1.0556148214285715E-3</v>
      </c>
      <c r="F153" s="10">
        <f>E153/Calculation!K$22*1000</f>
        <v>1.6694336622581376E-3</v>
      </c>
      <c r="G153" s="10">
        <f t="shared" si="11"/>
        <v>369.14013412495467</v>
      </c>
    </row>
    <row r="154" spans="1:7">
      <c r="A154" s="10">
        <v>74.5</v>
      </c>
      <c r="B154" s="77">
        <v>517.04999999999995</v>
      </c>
      <c r="C154" s="10">
        <f t="shared" si="8"/>
        <v>0.51705000000000001</v>
      </c>
      <c r="D154" s="10">
        <f t="shared" si="9"/>
        <v>3.6141795000000004E-2</v>
      </c>
      <c r="E154" s="10">
        <f t="shared" si="10"/>
        <v>1.6134729910714288E-3</v>
      </c>
      <c r="F154" s="10">
        <f>E154/Calculation!K$22*1000</f>
        <v>2.5516751657519514E-3</v>
      </c>
      <c r="G154" s="10">
        <f t="shared" si="11"/>
        <v>369.20345075737481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3"/>
  <sheetViews>
    <sheetView topLeftCell="A132" zoomScale="98" zoomScaleNormal="98" zoomScalePageLayoutView="98" workbookViewId="0">
      <selection activeCell="F154" sqref="F154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6" t="s">
        <v>49</v>
      </c>
      <c r="B1" s="10">
        <v>69.900000000000006</v>
      </c>
      <c r="C1" s="7" t="s">
        <v>50</v>
      </c>
    </row>
    <row r="3" spans="1:12">
      <c r="A3" s="94" t="s">
        <v>5</v>
      </c>
      <c r="B3" s="94" t="s">
        <v>36</v>
      </c>
      <c r="C3" s="94"/>
      <c r="D3" s="94" t="s">
        <v>51</v>
      </c>
      <c r="E3" s="94"/>
      <c r="F3" s="94"/>
      <c r="G3" s="6" t="s">
        <v>52</v>
      </c>
    </row>
    <row r="4" spans="1:12">
      <c r="A4" s="94"/>
      <c r="B4" s="6" t="s">
        <v>53</v>
      </c>
      <c r="C4" s="6" t="s">
        <v>54</v>
      </c>
      <c r="D4" s="6" t="s">
        <v>55</v>
      </c>
      <c r="E4" s="6" t="s">
        <v>56</v>
      </c>
      <c r="F4" s="6" t="s">
        <v>57</v>
      </c>
      <c r="G4" s="6" t="s">
        <v>58</v>
      </c>
    </row>
    <row r="5" spans="1:12">
      <c r="A5" s="31">
        <v>0</v>
      </c>
      <c r="B5" s="10">
        <v>730.67</v>
      </c>
      <c r="C5" s="32">
        <f t="shared" ref="C5:C36" si="0">B5/1000</f>
        <v>0.73066999999999993</v>
      </c>
      <c r="D5" s="10">
        <f>C5/1000*$B$1</f>
        <v>5.1073832999999999E-2</v>
      </c>
      <c r="E5" s="10">
        <f>D5/22.4</f>
        <v>2.2800818303571431E-3</v>
      </c>
      <c r="F5" s="10">
        <f>E5/Calculation!K$4*1000</f>
        <v>1.5488982550999964E-3</v>
      </c>
      <c r="G5" s="10">
        <f>(0+F5)/2*30</f>
        <v>2.3233473826499946E-2</v>
      </c>
    </row>
    <row r="6" spans="1:12">
      <c r="A6" s="31">
        <v>0.5</v>
      </c>
      <c r="B6" s="10">
        <v>1271.19</v>
      </c>
      <c r="C6" s="32">
        <f t="shared" si="0"/>
        <v>1.27119</v>
      </c>
      <c r="D6" s="10">
        <f t="shared" ref="D6:D69" si="1">C6/1000*$B$1</f>
        <v>8.8856181000000006E-2</v>
      </c>
      <c r="E6" s="10">
        <f t="shared" ref="E6:E69" si="2">D6/22.4</f>
        <v>3.9667937946428573E-3</v>
      </c>
      <c r="F6" s="10">
        <f>E6/Calculation!K$4*1000</f>
        <v>2.6947102972621905E-3</v>
      </c>
      <c r="G6" s="10">
        <f>G5+(F6+F5)/2*30</f>
        <v>8.6887602111932735E-2</v>
      </c>
    </row>
    <row r="7" spans="1:12">
      <c r="A7" s="31">
        <v>1</v>
      </c>
      <c r="B7" s="10">
        <v>1312.83</v>
      </c>
      <c r="C7" s="32">
        <f t="shared" si="0"/>
        <v>1.3128299999999999</v>
      </c>
      <c r="D7" s="10">
        <f t="shared" si="1"/>
        <v>9.1766817000000001E-2</v>
      </c>
      <c r="E7" s="10">
        <f t="shared" si="2"/>
        <v>4.0967329017857143E-3</v>
      </c>
      <c r="F7" s="10">
        <f>E7/Calculation!K$4*1000</f>
        <v>2.7829801363719988E-3</v>
      </c>
      <c r="G7" s="10">
        <f>G6+(F7+F6)/2*30</f>
        <v>0.16905295861644559</v>
      </c>
    </row>
    <row r="8" spans="1:12">
      <c r="A8" s="31">
        <v>1.5</v>
      </c>
      <c r="B8" s="10">
        <v>1290.26</v>
      </c>
      <c r="C8" s="32">
        <f t="shared" si="0"/>
        <v>1.29026</v>
      </c>
      <c r="D8" s="10">
        <f t="shared" si="1"/>
        <v>9.0189173999999997E-2</v>
      </c>
      <c r="E8" s="10">
        <f t="shared" si="2"/>
        <v>4.0263024107142862E-3</v>
      </c>
      <c r="F8" s="10">
        <f>E8/Calculation!K$4*1000</f>
        <v>2.7351355093617113E-3</v>
      </c>
      <c r="G8" s="10">
        <f t="shared" ref="G8:G70" si="3">G7+(F8+F7)/2*30</f>
        <v>0.25182469330245127</v>
      </c>
      <c r="K8" s="2">
        <f>0.001977/44.01</f>
        <v>4.492160872528971E-5</v>
      </c>
      <c r="L8" s="2">
        <f>1/K8</f>
        <v>22261.001517450681</v>
      </c>
    </row>
    <row r="9" spans="1:12">
      <c r="A9" s="31">
        <v>2</v>
      </c>
      <c r="B9" s="10">
        <v>1326.71</v>
      </c>
      <c r="C9" s="32">
        <f t="shared" si="0"/>
        <v>1.3267100000000001</v>
      </c>
      <c r="D9" s="10">
        <f t="shared" si="1"/>
        <v>9.2737029000000012E-2</v>
      </c>
      <c r="E9" s="10">
        <f t="shared" si="2"/>
        <v>4.1400459375000006E-3</v>
      </c>
      <c r="F9" s="10">
        <f>E9/Calculation!K$5*1000</f>
        <v>2.9132702052594027E-3</v>
      </c>
      <c r="G9" s="10">
        <f t="shared" si="3"/>
        <v>0.336550779021768</v>
      </c>
    </row>
    <row r="10" spans="1:12">
      <c r="A10" s="31">
        <v>2.5</v>
      </c>
      <c r="B10" s="10">
        <v>1293.93</v>
      </c>
      <c r="C10" s="32">
        <f t="shared" si="0"/>
        <v>1.29393</v>
      </c>
      <c r="D10" s="10">
        <f t="shared" si="1"/>
        <v>9.0445707E-2</v>
      </c>
      <c r="E10" s="10">
        <f t="shared" si="2"/>
        <v>4.0377547767857149E-3</v>
      </c>
      <c r="F10" s="10">
        <f>E10/Calculation!K$5*1000</f>
        <v>2.8412898950722458E-3</v>
      </c>
      <c r="G10" s="10">
        <f t="shared" si="3"/>
        <v>0.42286918052674272</v>
      </c>
    </row>
    <row r="11" spans="1:12">
      <c r="A11" s="31">
        <v>3</v>
      </c>
      <c r="B11" s="10">
        <v>1343.6</v>
      </c>
      <c r="C11" s="32">
        <f t="shared" si="0"/>
        <v>1.3435999999999999</v>
      </c>
      <c r="D11" s="10">
        <f t="shared" si="1"/>
        <v>9.3917639999999997E-2</v>
      </c>
      <c r="E11" s="10">
        <f t="shared" si="2"/>
        <v>4.1927517857142859E-3</v>
      </c>
      <c r="F11" s="10">
        <f>E11/Calculation!K$5*1000</f>
        <v>2.9503582906486971E-3</v>
      </c>
      <c r="G11" s="10">
        <f t="shared" si="3"/>
        <v>0.50974390331255681</v>
      </c>
    </row>
    <row r="12" spans="1:12">
      <c r="A12" s="31">
        <v>3.5</v>
      </c>
      <c r="B12" s="10">
        <v>1348.62</v>
      </c>
      <c r="C12" s="32">
        <f t="shared" si="0"/>
        <v>1.3486199999999999</v>
      </c>
      <c r="D12" s="10">
        <f t="shared" si="1"/>
        <v>9.4268538000000013E-2</v>
      </c>
      <c r="E12" s="10">
        <f t="shared" si="2"/>
        <v>4.2084168750000008E-3</v>
      </c>
      <c r="F12" s="10">
        <f>E12/Calculation!K$6*1000</f>
        <v>3.058158684373822E-3</v>
      </c>
      <c r="G12" s="10">
        <f t="shared" si="3"/>
        <v>0.59987165793789465</v>
      </c>
    </row>
    <row r="13" spans="1:12">
      <c r="A13" s="31">
        <v>4</v>
      </c>
      <c r="B13" s="10">
        <v>1353.64</v>
      </c>
      <c r="C13" s="32">
        <f t="shared" si="0"/>
        <v>1.3536400000000002</v>
      </c>
      <c r="D13" s="10">
        <f t="shared" si="1"/>
        <v>9.4619436000000015E-2</v>
      </c>
      <c r="E13" s="10">
        <f t="shared" si="2"/>
        <v>4.2240819642857148E-3</v>
      </c>
      <c r="F13" s="10">
        <f>E13/Calculation!K$6*1000</f>
        <v>3.0695421404960477E-3</v>
      </c>
      <c r="G13" s="10">
        <f t="shared" si="3"/>
        <v>0.69178717031094272</v>
      </c>
    </row>
    <row r="14" spans="1:12">
      <c r="A14" s="31">
        <v>4.5</v>
      </c>
      <c r="B14" s="10">
        <v>1424.72</v>
      </c>
      <c r="C14" s="32">
        <f t="shared" si="0"/>
        <v>1.42472</v>
      </c>
      <c r="D14" s="10">
        <f t="shared" si="1"/>
        <v>9.9587928000000006E-2</v>
      </c>
      <c r="E14" s="10">
        <f t="shared" si="2"/>
        <v>4.4458896428571431E-3</v>
      </c>
      <c r="F14" s="10">
        <f>E14/Calculation!K$6*1000</f>
        <v>3.2307246228003971E-3</v>
      </c>
      <c r="G14" s="10">
        <f t="shared" si="3"/>
        <v>0.78629117176038943</v>
      </c>
    </row>
    <row r="15" spans="1:12">
      <c r="A15" s="31">
        <v>5</v>
      </c>
      <c r="B15" s="10">
        <v>1465.69</v>
      </c>
      <c r="C15" s="32">
        <f t="shared" si="0"/>
        <v>1.4656900000000002</v>
      </c>
      <c r="D15" s="10">
        <f t="shared" si="1"/>
        <v>0.10245173100000002</v>
      </c>
      <c r="E15" s="10">
        <f t="shared" si="2"/>
        <v>4.5737379910714294E-3</v>
      </c>
      <c r="F15" s="10">
        <f>E15/Calculation!K$7*1000</f>
        <v>3.4410805972819652E-3</v>
      </c>
      <c r="G15" s="10">
        <f t="shared" si="3"/>
        <v>0.8863682500616249</v>
      </c>
    </row>
    <row r="16" spans="1:12">
      <c r="A16" s="31">
        <v>5.5</v>
      </c>
      <c r="B16" s="10">
        <v>1496.96</v>
      </c>
      <c r="C16" s="32">
        <f t="shared" si="0"/>
        <v>1.4969600000000001</v>
      </c>
      <c r="D16" s="10">
        <f t="shared" si="1"/>
        <v>0.10463750400000002</v>
      </c>
      <c r="E16" s="10">
        <f t="shared" si="2"/>
        <v>4.671317142857144E-3</v>
      </c>
      <c r="F16" s="10">
        <f>E16/Calculation!K$7*1000</f>
        <v>3.5144948869864777E-3</v>
      </c>
      <c r="G16" s="10">
        <f t="shared" si="3"/>
        <v>0.99070188232565148</v>
      </c>
    </row>
    <row r="17" spans="1:7">
      <c r="A17" s="31">
        <v>6</v>
      </c>
      <c r="B17" s="10">
        <v>1556.67</v>
      </c>
      <c r="C17" s="32">
        <f t="shared" si="0"/>
        <v>1.55667</v>
      </c>
      <c r="D17" s="10">
        <f t="shared" si="1"/>
        <v>0.10881123300000001</v>
      </c>
      <c r="E17" s="10">
        <f t="shared" si="2"/>
        <v>4.8576443303571431E-3</v>
      </c>
      <c r="F17" s="10">
        <f>E17/Calculation!K$8*1000</f>
        <v>3.7767859334594716E-3</v>
      </c>
      <c r="G17" s="10">
        <f t="shared" si="3"/>
        <v>1.1000710946323407</v>
      </c>
    </row>
    <row r="18" spans="1:7">
      <c r="A18" s="31">
        <v>6.5</v>
      </c>
      <c r="B18" s="10">
        <v>1619.89</v>
      </c>
      <c r="C18" s="32">
        <f t="shared" si="0"/>
        <v>1.6198900000000001</v>
      </c>
      <c r="D18" s="10">
        <f t="shared" si="1"/>
        <v>0.11323031100000001</v>
      </c>
      <c r="E18" s="10">
        <f t="shared" si="2"/>
        <v>5.0549245982142868E-3</v>
      </c>
      <c r="F18" s="10">
        <f>E18/Calculation!K$8*1000</f>
        <v>3.9301700204614105E-3</v>
      </c>
      <c r="G18" s="10">
        <f t="shared" si="3"/>
        <v>1.215675433941154</v>
      </c>
    </row>
    <row r="19" spans="1:7">
      <c r="A19" s="31">
        <v>7</v>
      </c>
      <c r="B19" s="10">
        <v>1644.64</v>
      </c>
      <c r="C19" s="32">
        <f t="shared" si="0"/>
        <v>1.6446400000000001</v>
      </c>
      <c r="D19" s="10">
        <f t="shared" si="1"/>
        <v>0.11496033600000002</v>
      </c>
      <c r="E19" s="10">
        <f t="shared" si="2"/>
        <v>5.1321578571428585E-3</v>
      </c>
      <c r="F19" s="10">
        <f>E19/Calculation!K$8*1000</f>
        <v>3.9902183620194303E-3</v>
      </c>
      <c r="G19" s="10">
        <f t="shared" si="3"/>
        <v>1.3344812596783666</v>
      </c>
    </row>
    <row r="20" spans="1:7">
      <c r="A20" s="31">
        <v>7.5</v>
      </c>
      <c r="B20" s="10">
        <v>1734.11</v>
      </c>
      <c r="C20" s="32">
        <f t="shared" si="0"/>
        <v>1.7341099999999998</v>
      </c>
      <c r="D20" s="10">
        <f t="shared" si="1"/>
        <v>0.121214289</v>
      </c>
      <c r="E20" s="10">
        <f t="shared" si="2"/>
        <v>5.4113521875000003E-3</v>
      </c>
      <c r="F20" s="10">
        <f>E20/Calculation!K$9*1000</f>
        <v>4.3597281305291441E-3</v>
      </c>
      <c r="G20" s="10">
        <f t="shared" si="3"/>
        <v>1.4597304570665952</v>
      </c>
    </row>
    <row r="21" spans="1:7">
      <c r="A21" s="31">
        <v>8</v>
      </c>
      <c r="B21" s="10">
        <v>1826.09</v>
      </c>
      <c r="C21" s="32">
        <f t="shared" si="0"/>
        <v>1.82609</v>
      </c>
      <c r="D21" s="10">
        <f t="shared" si="1"/>
        <v>0.127643691</v>
      </c>
      <c r="E21" s="10">
        <f t="shared" si="2"/>
        <v>5.6983790625000008E-3</v>
      </c>
      <c r="F21" s="10">
        <f>E21/Calculation!K$9*1000</f>
        <v>4.5909751641348964E-3</v>
      </c>
      <c r="G21" s="10">
        <f t="shared" si="3"/>
        <v>1.5939910064865559</v>
      </c>
    </row>
    <row r="22" spans="1:7">
      <c r="A22" s="31">
        <v>8.5</v>
      </c>
      <c r="B22" s="10">
        <v>1880.44</v>
      </c>
      <c r="C22" s="32">
        <f t="shared" si="0"/>
        <v>1.8804400000000001</v>
      </c>
      <c r="D22" s="10">
        <f t="shared" si="1"/>
        <v>0.13144275600000002</v>
      </c>
      <c r="E22" s="10">
        <f t="shared" si="2"/>
        <v>5.8679801785714303E-3</v>
      </c>
      <c r="F22" s="10">
        <f>E22/Calculation!K$9*1000</f>
        <v>4.7276165674451009E-3</v>
      </c>
      <c r="G22" s="10">
        <f t="shared" si="3"/>
        <v>1.7337698824602559</v>
      </c>
    </row>
    <row r="23" spans="1:7">
      <c r="A23" s="31">
        <v>9</v>
      </c>
      <c r="B23" s="10">
        <v>2028.45</v>
      </c>
      <c r="C23" s="32">
        <f t="shared" si="0"/>
        <v>2.0284499999999999</v>
      </c>
      <c r="D23" s="10">
        <f t="shared" si="1"/>
        <v>0.14178865499999999</v>
      </c>
      <c r="E23" s="10">
        <f t="shared" si="2"/>
        <v>6.3298506696428565E-3</v>
      </c>
      <c r="F23" s="10">
        <f>E23/Calculation!K$10*1000</f>
        <v>5.3450321000294869E-3</v>
      </c>
      <c r="G23" s="10">
        <f t="shared" si="3"/>
        <v>1.8848596124723747</v>
      </c>
    </row>
    <row r="24" spans="1:7">
      <c r="A24" s="31">
        <v>9.5</v>
      </c>
      <c r="B24" s="10">
        <v>2130.9699999999998</v>
      </c>
      <c r="C24" s="32">
        <f t="shared" si="0"/>
        <v>2.1309699999999996</v>
      </c>
      <c r="D24" s="10">
        <f t="shared" si="1"/>
        <v>0.14895480299999997</v>
      </c>
      <c r="E24" s="10">
        <f t="shared" si="2"/>
        <v>6.6497679910714272E-3</v>
      </c>
      <c r="F24" s="10">
        <f>E24/Calculation!K$10*1000</f>
        <v>5.6151756534298762E-3</v>
      </c>
      <c r="G24" s="10">
        <f t="shared" si="3"/>
        <v>2.0492627287742651</v>
      </c>
    </row>
    <row r="25" spans="1:7">
      <c r="A25" s="31">
        <v>10</v>
      </c>
      <c r="B25" s="10">
        <v>2215.7600000000002</v>
      </c>
      <c r="C25" s="32">
        <f t="shared" si="0"/>
        <v>2.2157600000000004</v>
      </c>
      <c r="D25" s="10">
        <f t="shared" si="1"/>
        <v>0.15488162400000002</v>
      </c>
      <c r="E25" s="10">
        <f t="shared" si="2"/>
        <v>6.9143582142857157E-3</v>
      </c>
      <c r="F25" s="10">
        <f>E25/Calculation!K$10*1000</f>
        <v>5.8386000768869519E-3</v>
      </c>
      <c r="G25" s="10">
        <f t="shared" si="3"/>
        <v>2.2210693647290176</v>
      </c>
    </row>
    <row r="26" spans="1:7">
      <c r="A26" s="31">
        <v>10.5</v>
      </c>
      <c r="B26" s="10">
        <v>2324.3000000000002</v>
      </c>
      <c r="C26" s="32">
        <f t="shared" si="0"/>
        <v>2.3243</v>
      </c>
      <c r="D26" s="10">
        <f t="shared" si="1"/>
        <v>0.16246857000000001</v>
      </c>
      <c r="E26" s="10">
        <f t="shared" si="2"/>
        <v>7.2530611607142864E-3</v>
      </c>
      <c r="F26" s="10">
        <f>E26/Calculation!K$11*1000</f>
        <v>6.4000517942961396E-3</v>
      </c>
      <c r="G26" s="10">
        <f t="shared" si="3"/>
        <v>2.4046491427967638</v>
      </c>
    </row>
    <row r="27" spans="1:7">
      <c r="A27" s="31">
        <v>11</v>
      </c>
      <c r="B27" s="10">
        <v>2453.91</v>
      </c>
      <c r="C27" s="32">
        <f t="shared" si="0"/>
        <v>2.45391</v>
      </c>
      <c r="D27" s="10">
        <f t="shared" si="1"/>
        <v>0.17152830900000002</v>
      </c>
      <c r="E27" s="10">
        <f t="shared" si="2"/>
        <v>7.6575137946428588E-3</v>
      </c>
      <c r="F27" s="10">
        <f>E27/Calculation!K$11*1000</f>
        <v>6.7569380452356595E-3</v>
      </c>
      <c r="G27" s="10">
        <f t="shared" si="3"/>
        <v>2.6020039903897407</v>
      </c>
    </row>
    <row r="28" spans="1:7">
      <c r="A28" s="31">
        <v>11.5</v>
      </c>
      <c r="B28" s="10">
        <v>2622.82</v>
      </c>
      <c r="C28" s="32">
        <f t="shared" si="0"/>
        <v>2.6228200000000004</v>
      </c>
      <c r="D28" s="10">
        <f t="shared" si="1"/>
        <v>0.18333511800000005</v>
      </c>
      <c r="E28" s="10">
        <f t="shared" si="2"/>
        <v>8.184603482142859E-3</v>
      </c>
      <c r="F28" s="10">
        <f>E28/Calculation!K$12*1000</f>
        <v>7.5133030073950835E-3</v>
      </c>
      <c r="G28" s="10">
        <f t="shared" si="3"/>
        <v>2.8160576061792018</v>
      </c>
    </row>
    <row r="29" spans="1:7">
      <c r="A29" s="31">
        <v>12</v>
      </c>
      <c r="B29" s="10">
        <v>2819.66</v>
      </c>
      <c r="C29" s="32">
        <f t="shared" si="0"/>
        <v>2.8196599999999998</v>
      </c>
      <c r="D29" s="10">
        <f t="shared" si="1"/>
        <v>0.19709423400000001</v>
      </c>
      <c r="E29" s="10">
        <f t="shared" si="2"/>
        <v>8.7988497321428577E-3</v>
      </c>
      <c r="F29" s="10">
        <f>E29/Calculation!K$12*1000</f>
        <v>8.0771688327188357E-3</v>
      </c>
      <c r="G29" s="10">
        <f t="shared" si="3"/>
        <v>3.0499146837809104</v>
      </c>
    </row>
    <row r="30" spans="1:7">
      <c r="A30" s="31">
        <v>12.5</v>
      </c>
      <c r="B30" s="10">
        <v>2949.11</v>
      </c>
      <c r="C30" s="32">
        <f t="shared" si="0"/>
        <v>2.9491100000000001</v>
      </c>
      <c r="D30" s="10">
        <f t="shared" si="1"/>
        <v>0.20614278900000002</v>
      </c>
      <c r="E30" s="10">
        <f t="shared" si="2"/>
        <v>9.2028030803571435E-3</v>
      </c>
      <c r="F30" s="10">
        <f>E30/Calculation!K$12*1000</f>
        <v>8.4479899620023141E-3</v>
      </c>
      <c r="G30" s="10">
        <f t="shared" si="3"/>
        <v>3.2977920657017274</v>
      </c>
    </row>
    <row r="31" spans="1:7">
      <c r="A31" s="31">
        <v>13</v>
      </c>
      <c r="B31" s="10">
        <v>3106.65</v>
      </c>
      <c r="C31" s="32">
        <f t="shared" si="0"/>
        <v>3.1066500000000001</v>
      </c>
      <c r="D31" s="10">
        <f t="shared" si="1"/>
        <v>0.21715483500000005</v>
      </c>
      <c r="E31" s="10">
        <f t="shared" si="2"/>
        <v>9.6944122767857171E-3</v>
      </c>
      <c r="F31" s="10">
        <f>E31/Calculation!K$13*1000</f>
        <v>9.2644195220071869E-3</v>
      </c>
      <c r="G31" s="10">
        <f t="shared" si="3"/>
        <v>3.5634782079618699</v>
      </c>
    </row>
    <row r="32" spans="1:7">
      <c r="A32" s="31">
        <v>13.5</v>
      </c>
      <c r="B32" s="10">
        <v>3256.83</v>
      </c>
      <c r="C32" s="32">
        <f t="shared" si="0"/>
        <v>3.2568299999999999</v>
      </c>
      <c r="D32" s="10">
        <f t="shared" si="1"/>
        <v>0.22765241700000002</v>
      </c>
      <c r="E32" s="10">
        <f t="shared" si="2"/>
        <v>1.0163054330357144E-2</v>
      </c>
      <c r="F32" s="10">
        <f>E32/Calculation!K$13*1000</f>
        <v>9.7122750975676894E-3</v>
      </c>
      <c r="G32" s="10">
        <f t="shared" si="3"/>
        <v>3.8481286272554929</v>
      </c>
    </row>
    <row r="33" spans="1:7">
      <c r="A33" s="31">
        <v>14</v>
      </c>
      <c r="B33" s="10">
        <v>3471.73</v>
      </c>
      <c r="C33" s="32">
        <f t="shared" si="0"/>
        <v>3.47173</v>
      </c>
      <c r="D33" s="10">
        <f t="shared" si="1"/>
        <v>0.24267392700000004</v>
      </c>
      <c r="E33" s="10">
        <f t="shared" si="2"/>
        <v>1.0833657455357146E-2</v>
      </c>
      <c r="F33" s="10">
        <f>E33/Calculation!K$14*1000</f>
        <v>1.0763972465402762E-2</v>
      </c>
      <c r="G33" s="10">
        <f t="shared" si="3"/>
        <v>4.1552723407000496</v>
      </c>
    </row>
    <row r="34" spans="1:7">
      <c r="A34" s="31">
        <v>14.5</v>
      </c>
      <c r="B34" s="10">
        <v>3697.34</v>
      </c>
      <c r="C34" s="32">
        <f t="shared" si="0"/>
        <v>3.6973400000000001</v>
      </c>
      <c r="D34" s="10">
        <f t="shared" si="1"/>
        <v>0.25844406600000003</v>
      </c>
      <c r="E34" s="10">
        <f t="shared" si="2"/>
        <v>1.1537681517857145E-2</v>
      </c>
      <c r="F34" s="10">
        <f>E34/Calculation!K$14*1000</f>
        <v>1.1463468056338555E-2</v>
      </c>
      <c r="G34" s="10">
        <f t="shared" si="3"/>
        <v>4.4886839485261696</v>
      </c>
    </row>
    <row r="35" spans="1:7">
      <c r="A35" s="31">
        <v>15</v>
      </c>
      <c r="B35" s="10">
        <v>4063.59</v>
      </c>
      <c r="C35" s="32">
        <f t="shared" si="0"/>
        <v>4.0635900000000005</v>
      </c>
      <c r="D35" s="10">
        <f t="shared" si="1"/>
        <v>0.28404494100000005</v>
      </c>
      <c r="E35" s="10">
        <f t="shared" si="2"/>
        <v>1.2680577723214289E-2</v>
      </c>
      <c r="F35" s="10">
        <f>E35/Calculation!K$14*1000</f>
        <v>1.2599012846818736E-2</v>
      </c>
      <c r="G35" s="10">
        <f t="shared" si="3"/>
        <v>4.8496211620735288</v>
      </c>
    </row>
    <row r="36" spans="1:7">
      <c r="A36" s="31">
        <v>15.5</v>
      </c>
      <c r="B36" s="10">
        <v>4376.5</v>
      </c>
      <c r="C36" s="32">
        <f t="shared" si="0"/>
        <v>4.3765000000000001</v>
      </c>
      <c r="D36" s="10">
        <f t="shared" si="1"/>
        <v>0.30591735000000003</v>
      </c>
      <c r="E36" s="10">
        <f t="shared" si="2"/>
        <v>1.365702455357143E-2</v>
      </c>
      <c r="F36" s="10">
        <f>E36/Calculation!K$15*1000</f>
        <v>1.424693186212128E-2</v>
      </c>
      <c r="G36" s="10">
        <f t="shared" si="3"/>
        <v>5.252310332707629</v>
      </c>
    </row>
    <row r="37" spans="1:7">
      <c r="A37" s="31">
        <v>16</v>
      </c>
      <c r="B37" s="10">
        <v>4734.7299999999996</v>
      </c>
      <c r="C37" s="32">
        <f t="shared" ref="C37:C68" si="4">B37/1000</f>
        <v>4.7347299999999999</v>
      </c>
      <c r="D37" s="10">
        <f t="shared" si="1"/>
        <v>0.33095762699999998</v>
      </c>
      <c r="E37" s="10">
        <f t="shared" si="2"/>
        <v>1.47748940625E-2</v>
      </c>
      <c r="F37" s="10">
        <f>E37/Calculation!K$15*1000</f>
        <v>1.5413087100546436E-2</v>
      </c>
      <c r="G37" s="10">
        <f t="shared" si="3"/>
        <v>5.6972106171476451</v>
      </c>
    </row>
    <row r="38" spans="1:7">
      <c r="A38" s="31">
        <v>16.5</v>
      </c>
      <c r="B38" s="10">
        <v>5296.49</v>
      </c>
      <c r="C38" s="32">
        <f t="shared" si="4"/>
        <v>5.2964899999999995</v>
      </c>
      <c r="D38" s="10">
        <f t="shared" si="1"/>
        <v>0.37022465099999996</v>
      </c>
      <c r="E38" s="10">
        <f t="shared" si="2"/>
        <v>1.6527886205357143E-2</v>
      </c>
      <c r="F38" s="10">
        <f>E38/Calculation!K$15*1000</f>
        <v>1.7241798729214376E-2</v>
      </c>
      <c r="G38" s="10">
        <f t="shared" si="3"/>
        <v>6.187033904594057</v>
      </c>
    </row>
    <row r="39" spans="1:7">
      <c r="A39" s="31">
        <v>17</v>
      </c>
      <c r="B39" s="10">
        <v>5993.71</v>
      </c>
      <c r="C39" s="32">
        <f t="shared" si="4"/>
        <v>5.9937100000000001</v>
      </c>
      <c r="D39" s="10">
        <f t="shared" si="1"/>
        <v>0.41896032900000002</v>
      </c>
      <c r="E39" s="10">
        <f t="shared" si="2"/>
        <v>1.8703586116071431E-2</v>
      </c>
      <c r="F39" s="10">
        <f>E39/Calculation!K$16*1000</f>
        <v>2.0514802134843836E-2</v>
      </c>
      <c r="G39" s="10">
        <f t="shared" si="3"/>
        <v>6.75338291755493</v>
      </c>
    </row>
    <row r="40" spans="1:7">
      <c r="A40" s="31">
        <v>17.5</v>
      </c>
      <c r="B40" s="10">
        <v>6663.84</v>
      </c>
      <c r="C40" s="32">
        <f t="shared" si="4"/>
        <v>6.6638400000000004</v>
      </c>
      <c r="D40" s="10">
        <f t="shared" si="1"/>
        <v>0.46580241600000011</v>
      </c>
      <c r="E40" s="10">
        <f t="shared" si="2"/>
        <v>2.0794750714285722E-2</v>
      </c>
      <c r="F40" s="10">
        <f>E40/Calculation!K$16*1000</f>
        <v>2.2808470723184433E-2</v>
      </c>
      <c r="G40" s="10">
        <f t="shared" si="3"/>
        <v>7.4032320104253539</v>
      </c>
    </row>
    <row r="41" spans="1:7">
      <c r="A41" s="31">
        <v>18</v>
      </c>
      <c r="B41" s="10">
        <v>7564.42</v>
      </c>
      <c r="C41" s="32">
        <f t="shared" si="4"/>
        <v>7.5644200000000001</v>
      </c>
      <c r="D41" s="10">
        <f t="shared" si="1"/>
        <v>0.52875295800000011</v>
      </c>
      <c r="E41" s="10">
        <f t="shared" si="2"/>
        <v>2.3605042767857149E-2</v>
      </c>
      <c r="F41" s="10">
        <f>E41/Calculation!K$17*1000</f>
        <v>2.7294449460168672E-2</v>
      </c>
      <c r="G41" s="10">
        <f t="shared" si="3"/>
        <v>8.1547758131756503</v>
      </c>
    </row>
    <row r="42" spans="1:7">
      <c r="A42" s="31">
        <v>18.5</v>
      </c>
      <c r="B42" s="10">
        <v>7861.61</v>
      </c>
      <c r="C42" s="32">
        <f t="shared" si="4"/>
        <v>7.8616099999999998</v>
      </c>
      <c r="D42" s="10">
        <f t="shared" si="1"/>
        <v>0.54952653900000004</v>
      </c>
      <c r="E42" s="10">
        <f t="shared" si="2"/>
        <v>2.4532434776785718E-2</v>
      </c>
      <c r="F42" s="10">
        <f>E42/Calculation!K$17*1000</f>
        <v>2.8366790424190699E-2</v>
      </c>
      <c r="G42" s="10">
        <f t="shared" si="3"/>
        <v>8.9896944114410413</v>
      </c>
    </row>
    <row r="43" spans="1:7">
      <c r="A43" s="31">
        <v>19</v>
      </c>
      <c r="B43" s="10">
        <v>8882.7800000000007</v>
      </c>
      <c r="C43" s="32">
        <f t="shared" si="4"/>
        <v>8.8827800000000003</v>
      </c>
      <c r="D43" s="10">
        <f t="shared" si="1"/>
        <v>0.62090632200000007</v>
      </c>
      <c r="E43" s="10">
        <f t="shared" si="2"/>
        <v>2.7719032232142862E-2</v>
      </c>
      <c r="F43" s="10">
        <f>E43/Calculation!K$17*1000</f>
        <v>3.2051444760576094E-2</v>
      </c>
      <c r="G43" s="10">
        <f t="shared" si="3"/>
        <v>9.895967939212543</v>
      </c>
    </row>
    <row r="44" spans="1:7">
      <c r="A44" s="31">
        <v>19.5</v>
      </c>
      <c r="B44" s="10">
        <v>9477.98</v>
      </c>
      <c r="C44" s="32">
        <f t="shared" si="4"/>
        <v>9.4779799999999987</v>
      </c>
      <c r="D44" s="10">
        <f t="shared" si="1"/>
        <v>0.66251080200000001</v>
      </c>
      <c r="E44" s="10">
        <f t="shared" si="2"/>
        <v>2.9576375089285716E-2</v>
      </c>
      <c r="F44" s="10">
        <f>E44/Calculation!K$17*1000</f>
        <v>3.4199085467820321E-2</v>
      </c>
      <c r="G44" s="10">
        <f t="shared" si="3"/>
        <v>10.88972589263849</v>
      </c>
    </row>
    <row r="45" spans="1:7">
      <c r="A45" s="31">
        <v>20</v>
      </c>
      <c r="B45" s="10">
        <v>10433.26</v>
      </c>
      <c r="C45" s="32">
        <f t="shared" si="4"/>
        <v>10.433260000000001</v>
      </c>
      <c r="D45" s="10">
        <f t="shared" si="1"/>
        <v>0.72928487400000019</v>
      </c>
      <c r="E45" s="10">
        <f t="shared" si="2"/>
        <v>3.2557360446428582E-2</v>
      </c>
      <c r="F45" s="10">
        <f>E45/Calculation!K$17*1000</f>
        <v>3.7645991070670244E-2</v>
      </c>
      <c r="G45" s="10">
        <f t="shared" si="3"/>
        <v>11.967402040715848</v>
      </c>
    </row>
    <row r="46" spans="1:7">
      <c r="A46" s="31">
        <v>20.5</v>
      </c>
      <c r="B46" s="10">
        <v>11579.69</v>
      </c>
      <c r="C46" s="32">
        <f t="shared" si="4"/>
        <v>11.579690000000001</v>
      </c>
      <c r="D46" s="10">
        <f t="shared" si="1"/>
        <v>0.80942033100000021</v>
      </c>
      <c r="E46" s="10">
        <f t="shared" si="2"/>
        <v>3.6134836205357151E-2</v>
      </c>
      <c r="F46" s="10">
        <f>E46/Calculation!K$17*1000</f>
        <v>4.1782616971217955E-2</v>
      </c>
      <c r="G46" s="10">
        <f t="shared" si="3"/>
        <v>13.158831161344171</v>
      </c>
    </row>
    <row r="47" spans="1:7">
      <c r="A47" s="31">
        <v>21</v>
      </c>
      <c r="B47" s="10">
        <v>12912.92</v>
      </c>
      <c r="C47" s="32">
        <f t="shared" si="4"/>
        <v>12.91292</v>
      </c>
      <c r="D47" s="10">
        <f t="shared" si="1"/>
        <v>0.90261310800000005</v>
      </c>
      <c r="E47" s="10">
        <f t="shared" si="2"/>
        <v>4.0295228035714288E-2</v>
      </c>
      <c r="F47" s="10">
        <f>E47/Calculation!K$17*1000</f>
        <v>4.6593267206633308E-2</v>
      </c>
      <c r="G47" s="10">
        <f t="shared" si="3"/>
        <v>14.484469424011941</v>
      </c>
    </row>
    <row r="48" spans="1:7">
      <c r="A48" s="31">
        <v>21.5</v>
      </c>
      <c r="B48" s="10">
        <v>14519.26</v>
      </c>
      <c r="C48" s="32">
        <f t="shared" si="4"/>
        <v>14.519260000000001</v>
      </c>
      <c r="D48" s="10">
        <f t="shared" si="1"/>
        <v>1.014896274</v>
      </c>
      <c r="E48" s="10">
        <f t="shared" si="2"/>
        <v>4.5307869375000004E-2</v>
      </c>
      <c r="F48" s="10">
        <f>E48/Calculation!K$17*1000</f>
        <v>5.2389371329070636E-2</v>
      </c>
      <c r="G48" s="10">
        <f t="shared" si="3"/>
        <v>15.969209002047499</v>
      </c>
    </row>
    <row r="49" spans="1:7">
      <c r="A49" s="31">
        <v>22</v>
      </c>
      <c r="B49" s="10">
        <v>15872.06</v>
      </c>
      <c r="C49" s="32">
        <f t="shared" si="4"/>
        <v>15.872059999999999</v>
      </c>
      <c r="D49" s="10">
        <f t="shared" si="1"/>
        <v>1.1094569940000001</v>
      </c>
      <c r="E49" s="10">
        <f t="shared" si="2"/>
        <v>4.9529330089285721E-2</v>
      </c>
      <c r="F49" s="10">
        <f>E49/Calculation!K$17*1000</f>
        <v>5.7270635355885141E-2</v>
      </c>
      <c r="G49" s="10">
        <f t="shared" si="3"/>
        <v>17.614109102321837</v>
      </c>
    </row>
    <row r="50" spans="1:7">
      <c r="A50" s="31">
        <v>22.5</v>
      </c>
      <c r="B50" s="10">
        <v>17170.509999999998</v>
      </c>
      <c r="C50" s="32">
        <f t="shared" si="4"/>
        <v>17.17051</v>
      </c>
      <c r="D50" s="10">
        <f t="shared" si="1"/>
        <v>1.2002186490000002</v>
      </c>
      <c r="E50" s="10">
        <f t="shared" si="2"/>
        <v>5.358118968750001E-2</v>
      </c>
      <c r="F50" s="10">
        <f>E50/Calculation!K$17*1000</f>
        <v>6.1955790054005561E-2</v>
      </c>
      <c r="G50" s="10">
        <f t="shared" si="3"/>
        <v>19.402505483470197</v>
      </c>
    </row>
    <row r="51" spans="1:7">
      <c r="A51" s="31">
        <v>23</v>
      </c>
      <c r="B51" s="10">
        <v>18372.47</v>
      </c>
      <c r="C51" s="32">
        <f t="shared" si="4"/>
        <v>18.37247</v>
      </c>
      <c r="D51" s="10">
        <f t="shared" si="1"/>
        <v>1.2842356530000001</v>
      </c>
      <c r="E51" s="10">
        <f t="shared" si="2"/>
        <v>5.7331948794642866E-2</v>
      </c>
      <c r="F51" s="10">
        <f>E51/Calculation!K$17*1000</f>
        <v>6.629278303868176E-2</v>
      </c>
      <c r="G51" s="10">
        <f t="shared" si="3"/>
        <v>21.326234079860505</v>
      </c>
    </row>
    <row r="52" spans="1:7">
      <c r="A52" s="31">
        <v>23.5</v>
      </c>
      <c r="B52" s="10">
        <v>19410.36</v>
      </c>
      <c r="C52" s="32">
        <f t="shared" si="4"/>
        <v>19.410360000000001</v>
      </c>
      <c r="D52" s="10">
        <f t="shared" si="1"/>
        <v>1.3567841640000002</v>
      </c>
      <c r="E52" s="10">
        <f t="shared" si="2"/>
        <v>6.0570721607142872E-2</v>
      </c>
      <c r="F52" s="10">
        <f>E52/Calculation!K$17*1000</f>
        <v>7.0037767604612056E-2</v>
      </c>
      <c r="G52" s="10">
        <f t="shared" si="3"/>
        <v>23.371192339509911</v>
      </c>
    </row>
    <row r="53" spans="1:7">
      <c r="A53" s="31">
        <v>24</v>
      </c>
      <c r="B53" s="10">
        <v>20582.37</v>
      </c>
      <c r="C53" s="32">
        <f t="shared" si="4"/>
        <v>20.582369999999997</v>
      </c>
      <c r="D53" s="10">
        <f t="shared" si="1"/>
        <v>1.4387076629999997</v>
      </c>
      <c r="E53" s="10">
        <f t="shared" si="2"/>
        <v>6.4228020669642852E-2</v>
      </c>
      <c r="F53" s="10">
        <f>E53/Calculation!K$18*1000</f>
        <v>7.8970551734808159E-2</v>
      </c>
      <c r="G53" s="10">
        <f t="shared" si="3"/>
        <v>25.606317129601216</v>
      </c>
    </row>
    <row r="54" spans="1:7">
      <c r="A54" s="31">
        <v>24.5</v>
      </c>
      <c r="B54" s="10">
        <v>21213.03</v>
      </c>
      <c r="C54" s="32">
        <f t="shared" si="4"/>
        <v>21.21303</v>
      </c>
      <c r="D54" s="10">
        <f t="shared" si="1"/>
        <v>1.4827907970000003</v>
      </c>
      <c r="E54" s="10">
        <f t="shared" si="2"/>
        <v>6.6196017723214304E-2</v>
      </c>
      <c r="F54" s="10">
        <f>E54/Calculation!K$18*1000</f>
        <v>8.1390271531754529E-2</v>
      </c>
      <c r="G54" s="10">
        <f t="shared" si="3"/>
        <v>28.011729478599655</v>
      </c>
    </row>
    <row r="55" spans="1:7">
      <c r="A55" s="31">
        <v>25</v>
      </c>
      <c r="B55" s="10">
        <v>21601.37</v>
      </c>
      <c r="C55" s="32">
        <f t="shared" si="4"/>
        <v>21.601369999999999</v>
      </c>
      <c r="D55" s="10">
        <f t="shared" si="1"/>
        <v>1.5099357630000001</v>
      </c>
      <c r="E55" s="10">
        <f t="shared" si="2"/>
        <v>6.7407846562500012E-2</v>
      </c>
      <c r="F55" s="10">
        <f>E55/Calculation!K$18*1000</f>
        <v>8.2880256604450003E-2</v>
      </c>
      <c r="G55" s="10">
        <f t="shared" si="3"/>
        <v>30.475787400642723</v>
      </c>
    </row>
    <row r="56" spans="1:7">
      <c r="A56" s="31">
        <v>25.5</v>
      </c>
      <c r="B56" s="10">
        <v>21733.82</v>
      </c>
      <c r="C56" s="32">
        <f t="shared" si="4"/>
        <v>21.733820000000001</v>
      </c>
      <c r="D56" s="10">
        <f t="shared" si="1"/>
        <v>1.5191940180000001</v>
      </c>
      <c r="E56" s="10">
        <f t="shared" si="2"/>
        <v>6.7821161517857151E-2</v>
      </c>
      <c r="F56" s="10">
        <f>E56/Calculation!K$18*1000</f>
        <v>8.3388441501392144E-2</v>
      </c>
      <c r="G56" s="10">
        <f t="shared" si="3"/>
        <v>32.969817872230358</v>
      </c>
    </row>
    <row r="57" spans="1:7">
      <c r="A57" s="31">
        <v>26</v>
      </c>
      <c r="B57" s="10">
        <v>21893.87</v>
      </c>
      <c r="C57" s="32">
        <f t="shared" si="4"/>
        <v>21.89387</v>
      </c>
      <c r="D57" s="10">
        <f t="shared" si="1"/>
        <v>1.530381513</v>
      </c>
      <c r="E57" s="10">
        <f t="shared" si="2"/>
        <v>6.8320603258928581E-2</v>
      </c>
      <c r="F57" s="10">
        <f>E57/Calculation!K$18*1000</f>
        <v>8.4002522231898705E-2</v>
      </c>
      <c r="G57" s="10">
        <f t="shared" si="3"/>
        <v>35.480682328229719</v>
      </c>
    </row>
    <row r="58" spans="1:7">
      <c r="A58" s="31">
        <v>26.5</v>
      </c>
      <c r="B58" s="10">
        <v>22236.04</v>
      </c>
      <c r="C58" s="32">
        <f t="shared" si="4"/>
        <v>22.236039999999999</v>
      </c>
      <c r="D58" s="10">
        <f t="shared" si="1"/>
        <v>1.5542991960000001</v>
      </c>
      <c r="E58" s="10">
        <f t="shared" si="2"/>
        <v>6.9388356964285719E-2</v>
      </c>
      <c r="F58" s="10">
        <f>E58/Calculation!K$18*1000</f>
        <v>8.5315361991707667E-2</v>
      </c>
      <c r="G58" s="10">
        <f t="shared" si="3"/>
        <v>38.020450591583817</v>
      </c>
    </row>
    <row r="59" spans="1:7">
      <c r="A59" s="31">
        <v>27</v>
      </c>
      <c r="B59" s="10">
        <v>22328.52</v>
      </c>
      <c r="C59" s="32">
        <f t="shared" si="4"/>
        <v>22.328520000000001</v>
      </c>
      <c r="D59" s="10">
        <f t="shared" si="1"/>
        <v>1.5607635480000002</v>
      </c>
      <c r="E59" s="10">
        <f t="shared" si="2"/>
        <v>6.9676944107142869E-2</v>
      </c>
      <c r="F59" s="10">
        <f>E59/Calculation!K$18*1000</f>
        <v>8.5670189770259655E-2</v>
      </c>
      <c r="G59" s="10">
        <f t="shared" si="3"/>
        <v>40.585233868013326</v>
      </c>
    </row>
    <row r="60" spans="1:7">
      <c r="A60" s="31">
        <v>27.5</v>
      </c>
      <c r="B60" s="10">
        <v>22365.82</v>
      </c>
      <c r="C60" s="32">
        <f t="shared" si="4"/>
        <v>22.365819999999999</v>
      </c>
      <c r="D60" s="10">
        <f t="shared" si="1"/>
        <v>1.5633708179999999</v>
      </c>
      <c r="E60" s="10">
        <f t="shared" si="2"/>
        <v>6.9793340089285713E-2</v>
      </c>
      <c r="F60" s="10">
        <f>E60/Calculation!K$18*1000</f>
        <v>8.5813302617794129E-2</v>
      </c>
      <c r="G60" s="10">
        <f t="shared" si="3"/>
        <v>43.157486253834129</v>
      </c>
    </row>
    <row r="61" spans="1:7">
      <c r="A61" s="31">
        <v>28</v>
      </c>
      <c r="B61" s="10">
        <v>22351.1</v>
      </c>
      <c r="C61" s="32">
        <f t="shared" si="4"/>
        <v>22.351099999999999</v>
      </c>
      <c r="D61" s="10">
        <f t="shared" si="1"/>
        <v>1.5623418900000001</v>
      </c>
      <c r="E61" s="10">
        <f t="shared" si="2"/>
        <v>6.9747405803571444E-2</v>
      </c>
      <c r="F61" s="10">
        <f>E61/Calculation!K$18*1000</f>
        <v>8.5756824839893137E-2</v>
      </c>
      <c r="G61" s="10">
        <f t="shared" si="3"/>
        <v>45.731038165699438</v>
      </c>
    </row>
    <row r="62" spans="1:7">
      <c r="A62" s="31">
        <v>28.5</v>
      </c>
      <c r="B62" s="10">
        <v>22335.72</v>
      </c>
      <c r="C62" s="32">
        <f t="shared" si="4"/>
        <v>22.335720000000002</v>
      </c>
      <c r="D62" s="10">
        <f t="shared" si="1"/>
        <v>1.5612668280000004</v>
      </c>
      <c r="E62" s="10">
        <f t="shared" si="2"/>
        <v>6.9699411964285737E-2</v>
      </c>
      <c r="F62" s="10">
        <f>E62/Calculation!K$18*1000</f>
        <v>8.5697814770319958E-2</v>
      </c>
      <c r="G62" s="10">
        <f t="shared" si="3"/>
        <v>48.302857759852635</v>
      </c>
    </row>
    <row r="63" spans="1:7">
      <c r="A63" s="31">
        <v>29</v>
      </c>
      <c r="B63" s="10">
        <v>22440.07</v>
      </c>
      <c r="C63" s="32">
        <f t="shared" si="4"/>
        <v>22.440069999999999</v>
      </c>
      <c r="D63" s="10">
        <f t="shared" si="1"/>
        <v>1.5685608930000001</v>
      </c>
      <c r="E63" s="10">
        <f t="shared" si="2"/>
        <v>7.0025039866071434E-2</v>
      </c>
      <c r="F63" s="10">
        <f>E63/Calculation!K$18*1000</f>
        <v>8.6098185430915727E-2</v>
      </c>
      <c r="G63" s="10">
        <f t="shared" si="3"/>
        <v>50.879797762871171</v>
      </c>
    </row>
    <row r="64" spans="1:7">
      <c r="A64" s="31">
        <v>29.5</v>
      </c>
      <c r="B64" s="10">
        <v>22455.13</v>
      </c>
      <c r="C64" s="32">
        <f t="shared" si="4"/>
        <v>22.45513</v>
      </c>
      <c r="D64" s="10">
        <f t="shared" si="1"/>
        <v>1.5696135870000001</v>
      </c>
      <c r="E64" s="10">
        <f t="shared" si="2"/>
        <v>7.0072035133928581E-2</v>
      </c>
      <c r="F64" s="10">
        <f>E64/Calculation!K$18*1000</f>
        <v>8.6155967722708476E-2</v>
      </c>
      <c r="G64" s="10">
        <f t="shared" si="3"/>
        <v>53.463610060175533</v>
      </c>
    </row>
    <row r="65" spans="1:7">
      <c r="A65" s="31">
        <v>30</v>
      </c>
      <c r="B65" s="10">
        <v>23030.26</v>
      </c>
      <c r="C65" s="32">
        <f t="shared" si="4"/>
        <v>23.030259999999998</v>
      </c>
      <c r="D65" s="10">
        <f t="shared" si="1"/>
        <v>1.609815174</v>
      </c>
      <c r="E65" s="10">
        <f t="shared" si="2"/>
        <v>7.1866748839285718E-2</v>
      </c>
      <c r="F65" s="10">
        <f>E65/Calculation!K$19*1000</f>
        <v>9.4253471687135923E-2</v>
      </c>
      <c r="G65" s="10">
        <f t="shared" si="3"/>
        <v>56.169751651323196</v>
      </c>
    </row>
    <row r="66" spans="1:7">
      <c r="A66" s="31">
        <v>30.5</v>
      </c>
      <c r="B66" s="10">
        <v>22913.03</v>
      </c>
      <c r="C66" s="32">
        <f t="shared" si="4"/>
        <v>22.913029999999999</v>
      </c>
      <c r="D66" s="10">
        <f t="shared" si="1"/>
        <v>1.601620797</v>
      </c>
      <c r="E66" s="10">
        <f t="shared" si="2"/>
        <v>7.15009284375E-2</v>
      </c>
      <c r="F66" s="10">
        <f>E66/Calculation!K$19*1000</f>
        <v>9.3773697056459437E-2</v>
      </c>
      <c r="G66" s="10">
        <f t="shared" si="3"/>
        <v>58.990159182477129</v>
      </c>
    </row>
    <row r="67" spans="1:7">
      <c r="A67" s="31">
        <v>31</v>
      </c>
      <c r="B67" s="10">
        <v>22642.94</v>
      </c>
      <c r="C67" s="32">
        <f t="shared" si="4"/>
        <v>22.642939999999999</v>
      </c>
      <c r="D67" s="10">
        <f t="shared" si="1"/>
        <v>1.5827415060000001</v>
      </c>
      <c r="E67" s="10">
        <f t="shared" si="2"/>
        <v>7.0658102946428575E-2</v>
      </c>
      <c r="F67" s="10">
        <f>E67/Calculation!K$19*1000</f>
        <v>9.2668328720714274E-2</v>
      </c>
      <c r="G67" s="10">
        <f t="shared" si="3"/>
        <v>61.786789569134733</v>
      </c>
    </row>
    <row r="68" spans="1:7">
      <c r="A68" s="31">
        <v>31.5</v>
      </c>
      <c r="B68" s="10">
        <v>22339.4</v>
      </c>
      <c r="C68" s="32">
        <f t="shared" si="4"/>
        <v>22.339400000000001</v>
      </c>
      <c r="D68" s="10">
        <f t="shared" si="1"/>
        <v>1.5615240600000002</v>
      </c>
      <c r="E68" s="10">
        <f t="shared" si="2"/>
        <v>6.9710895535714301E-2</v>
      </c>
      <c r="F68" s="10">
        <f>E68/Calculation!K$19*1000</f>
        <v>9.1426063162448196E-2</v>
      </c>
      <c r="G68" s="10">
        <f t="shared" si="3"/>
        <v>64.548205447382173</v>
      </c>
    </row>
    <row r="69" spans="1:7">
      <c r="A69" s="31">
        <v>32</v>
      </c>
      <c r="B69" s="10">
        <v>22124.66</v>
      </c>
      <c r="C69" s="32">
        <f t="shared" ref="C69:C100" si="5">B69/1000</f>
        <v>22.124659999999999</v>
      </c>
      <c r="D69" s="10">
        <f t="shared" si="1"/>
        <v>1.5465137339999999</v>
      </c>
      <c r="E69" s="10">
        <f t="shared" si="2"/>
        <v>6.9040791696428572E-2</v>
      </c>
      <c r="F69" s="10">
        <f>E69/Calculation!K$19*1000</f>
        <v>9.0547219827197267E-2</v>
      </c>
      <c r="G69" s="10">
        <f t="shared" si="3"/>
        <v>67.277804692226852</v>
      </c>
    </row>
    <row r="70" spans="1:7">
      <c r="A70" s="31">
        <v>32.5</v>
      </c>
      <c r="B70" s="10">
        <v>22137.54</v>
      </c>
      <c r="C70" s="32">
        <f t="shared" si="5"/>
        <v>22.137540000000001</v>
      </c>
      <c r="D70" s="10">
        <f t="shared" ref="D70:D101" si="6">C70/1000*$B$1</f>
        <v>1.5474140460000001</v>
      </c>
      <c r="E70" s="10">
        <f t="shared" ref="E70:E101" si="7">D70/22.4</f>
        <v>6.908098419642858E-2</v>
      </c>
      <c r="F70" s="10">
        <f>E70/Calculation!K$19*1000</f>
        <v>9.0599932419904897E-2</v>
      </c>
      <c r="G70" s="10">
        <f t="shared" si="3"/>
        <v>69.99501197593338</v>
      </c>
    </row>
    <row r="71" spans="1:7">
      <c r="A71" s="31">
        <v>33</v>
      </c>
      <c r="B71" s="10">
        <v>22189.55</v>
      </c>
      <c r="C71" s="32">
        <f t="shared" si="5"/>
        <v>22.189550000000001</v>
      </c>
      <c r="D71" s="10">
        <f t="shared" si="6"/>
        <v>1.5510495450000001</v>
      </c>
      <c r="E71" s="10">
        <f t="shared" si="7"/>
        <v>6.9243283258928576E-2</v>
      </c>
      <c r="F71" s="10">
        <f>E71/Calculation!K$19*1000</f>
        <v>9.0812788161110061E-2</v>
      </c>
      <c r="G71" s="10">
        <f t="shared" ref="G71:G101" si="8">G70+(F71+F70)/2*30</f>
        <v>72.716202784648601</v>
      </c>
    </row>
    <row r="72" spans="1:7">
      <c r="A72" s="31">
        <v>33.5</v>
      </c>
      <c r="B72" s="10">
        <v>22138.37</v>
      </c>
      <c r="C72" s="32">
        <f t="shared" si="5"/>
        <v>22.138369999999998</v>
      </c>
      <c r="D72" s="10">
        <f t="shared" si="6"/>
        <v>1.5474720629999998</v>
      </c>
      <c r="E72" s="10">
        <f t="shared" si="7"/>
        <v>6.9083574241071422E-2</v>
      </c>
      <c r="F72" s="10">
        <f>E72/Calculation!K$19*1000</f>
        <v>9.0603329271764135E-2</v>
      </c>
      <c r="G72" s="10">
        <f t="shared" si="8"/>
        <v>75.43744454614172</v>
      </c>
    </row>
    <row r="73" spans="1:7">
      <c r="A73" s="31">
        <v>34</v>
      </c>
      <c r="B73" s="10">
        <v>22254.44</v>
      </c>
      <c r="C73" s="32">
        <f t="shared" si="5"/>
        <v>22.254439999999999</v>
      </c>
      <c r="D73" s="10">
        <f t="shared" si="6"/>
        <v>1.5555853560000001</v>
      </c>
      <c r="E73" s="10">
        <f t="shared" si="7"/>
        <v>6.944577482142858E-2</v>
      </c>
      <c r="F73" s="10">
        <f>E73/Calculation!K$19*1000</f>
        <v>9.1078356495022855E-2</v>
      </c>
      <c r="G73" s="10">
        <f t="shared" si="8"/>
        <v>78.16266983264353</v>
      </c>
    </row>
    <row r="74" spans="1:7">
      <c r="A74" s="31">
        <v>34.5</v>
      </c>
      <c r="B74" s="10">
        <v>22380.87</v>
      </c>
      <c r="C74" s="32">
        <f t="shared" si="5"/>
        <v>22.380869999999998</v>
      </c>
      <c r="D74" s="10">
        <f t="shared" si="6"/>
        <v>1.564422813</v>
      </c>
      <c r="E74" s="10">
        <f t="shared" si="7"/>
        <v>6.9840304151785715E-2</v>
      </c>
      <c r="F74" s="10">
        <f>E74/Calculation!K$19*1000</f>
        <v>9.1595782977633308E-2</v>
      </c>
      <c r="G74" s="10">
        <f t="shared" si="8"/>
        <v>80.902781924733375</v>
      </c>
    </row>
    <row r="75" spans="1:7">
      <c r="A75" s="31">
        <v>35</v>
      </c>
      <c r="B75" s="10">
        <v>22415.66</v>
      </c>
      <c r="C75" s="32">
        <f t="shared" si="5"/>
        <v>22.415659999999999</v>
      </c>
      <c r="D75" s="10">
        <f t="shared" si="6"/>
        <v>1.5668546340000002</v>
      </c>
      <c r="E75" s="10">
        <f t="shared" si="7"/>
        <v>6.9948867589285729E-2</v>
      </c>
      <c r="F75" s="10">
        <f>E75/Calculation!K$19*1000</f>
        <v>9.1738164274240294E-2</v>
      </c>
      <c r="G75" s="10">
        <f t="shared" si="8"/>
        <v>83.652791133511485</v>
      </c>
    </row>
    <row r="76" spans="1:7">
      <c r="A76" s="31">
        <v>35.5</v>
      </c>
      <c r="B76" s="10">
        <v>22498.27</v>
      </c>
      <c r="C76" s="32">
        <f t="shared" si="5"/>
        <v>22.498270000000002</v>
      </c>
      <c r="D76" s="10">
        <f t="shared" si="6"/>
        <v>1.5726290730000001</v>
      </c>
      <c r="E76" s="10">
        <f t="shared" si="7"/>
        <v>7.0206655044642866E-2</v>
      </c>
      <c r="F76" s="10">
        <f>E76/Calculation!K$19*1000</f>
        <v>9.2076253349052048E-2</v>
      </c>
      <c r="G76" s="10">
        <f t="shared" si="8"/>
        <v>86.410007397860866</v>
      </c>
    </row>
    <row r="77" spans="1:7">
      <c r="A77" s="31">
        <v>36</v>
      </c>
      <c r="B77" s="10">
        <v>22639.59</v>
      </c>
      <c r="C77" s="32">
        <f t="shared" si="5"/>
        <v>22.639590000000002</v>
      </c>
      <c r="D77" s="10">
        <f t="shared" si="6"/>
        <v>1.5825073410000001</v>
      </c>
      <c r="E77" s="10">
        <f t="shared" si="7"/>
        <v>7.064764915178573E-2</v>
      </c>
      <c r="F77" s="10">
        <f>E77/Calculation!K$19*1000</f>
        <v>9.2654618535499195E-2</v>
      </c>
      <c r="G77" s="10">
        <f t="shared" si="8"/>
        <v>89.180970476129133</v>
      </c>
    </row>
    <row r="78" spans="1:7">
      <c r="A78" s="31">
        <v>36.5</v>
      </c>
      <c r="B78" s="10">
        <v>22768.2</v>
      </c>
      <c r="C78" s="32">
        <f t="shared" si="5"/>
        <v>22.7682</v>
      </c>
      <c r="D78" s="10">
        <f t="shared" si="6"/>
        <v>1.59149718</v>
      </c>
      <c r="E78" s="10">
        <f t="shared" si="7"/>
        <v>7.1048981250000004E-2</v>
      </c>
      <c r="F78" s="10">
        <f>E78/Calculation!K$19*1000</f>
        <v>9.3180966869980966E-2</v>
      </c>
      <c r="G78" s="10">
        <f t="shared" si="8"/>
        <v>91.968504257211336</v>
      </c>
    </row>
    <row r="79" spans="1:7">
      <c r="A79" s="31">
        <v>37</v>
      </c>
      <c r="B79" s="10">
        <v>23144.15</v>
      </c>
      <c r="C79" s="32">
        <f t="shared" si="5"/>
        <v>23.14415</v>
      </c>
      <c r="D79" s="10">
        <f t="shared" si="6"/>
        <v>1.617776085</v>
      </c>
      <c r="E79" s="10">
        <f t="shared" si="7"/>
        <v>7.2222146651785724E-2</v>
      </c>
      <c r="F79" s="10">
        <f>E79/Calculation!K$19*1000</f>
        <v>9.4719577058523297E-2</v>
      </c>
      <c r="G79" s="10">
        <f t="shared" si="8"/>
        <v>94.787012416138893</v>
      </c>
    </row>
    <row r="80" spans="1:7">
      <c r="A80" s="31">
        <v>37.5</v>
      </c>
      <c r="B80" s="10">
        <v>23108.7</v>
      </c>
      <c r="C80" s="32">
        <f t="shared" si="5"/>
        <v>23.108700000000002</v>
      </c>
      <c r="D80" s="10">
        <f t="shared" si="6"/>
        <v>1.6152981300000002</v>
      </c>
      <c r="E80" s="10">
        <f t="shared" si="7"/>
        <v>7.21115236607143E-2</v>
      </c>
      <c r="F80" s="10">
        <f>E80/Calculation!K$19*1000</f>
        <v>9.457449465079934E-2</v>
      </c>
      <c r="G80" s="10">
        <f t="shared" si="8"/>
        <v>97.626423491778738</v>
      </c>
    </row>
    <row r="81" spans="1:7">
      <c r="A81" s="31">
        <v>38</v>
      </c>
      <c r="B81" s="10">
        <v>23484.82</v>
      </c>
      <c r="C81" s="32">
        <f t="shared" si="5"/>
        <v>23.484819999999999</v>
      </c>
      <c r="D81" s="10">
        <f t="shared" si="6"/>
        <v>1.6415889180000001</v>
      </c>
      <c r="E81" s="10">
        <f t="shared" si="7"/>
        <v>7.3285219553571437E-2</v>
      </c>
      <c r="F81" s="10">
        <f>E81/Calculation!K$19*1000</f>
        <v>9.6113800580083911E-2</v>
      </c>
      <c r="G81" s="10">
        <f t="shared" si="8"/>
        <v>100.48674792024198</v>
      </c>
    </row>
    <row r="82" spans="1:7">
      <c r="A82" s="31">
        <v>38.5</v>
      </c>
      <c r="B82" s="10">
        <v>23679.32</v>
      </c>
      <c r="C82" s="32">
        <f t="shared" si="5"/>
        <v>23.679320000000001</v>
      </c>
      <c r="D82" s="10">
        <f t="shared" si="6"/>
        <v>1.6551844680000001</v>
      </c>
      <c r="E82" s="10">
        <f t="shared" si="7"/>
        <v>7.3892163750000003E-2</v>
      </c>
      <c r="F82" s="10">
        <f>E82/Calculation!K$19*1000</f>
        <v>9.6909809841079997E-2</v>
      </c>
      <c r="G82" s="10">
        <f t="shared" si="8"/>
        <v>103.38210207655943</v>
      </c>
    </row>
    <row r="83" spans="1:7">
      <c r="A83" s="31">
        <v>39</v>
      </c>
      <c r="B83" s="10">
        <v>23899.74</v>
      </c>
      <c r="C83" s="32">
        <f t="shared" si="5"/>
        <v>23.899740000000001</v>
      </c>
      <c r="D83" s="10">
        <f t="shared" si="6"/>
        <v>1.6705918260000003</v>
      </c>
      <c r="E83" s="10">
        <f t="shared" si="7"/>
        <v>7.4579992232142872E-2</v>
      </c>
      <c r="F83" s="10">
        <f>E83/Calculation!K$19*1000</f>
        <v>9.7811899102307573E-2</v>
      </c>
      <c r="G83" s="10">
        <f t="shared" si="8"/>
        <v>106.30292771071025</v>
      </c>
    </row>
    <row r="84" spans="1:7">
      <c r="A84" s="31">
        <v>39.5</v>
      </c>
      <c r="B84" s="10">
        <v>24065.31</v>
      </c>
      <c r="C84" s="32">
        <f t="shared" si="5"/>
        <v>24.06531</v>
      </c>
      <c r="D84" s="10">
        <f t="shared" si="6"/>
        <v>1.6821651690000001</v>
      </c>
      <c r="E84" s="10">
        <f t="shared" si="7"/>
        <v>7.5096659330357154E-2</v>
      </c>
      <c r="F84" s="10">
        <f>E84/Calculation!K$19*1000</f>
        <v>9.8489509659341626E-2</v>
      </c>
      <c r="G84" s="10">
        <f t="shared" si="8"/>
        <v>109.24744884213499</v>
      </c>
    </row>
    <row r="85" spans="1:7">
      <c r="A85" s="31">
        <v>40</v>
      </c>
      <c r="B85" s="10">
        <v>24151.94</v>
      </c>
      <c r="C85" s="32">
        <f t="shared" si="5"/>
        <v>24.15194</v>
      </c>
      <c r="D85" s="10">
        <f t="shared" si="6"/>
        <v>1.6882206060000002</v>
      </c>
      <c r="E85" s="10">
        <f t="shared" si="7"/>
        <v>7.5366991339285733E-2</v>
      </c>
      <c r="F85" s="10">
        <f>E85/Calculation!K$19*1000</f>
        <v>9.8844050956411508E-2</v>
      </c>
      <c r="G85" s="10">
        <f t="shared" si="8"/>
        <v>112.20745225137128</v>
      </c>
    </row>
    <row r="86" spans="1:7">
      <c r="A86" s="31">
        <v>40.5</v>
      </c>
      <c r="B86" s="10">
        <v>24153.11</v>
      </c>
      <c r="C86" s="32">
        <f t="shared" si="5"/>
        <v>24.153110000000002</v>
      </c>
      <c r="D86" s="10">
        <f t="shared" si="6"/>
        <v>1.6883023890000002</v>
      </c>
      <c r="E86" s="10">
        <f t="shared" si="7"/>
        <v>7.5370642366071439E-2</v>
      </c>
      <c r="F86" s="10">
        <f>E86/Calculation!K$19*1000</f>
        <v>9.8848839289755269E-2</v>
      </c>
      <c r="G86" s="10">
        <f t="shared" si="8"/>
        <v>115.17284560506378</v>
      </c>
    </row>
    <row r="87" spans="1:7">
      <c r="A87" s="31">
        <v>41</v>
      </c>
      <c r="B87" s="10">
        <v>24091.9</v>
      </c>
      <c r="C87" s="32">
        <f t="shared" si="5"/>
        <v>24.091900000000003</v>
      </c>
      <c r="D87" s="10">
        <f t="shared" si="6"/>
        <v>1.6840238100000002</v>
      </c>
      <c r="E87" s="10">
        <f t="shared" si="7"/>
        <v>7.5179634375000012E-2</v>
      </c>
      <c r="F87" s="10">
        <f>E87/Calculation!K$19*1000</f>
        <v>9.8598331696616109E-2</v>
      </c>
      <c r="G87" s="10">
        <f t="shared" si="8"/>
        <v>118.13455316985936</v>
      </c>
    </row>
    <row r="88" spans="1:7">
      <c r="A88" s="31">
        <v>41.5</v>
      </c>
      <c r="B88" s="10">
        <v>24100.43</v>
      </c>
      <c r="C88" s="32">
        <f t="shared" si="5"/>
        <v>24.100429999999999</v>
      </c>
      <c r="D88" s="10">
        <f t="shared" si="6"/>
        <v>1.6846200570000001</v>
      </c>
      <c r="E88" s="10">
        <f t="shared" si="7"/>
        <v>7.520625254464286E-2</v>
      </c>
      <c r="F88" s="10">
        <f>E88/Calculation!K$19*1000</f>
        <v>9.8633241511507069E-2</v>
      </c>
      <c r="G88" s="10">
        <f t="shared" si="8"/>
        <v>121.0930267679812</v>
      </c>
    </row>
    <row r="89" spans="1:7">
      <c r="A89" s="31">
        <v>42</v>
      </c>
      <c r="B89" s="10">
        <v>23925.16</v>
      </c>
      <c r="C89" s="32">
        <f t="shared" si="5"/>
        <v>23.925159999999998</v>
      </c>
      <c r="D89" s="10">
        <f t="shared" si="6"/>
        <v>1.672368684</v>
      </c>
      <c r="E89" s="10">
        <f t="shared" si="7"/>
        <v>7.465931625000001E-2</v>
      </c>
      <c r="F89" s="10">
        <f>E89/Calculation!K$19*1000</f>
        <v>9.7915932806238254E-2</v>
      </c>
      <c r="G89" s="10">
        <f t="shared" si="8"/>
        <v>124.04126438274739</v>
      </c>
    </row>
    <row r="90" spans="1:7">
      <c r="A90" s="31">
        <v>42.5</v>
      </c>
      <c r="B90" s="10">
        <v>23781.34</v>
      </c>
      <c r="C90" s="32">
        <f t="shared" si="5"/>
        <v>23.78134</v>
      </c>
      <c r="D90" s="10">
        <f t="shared" si="6"/>
        <v>1.6623156660000002</v>
      </c>
      <c r="E90" s="10">
        <f t="shared" si="7"/>
        <v>7.4210520803571448E-2</v>
      </c>
      <c r="F90" s="10">
        <f>E90/Calculation!K$19*1000</f>
        <v>9.7327336138287326E-2</v>
      </c>
      <c r="G90" s="10">
        <f t="shared" si="8"/>
        <v>126.96991341691528</v>
      </c>
    </row>
    <row r="91" spans="1:7">
      <c r="A91" s="31">
        <v>43</v>
      </c>
      <c r="B91" s="10">
        <v>23895.9</v>
      </c>
      <c r="C91" s="32">
        <f t="shared" si="5"/>
        <v>23.895900000000001</v>
      </c>
      <c r="D91" s="10">
        <f t="shared" si="6"/>
        <v>1.6703234100000002</v>
      </c>
      <c r="E91" s="10">
        <f t="shared" si="7"/>
        <v>7.4568009375000008E-2</v>
      </c>
      <c r="F91" s="10">
        <f>E91/Calculation!K$19*1000</f>
        <v>9.7796183546717708E-2</v>
      </c>
      <c r="G91" s="10">
        <f t="shared" si="8"/>
        <v>129.89676621219036</v>
      </c>
    </row>
    <row r="92" spans="1:7">
      <c r="A92" s="31">
        <v>43.5</v>
      </c>
      <c r="B92" s="10">
        <v>23614.26</v>
      </c>
      <c r="C92" s="32">
        <f t="shared" si="5"/>
        <v>23.614259999999998</v>
      </c>
      <c r="D92" s="10">
        <f t="shared" si="6"/>
        <v>1.6506367740000001</v>
      </c>
      <c r="E92" s="10">
        <f t="shared" si="7"/>
        <v>7.3689141696428581E-2</v>
      </c>
      <c r="F92" s="10">
        <f>E92/Calculation!K$19*1000</f>
        <v>9.6643545766424963E-2</v>
      </c>
      <c r="G92" s="10">
        <f t="shared" si="8"/>
        <v>132.8133621518875</v>
      </c>
    </row>
    <row r="93" spans="1:7">
      <c r="A93" s="31">
        <v>44</v>
      </c>
      <c r="B93" s="10">
        <v>23188.81</v>
      </c>
      <c r="C93" s="32">
        <f t="shared" si="5"/>
        <v>23.18881</v>
      </c>
      <c r="D93" s="10">
        <f t="shared" si="6"/>
        <v>1.6208978190000001</v>
      </c>
      <c r="E93" s="10">
        <f t="shared" si="7"/>
        <v>7.2361509776785723E-2</v>
      </c>
      <c r="F93" s="10">
        <f>E93/Calculation!K$19*1000</f>
        <v>9.4902352244107285E-2</v>
      </c>
      <c r="G93" s="10">
        <f t="shared" si="8"/>
        <v>135.68655062204547</v>
      </c>
    </row>
    <row r="94" spans="1:7">
      <c r="A94" s="31">
        <v>44.5</v>
      </c>
      <c r="B94" s="10">
        <v>23160.21</v>
      </c>
      <c r="C94" s="32">
        <f t="shared" si="5"/>
        <v>23.160209999999999</v>
      </c>
      <c r="D94" s="10">
        <f t="shared" si="6"/>
        <v>1.6188986790000002</v>
      </c>
      <c r="E94" s="10">
        <f t="shared" si="7"/>
        <v>7.2272262455357159E-2</v>
      </c>
      <c r="F94" s="10">
        <f>E94/Calculation!K$19*1000</f>
        <v>9.4785304095703765E-2</v>
      </c>
      <c r="G94" s="10">
        <f t="shared" si="8"/>
        <v>138.53186546714264</v>
      </c>
    </row>
    <row r="95" spans="1:7">
      <c r="A95" s="31">
        <v>45</v>
      </c>
      <c r="B95" s="10">
        <v>22894.46</v>
      </c>
      <c r="C95" s="32">
        <f t="shared" si="5"/>
        <v>22.894459999999999</v>
      </c>
      <c r="D95" s="10">
        <f t="shared" si="6"/>
        <v>1.600322754</v>
      </c>
      <c r="E95" s="10">
        <f t="shared" si="7"/>
        <v>7.1442980089285721E-2</v>
      </c>
      <c r="F95" s="10">
        <f>E95/Calculation!K$19*1000</f>
        <v>9.3697697611849179E-2</v>
      </c>
      <c r="G95" s="10">
        <f t="shared" si="8"/>
        <v>141.35911049275592</v>
      </c>
    </row>
    <row r="96" spans="1:7">
      <c r="A96" s="31">
        <v>45.5</v>
      </c>
      <c r="B96" s="10">
        <v>22664.84</v>
      </c>
      <c r="C96" s="32">
        <f t="shared" si="5"/>
        <v>22.664840000000002</v>
      </c>
      <c r="D96" s="10">
        <f t="shared" si="6"/>
        <v>1.5842723160000003</v>
      </c>
      <c r="E96" s="10">
        <f t="shared" si="7"/>
        <v>7.072644267857145E-2</v>
      </c>
      <c r="F96" s="10">
        <f>E96/Calculation!K$19*1000</f>
        <v>9.2757956498687649E-2</v>
      </c>
      <c r="G96" s="10">
        <f t="shared" si="8"/>
        <v>144.15594530441396</v>
      </c>
    </row>
    <row r="97" spans="1:7">
      <c r="A97" s="31">
        <v>46</v>
      </c>
      <c r="B97" s="10">
        <v>22469.01</v>
      </c>
      <c r="C97" s="32">
        <f t="shared" si="5"/>
        <v>22.469009999999997</v>
      </c>
      <c r="D97" s="10">
        <f t="shared" si="6"/>
        <v>1.570583799</v>
      </c>
      <c r="E97" s="10">
        <f t="shared" si="7"/>
        <v>7.0115348169642863E-2</v>
      </c>
      <c r="F97" s="10">
        <f>E97/Calculation!K$19*1000</f>
        <v>9.1956504089531502E-2</v>
      </c>
      <c r="G97" s="10">
        <f t="shared" si="8"/>
        <v>146.92666221323725</v>
      </c>
    </row>
    <row r="98" spans="1:7">
      <c r="A98" s="31">
        <v>46.5</v>
      </c>
      <c r="B98" s="10">
        <v>22210.959999999999</v>
      </c>
      <c r="C98" s="32">
        <f t="shared" si="5"/>
        <v>22.21096</v>
      </c>
      <c r="D98" s="10">
        <f t="shared" si="6"/>
        <v>1.5525461039999999</v>
      </c>
      <c r="E98" s="10">
        <f t="shared" si="7"/>
        <v>6.9310093928571431E-2</v>
      </c>
      <c r="F98" s="10">
        <f>E98/Calculation!K$19*1000</f>
        <v>9.0900410568708651E-2</v>
      </c>
      <c r="G98" s="10">
        <f t="shared" si="8"/>
        <v>149.66951593311086</v>
      </c>
    </row>
    <row r="99" spans="1:7">
      <c r="A99" s="31">
        <v>47</v>
      </c>
      <c r="B99" s="10">
        <v>21799.21</v>
      </c>
      <c r="C99" s="32">
        <f t="shared" si="5"/>
        <v>21.799209999999999</v>
      </c>
      <c r="D99" s="10">
        <f t="shared" si="6"/>
        <v>1.5237647790000002</v>
      </c>
      <c r="E99" s="10">
        <f t="shared" si="7"/>
        <v>6.8025213348214292E-2</v>
      </c>
      <c r="F99" s="10">
        <f>E99/Calculation!K$19*1000</f>
        <v>8.9215285565031832E-2</v>
      </c>
      <c r="G99" s="10">
        <f t="shared" si="8"/>
        <v>152.37125137511697</v>
      </c>
    </row>
    <row r="100" spans="1:7">
      <c r="A100" s="31">
        <v>47.5</v>
      </c>
      <c r="B100" s="10">
        <v>21700.2</v>
      </c>
      <c r="C100" s="32">
        <f t="shared" si="5"/>
        <v>21.700200000000002</v>
      </c>
      <c r="D100" s="10">
        <f t="shared" si="6"/>
        <v>1.5168439800000004</v>
      </c>
      <c r="E100" s="10">
        <f t="shared" si="7"/>
        <v>6.7716249107142884E-2</v>
      </c>
      <c r="F100" s="10">
        <f>E100/Calculation!K$19*1000</f>
        <v>8.8810077971555143E-2</v>
      </c>
      <c r="G100" s="10">
        <f t="shared" si="8"/>
        <v>155.04163182816578</v>
      </c>
    </row>
    <row r="101" spans="1:7">
      <c r="A101" s="31">
        <v>48</v>
      </c>
      <c r="B101" s="10">
        <v>21704.55</v>
      </c>
      <c r="C101" s="32">
        <f t="shared" ref="C101" si="9">B101/1000</f>
        <v>21.704549999999998</v>
      </c>
      <c r="D101" s="10">
        <f t="shared" si="6"/>
        <v>1.5171480449999999</v>
      </c>
      <c r="E101" s="10">
        <f t="shared" si="7"/>
        <v>6.7729823437500003E-2</v>
      </c>
      <c r="F101" s="10">
        <f>E101/Calculation!K$20*1000</f>
        <v>9.4005671725695197E-2</v>
      </c>
      <c r="G101" s="10">
        <f t="shared" si="8"/>
        <v>157.78386807362452</v>
      </c>
    </row>
    <row r="102" spans="1:7">
      <c r="A102" s="31">
        <v>48.5</v>
      </c>
      <c r="B102" s="10">
        <v>21291.64</v>
      </c>
      <c r="C102" s="32">
        <f t="shared" ref="C102:C153" si="10">B102/1000</f>
        <v>21.291640000000001</v>
      </c>
      <c r="D102" s="10">
        <f t="shared" ref="D102:D153" si="11">C102/1000*$B$1</f>
        <v>1.4882856360000001</v>
      </c>
      <c r="E102" s="10">
        <f t="shared" ref="E102:E153" si="12">D102/22.4</f>
        <v>6.6441323035714289E-2</v>
      </c>
      <c r="F102" s="10">
        <f>E102/Calculation!K$20*1000</f>
        <v>9.221729638908345E-2</v>
      </c>
      <c r="G102" s="10">
        <f t="shared" ref="G102:G153" si="13">G101+(F102+F101)/2*30</f>
        <v>160.5772125953462</v>
      </c>
    </row>
    <row r="103" spans="1:7">
      <c r="A103" s="31">
        <v>49</v>
      </c>
      <c r="B103" s="10">
        <v>20890.759999999998</v>
      </c>
      <c r="C103" s="32">
        <f t="shared" si="10"/>
        <v>20.890759999999997</v>
      </c>
      <c r="D103" s="10">
        <f t="shared" si="11"/>
        <v>1.4602641240000001</v>
      </c>
      <c r="E103" s="10">
        <f t="shared" si="12"/>
        <v>6.5190362678571437E-2</v>
      </c>
      <c r="F103" s="10">
        <f>E103/Calculation!K$20*1000</f>
        <v>9.0481024792510537E-2</v>
      </c>
      <c r="G103" s="10">
        <f t="shared" si="13"/>
        <v>163.3176874130701</v>
      </c>
    </row>
    <row r="104" spans="1:7">
      <c r="A104" s="31">
        <v>49.5</v>
      </c>
      <c r="B104" s="10">
        <v>20514.14</v>
      </c>
      <c r="C104" s="32">
        <f t="shared" si="10"/>
        <v>20.514140000000001</v>
      </c>
      <c r="D104" s="10">
        <f t="shared" si="11"/>
        <v>1.4339383860000001</v>
      </c>
      <c r="E104" s="10">
        <f t="shared" si="12"/>
        <v>6.4015106517857148E-2</v>
      </c>
      <c r="F104" s="10">
        <f>E104/Calculation!K$20*1000</f>
        <v>8.884982690610739E-2</v>
      </c>
      <c r="G104" s="10">
        <f t="shared" si="13"/>
        <v>166.00765018854938</v>
      </c>
    </row>
    <row r="105" spans="1:7">
      <c r="A105" s="31">
        <v>50</v>
      </c>
      <c r="B105" s="10">
        <v>20103.900000000001</v>
      </c>
      <c r="C105" s="32">
        <f t="shared" si="10"/>
        <v>20.103900000000003</v>
      </c>
      <c r="D105" s="10">
        <f t="shared" si="11"/>
        <v>1.4052626100000005</v>
      </c>
      <c r="E105" s="10">
        <f t="shared" si="12"/>
        <v>6.2734937946428593E-2</v>
      </c>
      <c r="F105" s="10">
        <f>E105/Calculation!K$20*1000</f>
        <v>8.7073015741224974E-2</v>
      </c>
      <c r="G105" s="10">
        <f t="shared" si="13"/>
        <v>168.64649282825937</v>
      </c>
    </row>
    <row r="106" spans="1:7">
      <c r="A106" s="31">
        <v>50.5</v>
      </c>
      <c r="B106" s="10">
        <v>19824.61</v>
      </c>
      <c r="C106" s="32">
        <f t="shared" si="10"/>
        <v>19.82461</v>
      </c>
      <c r="D106" s="10">
        <f t="shared" si="11"/>
        <v>1.385740239</v>
      </c>
      <c r="E106" s="10">
        <f t="shared" si="12"/>
        <v>6.1863403526785717E-2</v>
      </c>
      <c r="F106" s="10">
        <f>E106/Calculation!K$20*1000</f>
        <v>8.5863368729134415E-2</v>
      </c>
      <c r="G106" s="10">
        <f t="shared" si="13"/>
        <v>171.24053859531475</v>
      </c>
    </row>
    <row r="107" spans="1:7">
      <c r="A107" s="31">
        <v>51</v>
      </c>
      <c r="B107" s="10">
        <v>19603.52</v>
      </c>
      <c r="C107" s="32">
        <f t="shared" si="10"/>
        <v>19.60352</v>
      </c>
      <c r="D107" s="10">
        <f t="shared" si="11"/>
        <v>1.3702860480000001</v>
      </c>
      <c r="E107" s="10">
        <f t="shared" si="12"/>
        <v>6.1173484285714293E-2</v>
      </c>
      <c r="F107" s="10">
        <f>E107/Calculation!K$20*1000</f>
        <v>8.490579467384031E-2</v>
      </c>
      <c r="G107" s="10">
        <f t="shared" si="13"/>
        <v>173.80207604635936</v>
      </c>
    </row>
    <row r="108" spans="1:7">
      <c r="A108" s="31">
        <v>51.5</v>
      </c>
      <c r="B108" s="10">
        <v>19095.11</v>
      </c>
      <c r="C108" s="32">
        <f t="shared" si="10"/>
        <v>19.095110000000002</v>
      </c>
      <c r="D108" s="10">
        <f t="shared" si="11"/>
        <v>1.3347481890000001</v>
      </c>
      <c r="E108" s="10">
        <f t="shared" si="12"/>
        <v>5.9586972723214296E-2</v>
      </c>
      <c r="F108" s="10">
        <f>E108/Calculation!K$20*1000</f>
        <v>8.2703794468258499E-2</v>
      </c>
      <c r="G108" s="10">
        <f t="shared" si="13"/>
        <v>176.31621988349085</v>
      </c>
    </row>
    <row r="109" spans="1:7">
      <c r="A109" s="31">
        <v>52</v>
      </c>
      <c r="B109" s="10">
        <v>19115.18</v>
      </c>
      <c r="C109" s="32">
        <f t="shared" si="10"/>
        <v>19.115179999999999</v>
      </c>
      <c r="D109" s="10">
        <f t="shared" si="11"/>
        <v>1.336151082</v>
      </c>
      <c r="E109" s="10">
        <f t="shared" si="12"/>
        <v>5.9649601875000006E-2</v>
      </c>
      <c r="F109" s="10">
        <f>E109/Calculation!K$20*1000</f>
        <v>8.2790720657999112E-2</v>
      </c>
      <c r="G109" s="10">
        <f t="shared" si="13"/>
        <v>178.7986376103847</v>
      </c>
    </row>
    <row r="110" spans="1:7">
      <c r="A110" s="31">
        <v>52.5</v>
      </c>
      <c r="B110" s="10">
        <v>18688.22</v>
      </c>
      <c r="C110" s="32">
        <f t="shared" si="10"/>
        <v>18.688220000000001</v>
      </c>
      <c r="D110" s="10">
        <f t="shared" si="11"/>
        <v>1.3063065780000003</v>
      </c>
      <c r="E110" s="10">
        <f t="shared" si="12"/>
        <v>5.8317257946428586E-2</v>
      </c>
      <c r="F110" s="10">
        <f>E110/Calculation!K$20*1000</f>
        <v>8.0941492657418471E-2</v>
      </c>
      <c r="G110" s="10">
        <f t="shared" si="13"/>
        <v>181.25462081011597</v>
      </c>
    </row>
    <row r="111" spans="1:7">
      <c r="A111" s="31">
        <v>53</v>
      </c>
      <c r="B111" s="10">
        <v>18639.38</v>
      </c>
      <c r="C111" s="32">
        <f t="shared" si="10"/>
        <v>18.639380000000003</v>
      </c>
      <c r="D111" s="10">
        <f t="shared" si="11"/>
        <v>1.3028926620000003</v>
      </c>
      <c r="E111" s="10">
        <f t="shared" si="12"/>
        <v>5.8164850982142878E-2</v>
      </c>
      <c r="F111" s="10">
        <f>E111/Calculation!K$20*1000</f>
        <v>8.0729959268931589E-2</v>
      </c>
      <c r="G111" s="10">
        <f t="shared" si="13"/>
        <v>183.67969258901121</v>
      </c>
    </row>
    <row r="112" spans="1:7">
      <c r="A112" s="31">
        <v>53.5</v>
      </c>
      <c r="B112" s="10">
        <v>18345.71</v>
      </c>
      <c r="C112" s="32">
        <f t="shared" si="10"/>
        <v>18.34571</v>
      </c>
      <c r="D112" s="10">
        <f t="shared" si="11"/>
        <v>1.2823651290000002</v>
      </c>
      <c r="E112" s="10">
        <f t="shared" si="12"/>
        <v>5.7248443258928583E-2</v>
      </c>
      <c r="F112" s="10">
        <f>E112/Calculation!K$20*1000</f>
        <v>7.9458030313220226E-2</v>
      </c>
      <c r="G112" s="10">
        <f t="shared" si="13"/>
        <v>186.0825124327435</v>
      </c>
    </row>
    <row r="113" spans="1:7">
      <c r="A113" s="31">
        <v>54</v>
      </c>
      <c r="B113" s="10">
        <v>18037.32</v>
      </c>
      <c r="C113" s="32">
        <f t="shared" si="10"/>
        <v>18.037320000000001</v>
      </c>
      <c r="D113" s="10">
        <f t="shared" si="11"/>
        <v>1.2608086680000004</v>
      </c>
      <c r="E113" s="10">
        <f t="shared" si="12"/>
        <v>5.6286101250000019E-2</v>
      </c>
      <c r="F113" s="10">
        <f>E113/Calculation!K$21*1000</f>
        <v>8.1997047670507736E-2</v>
      </c>
      <c r="G113" s="10">
        <f t="shared" si="13"/>
        <v>188.50433860249942</v>
      </c>
    </row>
    <row r="114" spans="1:7">
      <c r="A114" s="31">
        <v>54.5</v>
      </c>
      <c r="B114" s="10">
        <v>17918.91</v>
      </c>
      <c r="C114" s="32">
        <f t="shared" si="10"/>
        <v>17.91891</v>
      </c>
      <c r="D114" s="10">
        <f t="shared" si="11"/>
        <v>1.2525318090000002</v>
      </c>
      <c r="E114" s="10">
        <f t="shared" si="12"/>
        <v>5.5916598616071442E-2</v>
      </c>
      <c r="F114" s="10">
        <f>E114/Calculation!K$21*1000</f>
        <v>8.1458759808748629E-2</v>
      </c>
      <c r="G114" s="10">
        <f t="shared" si="13"/>
        <v>190.95617571468827</v>
      </c>
    </row>
    <row r="115" spans="1:7">
      <c r="A115" s="31">
        <v>55</v>
      </c>
      <c r="B115" s="10">
        <v>17630.259999999998</v>
      </c>
      <c r="C115" s="32">
        <f t="shared" si="10"/>
        <v>17.63026</v>
      </c>
      <c r="D115" s="10">
        <f t="shared" si="11"/>
        <v>1.2323551740000001</v>
      </c>
      <c r="E115" s="10">
        <f t="shared" si="12"/>
        <v>5.5015855982142862E-2</v>
      </c>
      <c r="F115" s="10">
        <f>E115/Calculation!K$21*1000</f>
        <v>8.0146566655326032E-2</v>
      </c>
      <c r="G115" s="10">
        <f t="shared" si="13"/>
        <v>193.3802556116494</v>
      </c>
    </row>
    <row r="116" spans="1:7">
      <c r="A116" s="31">
        <v>55.5</v>
      </c>
      <c r="B116" s="10">
        <v>17235.07</v>
      </c>
      <c r="C116" s="32">
        <f t="shared" si="10"/>
        <v>17.23507</v>
      </c>
      <c r="D116" s="10">
        <f t="shared" si="11"/>
        <v>1.2047313930000003</v>
      </c>
      <c r="E116" s="10">
        <f t="shared" si="12"/>
        <v>5.3782651473214302E-2</v>
      </c>
      <c r="F116" s="10">
        <f>E116/Calculation!K$21*1000</f>
        <v>7.8350046259341069E-2</v>
      </c>
      <c r="G116" s="10">
        <f t="shared" si="13"/>
        <v>195.7577048053694</v>
      </c>
    </row>
    <row r="117" spans="1:7">
      <c r="A117" s="31">
        <v>56</v>
      </c>
      <c r="B117" s="10">
        <v>16751.580000000002</v>
      </c>
      <c r="C117" s="32">
        <f t="shared" si="10"/>
        <v>16.751580000000001</v>
      </c>
      <c r="D117" s="10">
        <f t="shared" si="11"/>
        <v>1.1709354420000002</v>
      </c>
      <c r="E117" s="10">
        <f t="shared" si="12"/>
        <v>5.2273903660714299E-2</v>
      </c>
      <c r="F117" s="10">
        <f>E117/Calculation!K$21*1000</f>
        <v>7.6152117044900464E-2</v>
      </c>
      <c r="G117" s="10">
        <f t="shared" si="13"/>
        <v>198.07523725493303</v>
      </c>
    </row>
    <row r="118" spans="1:7">
      <c r="A118" s="31">
        <v>56.5</v>
      </c>
      <c r="B118" s="10">
        <v>16405.89</v>
      </c>
      <c r="C118" s="32">
        <f t="shared" si="10"/>
        <v>16.405889999999999</v>
      </c>
      <c r="D118" s="10">
        <f t="shared" si="11"/>
        <v>1.146771711</v>
      </c>
      <c r="E118" s="10">
        <f t="shared" si="12"/>
        <v>5.1195165669642856E-2</v>
      </c>
      <c r="F118" s="10">
        <f>E118/Calculation!K$21*1000</f>
        <v>7.4580621977494752E-2</v>
      </c>
      <c r="G118" s="10">
        <f t="shared" si="13"/>
        <v>200.33622834026895</v>
      </c>
    </row>
    <row r="119" spans="1:7">
      <c r="A119" s="31">
        <v>57</v>
      </c>
      <c r="B119" s="10">
        <v>15956.85</v>
      </c>
      <c r="C119" s="32">
        <f t="shared" si="10"/>
        <v>15.956850000000001</v>
      </c>
      <c r="D119" s="10">
        <f t="shared" si="11"/>
        <v>1.1153838150000002</v>
      </c>
      <c r="E119" s="10">
        <f t="shared" si="12"/>
        <v>4.979392031250001E-2</v>
      </c>
      <c r="F119" s="10">
        <f>E119/Calculation!K$21*1000</f>
        <v>7.2539301299812897E-2</v>
      </c>
      <c r="G119" s="10">
        <f t="shared" si="13"/>
        <v>202.54302718942856</v>
      </c>
    </row>
    <row r="120" spans="1:7">
      <c r="A120" s="31">
        <v>57.5</v>
      </c>
      <c r="B120" s="10">
        <v>15604.31</v>
      </c>
      <c r="C120" s="32">
        <f t="shared" si="10"/>
        <v>15.60431</v>
      </c>
      <c r="D120" s="10">
        <f t="shared" si="11"/>
        <v>1.090741269</v>
      </c>
      <c r="E120" s="10">
        <f t="shared" si="12"/>
        <v>4.8693806651785715E-2</v>
      </c>
      <c r="F120" s="10">
        <f>E120/Calculation!K$21*1000</f>
        <v>7.0936666363704812E-2</v>
      </c>
      <c r="G120" s="10">
        <f t="shared" si="13"/>
        <v>204.69516670438134</v>
      </c>
    </row>
    <row r="121" spans="1:7">
      <c r="A121" s="31">
        <v>58</v>
      </c>
      <c r="B121" s="10">
        <v>15363.82</v>
      </c>
      <c r="C121" s="32">
        <f t="shared" si="10"/>
        <v>15.36382</v>
      </c>
      <c r="D121" s="10">
        <f t="shared" si="11"/>
        <v>1.0739310180000001</v>
      </c>
      <c r="E121" s="10">
        <f t="shared" si="12"/>
        <v>4.7943349017857149E-2</v>
      </c>
      <c r="F121" s="10">
        <f>E121/Calculation!K$21*1000</f>
        <v>6.9843406944108108E-2</v>
      </c>
      <c r="G121" s="10">
        <f t="shared" si="13"/>
        <v>206.80686780399853</v>
      </c>
    </row>
    <row r="122" spans="1:7">
      <c r="A122" s="31">
        <v>58.5</v>
      </c>
      <c r="B122" s="10">
        <v>14936.19</v>
      </c>
      <c r="C122" s="32">
        <f t="shared" si="10"/>
        <v>14.93619</v>
      </c>
      <c r="D122" s="10">
        <f t="shared" si="11"/>
        <v>1.0440396810000001</v>
      </c>
      <c r="E122" s="10">
        <f t="shared" si="12"/>
        <v>4.6608914330357153E-2</v>
      </c>
      <c r="F122" s="10">
        <f>E122/Calculation!K$21*1000</f>
        <v>6.789941540349459E-2</v>
      </c>
      <c r="G122" s="10">
        <f t="shared" si="13"/>
        <v>208.87301013921257</v>
      </c>
    </row>
    <row r="123" spans="1:7">
      <c r="A123" s="31">
        <v>59</v>
      </c>
      <c r="B123" s="10">
        <v>14627.46</v>
      </c>
      <c r="C123" s="32">
        <f t="shared" si="10"/>
        <v>14.627459999999999</v>
      </c>
      <c r="D123" s="10">
        <f t="shared" si="11"/>
        <v>1.022459454</v>
      </c>
      <c r="E123" s="10">
        <f t="shared" si="12"/>
        <v>4.5645511339285717E-2</v>
      </c>
      <c r="F123" s="10">
        <f>E123/Calculation!K$21*1000</f>
        <v>6.6495939248094771E-2</v>
      </c>
      <c r="G123" s="10">
        <f t="shared" si="13"/>
        <v>210.88894045898641</v>
      </c>
    </row>
    <row r="124" spans="1:7">
      <c r="A124" s="31">
        <v>59.5</v>
      </c>
      <c r="B124" s="10">
        <v>13349.59</v>
      </c>
      <c r="C124" s="32">
        <f t="shared" si="10"/>
        <v>13.349590000000001</v>
      </c>
      <c r="D124" s="10">
        <f t="shared" si="11"/>
        <v>0.9331363410000002</v>
      </c>
      <c r="E124" s="10">
        <f t="shared" si="12"/>
        <v>4.1657872366071443E-2</v>
      </c>
      <c r="F124" s="10">
        <f>E124/Calculation!K$21*1000</f>
        <v>6.0686785376748507E-2</v>
      </c>
      <c r="G124" s="10">
        <f t="shared" si="13"/>
        <v>212.79668132835906</v>
      </c>
    </row>
    <row r="125" spans="1:7">
      <c r="A125" s="31">
        <v>60</v>
      </c>
      <c r="B125" s="10">
        <v>13855.65</v>
      </c>
      <c r="C125" s="32">
        <f t="shared" si="10"/>
        <v>13.855649999999999</v>
      </c>
      <c r="D125" s="10">
        <f t="shared" si="11"/>
        <v>0.96850993500000004</v>
      </c>
      <c r="E125" s="10">
        <f t="shared" si="12"/>
        <v>4.3237050669642861E-2</v>
      </c>
      <c r="F125" s="10">
        <f>E125/Calculation!K$21*1000</f>
        <v>6.298731704908879E-2</v>
      </c>
      <c r="G125" s="10">
        <f t="shared" si="13"/>
        <v>214.65179286474662</v>
      </c>
    </row>
    <row r="126" spans="1:7">
      <c r="A126" s="31">
        <v>60.5</v>
      </c>
      <c r="B126" s="10">
        <v>13410.29</v>
      </c>
      <c r="C126" s="32">
        <f t="shared" si="10"/>
        <v>13.410290000000002</v>
      </c>
      <c r="D126" s="10">
        <f t="shared" si="11"/>
        <v>0.93737927100000018</v>
      </c>
      <c r="E126" s="10">
        <f t="shared" si="12"/>
        <v>4.1847288883928579E-2</v>
      </c>
      <c r="F126" s="10">
        <f>E126/Calculation!K$21*1000</f>
        <v>6.0962725527147772E-2</v>
      </c>
      <c r="G126" s="10">
        <f t="shared" si="13"/>
        <v>216.51104350339017</v>
      </c>
    </row>
    <row r="127" spans="1:7">
      <c r="A127" s="31">
        <v>61</v>
      </c>
      <c r="B127" s="10">
        <v>13095.05</v>
      </c>
      <c r="C127" s="32">
        <f t="shared" si="10"/>
        <v>13.095049999999999</v>
      </c>
      <c r="D127" s="10">
        <f t="shared" si="11"/>
        <v>0.91534399499999997</v>
      </c>
      <c r="E127" s="10">
        <f t="shared" si="12"/>
        <v>4.0863571205357142E-2</v>
      </c>
      <c r="F127" s="10">
        <f>E127/Calculation!K$21*1000</f>
        <v>5.9529655131565114E-2</v>
      </c>
      <c r="G127" s="10">
        <f t="shared" si="13"/>
        <v>218.31842921327086</v>
      </c>
    </row>
    <row r="128" spans="1:7">
      <c r="A128" s="31">
        <v>61.5</v>
      </c>
      <c r="B128" s="10">
        <v>12694.01</v>
      </c>
      <c r="C128" s="32">
        <f t="shared" si="10"/>
        <v>12.69401</v>
      </c>
      <c r="D128" s="10">
        <f t="shared" si="11"/>
        <v>0.88731129900000005</v>
      </c>
      <c r="E128" s="10">
        <f t="shared" si="12"/>
        <v>3.9612111562500003E-2</v>
      </c>
      <c r="F128" s="10">
        <f>E128/Calculation!K$21*1000</f>
        <v>5.7706540833111664E-2</v>
      </c>
      <c r="G128" s="10">
        <f t="shared" si="13"/>
        <v>220.07697215274101</v>
      </c>
    </row>
    <row r="129" spans="1:7">
      <c r="A129" s="31">
        <v>62</v>
      </c>
      <c r="B129" s="10">
        <v>12453.01</v>
      </c>
      <c r="C129" s="32">
        <f t="shared" si="10"/>
        <v>12.453010000000001</v>
      </c>
      <c r="D129" s="10">
        <f t="shared" si="11"/>
        <v>0.87046539900000008</v>
      </c>
      <c r="E129" s="10">
        <f t="shared" si="12"/>
        <v>3.8860062455357149E-2</v>
      </c>
      <c r="F129" s="10">
        <f>E129/Calculation!K$21*1000</f>
        <v>5.6610962970735638E-2</v>
      </c>
      <c r="G129" s="10">
        <f t="shared" si="13"/>
        <v>221.7917347097987</v>
      </c>
    </row>
    <row r="130" spans="1:7">
      <c r="A130" s="31">
        <v>62.5</v>
      </c>
      <c r="B130" s="10">
        <v>11961.16</v>
      </c>
      <c r="C130" s="32">
        <f t="shared" si="10"/>
        <v>11.96116</v>
      </c>
      <c r="D130" s="10">
        <f t="shared" si="11"/>
        <v>0.83608508400000003</v>
      </c>
      <c r="E130" s="10">
        <f t="shared" si="12"/>
        <v>3.7325226964285717E-2</v>
      </c>
      <c r="F130" s="10">
        <f>E130/Calculation!K$21*1000</f>
        <v>5.4375029478579417E-2</v>
      </c>
      <c r="G130" s="10">
        <f t="shared" si="13"/>
        <v>223.45652459653843</v>
      </c>
    </row>
    <row r="131" spans="1:7">
      <c r="A131" s="31">
        <v>63</v>
      </c>
      <c r="B131" s="10">
        <v>11486.87</v>
      </c>
      <c r="C131" s="32">
        <f t="shared" si="10"/>
        <v>11.486870000000001</v>
      </c>
      <c r="D131" s="10">
        <f t="shared" si="11"/>
        <v>0.80293221300000017</v>
      </c>
      <c r="E131" s="10">
        <f t="shared" si="12"/>
        <v>3.5845188080357152E-2</v>
      </c>
      <c r="F131" s="10">
        <f>E131/Calculation!K$21*1000</f>
        <v>5.2218923153490936E-2</v>
      </c>
      <c r="G131" s="10">
        <f t="shared" si="13"/>
        <v>225.05543388601947</v>
      </c>
    </row>
    <row r="132" spans="1:7">
      <c r="A132" s="31">
        <v>63.5</v>
      </c>
      <c r="B132" s="10">
        <v>11026.79</v>
      </c>
      <c r="C132" s="32">
        <f t="shared" si="10"/>
        <v>11.02679</v>
      </c>
      <c r="D132" s="10">
        <f t="shared" si="11"/>
        <v>0.7707726210000001</v>
      </c>
      <c r="E132" s="10">
        <f t="shared" si="12"/>
        <v>3.440949200892858E-2</v>
      </c>
      <c r="F132" s="10">
        <f>E132/Calculation!K$21*1000</f>
        <v>5.0127415008586529E-2</v>
      </c>
      <c r="G132" s="10">
        <f t="shared" si="13"/>
        <v>226.59062895845062</v>
      </c>
    </row>
    <row r="133" spans="1:7">
      <c r="A133" s="31">
        <v>64</v>
      </c>
      <c r="B133" s="10">
        <v>10580.43</v>
      </c>
      <c r="C133" s="32">
        <f t="shared" si="10"/>
        <v>10.58043</v>
      </c>
      <c r="D133" s="10">
        <f t="shared" si="11"/>
        <v>0.73957205700000006</v>
      </c>
      <c r="E133" s="10">
        <f t="shared" si="12"/>
        <v>3.3016609687500004E-2</v>
      </c>
      <c r="F133" s="10">
        <f>E133/Calculation!K$21*1000</f>
        <v>4.809827752041157E-2</v>
      </c>
      <c r="G133" s="10">
        <f t="shared" si="13"/>
        <v>228.06401434638559</v>
      </c>
    </row>
    <row r="134" spans="1:7">
      <c r="A134" s="31">
        <v>64.5</v>
      </c>
      <c r="B134" s="10">
        <v>10181.73</v>
      </c>
      <c r="C134" s="32">
        <f t="shared" si="10"/>
        <v>10.18173</v>
      </c>
      <c r="D134" s="10">
        <f t="shared" si="11"/>
        <v>0.71170292700000004</v>
      </c>
      <c r="E134" s="10">
        <f t="shared" si="12"/>
        <v>3.1772452098214291E-2</v>
      </c>
      <c r="F134" s="10">
        <f>E134/Calculation!K$21*1000</f>
        <v>4.6285800782945502E-2</v>
      </c>
      <c r="G134" s="10">
        <f t="shared" si="13"/>
        <v>229.47977552093596</v>
      </c>
    </row>
    <row r="135" spans="1:7">
      <c r="A135" s="31">
        <v>65</v>
      </c>
      <c r="B135" s="10">
        <v>9745.4</v>
      </c>
      <c r="C135" s="32">
        <f t="shared" si="10"/>
        <v>9.7454000000000001</v>
      </c>
      <c r="D135" s="10">
        <f t="shared" si="11"/>
        <v>0.68120345999999998</v>
      </c>
      <c r="E135" s="10">
        <f t="shared" si="12"/>
        <v>3.041086875E-2</v>
      </c>
      <c r="F135" s="10">
        <f>E135/Calculation!K$21*1000</f>
        <v>4.4302259336096821E-2</v>
      </c>
      <c r="G135" s="10">
        <f t="shared" si="13"/>
        <v>230.83859642272159</v>
      </c>
    </row>
    <row r="136" spans="1:7">
      <c r="A136" s="31">
        <v>65.5</v>
      </c>
      <c r="B136" s="10">
        <v>9284.49</v>
      </c>
      <c r="C136" s="32">
        <f t="shared" si="10"/>
        <v>9.2844899999999999</v>
      </c>
      <c r="D136" s="10">
        <f t="shared" si="11"/>
        <v>0.64898585100000006</v>
      </c>
      <c r="E136" s="10">
        <f t="shared" si="12"/>
        <v>2.8972582633928576E-2</v>
      </c>
      <c r="F136" s="10">
        <f>E136/Calculation!K$21*1000</f>
        <v>4.220697803921826E-2</v>
      </c>
      <c r="G136" s="10">
        <f t="shared" si="13"/>
        <v>232.13623498335133</v>
      </c>
    </row>
    <row r="137" spans="1:7">
      <c r="A137" s="31">
        <v>66</v>
      </c>
      <c r="B137" s="10">
        <v>8743.2999999999993</v>
      </c>
      <c r="C137" s="32">
        <f t="shared" si="10"/>
        <v>8.7432999999999996</v>
      </c>
      <c r="D137" s="10">
        <f t="shared" si="11"/>
        <v>0.61115666999999996</v>
      </c>
      <c r="E137" s="10">
        <f t="shared" si="12"/>
        <v>2.7283779910714286E-2</v>
      </c>
      <c r="F137" s="10">
        <f>E137/Calculation!K$21*1000</f>
        <v>3.9746746573080152E-2</v>
      </c>
      <c r="G137" s="10">
        <f t="shared" si="13"/>
        <v>233.36554085253582</v>
      </c>
    </row>
    <row r="138" spans="1:7">
      <c r="A138" s="31">
        <v>66.5</v>
      </c>
      <c r="B138" s="10">
        <v>8142.41</v>
      </c>
      <c r="C138" s="32">
        <f t="shared" si="10"/>
        <v>8.1424099999999999</v>
      </c>
      <c r="D138" s="10">
        <f t="shared" si="11"/>
        <v>0.56915445899999995</v>
      </c>
      <c r="E138" s="10">
        <f t="shared" si="12"/>
        <v>2.5408681205357143E-2</v>
      </c>
      <c r="F138" s="10">
        <f>E138/Calculation!K$21*1000</f>
        <v>3.7015120922776708E-2</v>
      </c>
      <c r="G138" s="10">
        <f t="shared" si="13"/>
        <v>234.51696886497368</v>
      </c>
    </row>
    <row r="139" spans="1:7">
      <c r="A139" s="31">
        <v>67</v>
      </c>
      <c r="B139" s="10">
        <v>7516.76</v>
      </c>
      <c r="C139" s="32">
        <f t="shared" si="10"/>
        <v>7.5167600000000006</v>
      </c>
      <c r="D139" s="10">
        <f t="shared" si="11"/>
        <v>0.52542152400000008</v>
      </c>
      <c r="E139" s="10">
        <f t="shared" si="12"/>
        <v>2.3456318035714289E-2</v>
      </c>
      <c r="F139" s="10">
        <f>E139/Calculation!K$21*1000</f>
        <v>3.417093714852127E-2</v>
      </c>
      <c r="G139" s="10">
        <f t="shared" si="13"/>
        <v>235.58475973604314</v>
      </c>
    </row>
    <row r="140" spans="1:7">
      <c r="A140" s="31">
        <v>67.5</v>
      </c>
      <c r="B140" s="10">
        <v>6802.81</v>
      </c>
      <c r="C140" s="32">
        <f t="shared" si="10"/>
        <v>6.80281</v>
      </c>
      <c r="D140" s="10">
        <f t="shared" si="11"/>
        <v>0.47551641900000008</v>
      </c>
      <c r="E140" s="10">
        <f t="shared" si="12"/>
        <v>2.1228411562500004E-2</v>
      </c>
      <c r="F140" s="10">
        <f>E140/Calculation!K$21*1000</f>
        <v>3.0925344555810214E-2</v>
      </c>
      <c r="G140" s="10">
        <f t="shared" si="13"/>
        <v>236.5612039616081</v>
      </c>
    </row>
    <row r="141" spans="1:7">
      <c r="A141" s="31">
        <v>68</v>
      </c>
      <c r="B141" s="10">
        <v>5957.42</v>
      </c>
      <c r="C141" s="32">
        <f t="shared" si="10"/>
        <v>5.9574199999999999</v>
      </c>
      <c r="D141" s="10">
        <f t="shared" si="11"/>
        <v>0.41642365800000003</v>
      </c>
      <c r="E141" s="10">
        <f t="shared" si="12"/>
        <v>1.8590341875000003E-2</v>
      </c>
      <c r="F141" s="10">
        <f>E141/Calculation!K$21*1000</f>
        <v>2.7082230161311997E-2</v>
      </c>
      <c r="G141" s="10">
        <f t="shared" si="13"/>
        <v>237.43131758236493</v>
      </c>
    </row>
    <row r="142" spans="1:7">
      <c r="A142" s="31">
        <v>68.5</v>
      </c>
      <c r="B142" s="10">
        <v>5127.41</v>
      </c>
      <c r="C142" s="32">
        <f t="shared" si="10"/>
        <v>5.1274100000000002</v>
      </c>
      <c r="D142" s="10">
        <f t="shared" si="11"/>
        <v>0.35840595900000005</v>
      </c>
      <c r="E142" s="10">
        <f t="shared" si="12"/>
        <v>1.6000266026785719E-2</v>
      </c>
      <c r="F142" s="10">
        <f>E142/Calculation!K$21*1000</f>
        <v>2.330903272749156E-2</v>
      </c>
      <c r="G142" s="10">
        <f t="shared" si="13"/>
        <v>238.18718652569697</v>
      </c>
    </row>
    <row r="143" spans="1:7">
      <c r="A143" s="31">
        <v>69</v>
      </c>
      <c r="B143" s="10">
        <v>4137.18</v>
      </c>
      <c r="C143" s="32">
        <f t="shared" si="10"/>
        <v>4.1371799999999999</v>
      </c>
      <c r="D143" s="10">
        <f t="shared" si="11"/>
        <v>0.28918888200000004</v>
      </c>
      <c r="E143" s="10">
        <f t="shared" si="12"/>
        <v>1.2910217946428574E-2</v>
      </c>
      <c r="F143" s="10">
        <f>E143/Calculation!K$21*1000</f>
        <v>1.8807480583671585E-2</v>
      </c>
      <c r="G143" s="10">
        <f t="shared" si="13"/>
        <v>238.81893422536442</v>
      </c>
    </row>
    <row r="144" spans="1:7">
      <c r="A144" s="31">
        <v>69.5</v>
      </c>
      <c r="B144" s="10">
        <v>3175.55</v>
      </c>
      <c r="C144" s="32">
        <f t="shared" si="10"/>
        <v>3.1755500000000003</v>
      </c>
      <c r="D144" s="10">
        <f t="shared" si="11"/>
        <v>0.22197094500000006</v>
      </c>
      <c r="E144" s="10">
        <f t="shared" si="12"/>
        <v>9.9094171875000036E-3</v>
      </c>
      <c r="F144" s="10">
        <f>E144/Calculation!K$21*1000</f>
        <v>1.4435943074141883E-2</v>
      </c>
      <c r="G144" s="10">
        <f t="shared" si="13"/>
        <v>239.31758558023162</v>
      </c>
    </row>
    <row r="145" spans="1:7">
      <c r="A145" s="31">
        <v>70</v>
      </c>
      <c r="B145" s="10">
        <v>2265.1</v>
      </c>
      <c r="C145" s="32">
        <f t="shared" si="10"/>
        <v>2.2650999999999999</v>
      </c>
      <c r="D145" s="10">
        <f t="shared" si="11"/>
        <v>0.15833049000000002</v>
      </c>
      <c r="E145" s="10">
        <f t="shared" si="12"/>
        <v>7.0683254464285724E-3</v>
      </c>
      <c r="F145" s="10">
        <f>E145/Calculation!K$21*1000</f>
        <v>1.0297068116464476E-2</v>
      </c>
      <c r="G145" s="10">
        <f t="shared" si="13"/>
        <v>239.68858074809071</v>
      </c>
    </row>
    <row r="146" spans="1:7">
      <c r="A146" s="31">
        <v>70.5</v>
      </c>
      <c r="B146" s="10">
        <v>1616.37</v>
      </c>
      <c r="C146" s="32">
        <f t="shared" si="10"/>
        <v>1.6163699999999999</v>
      </c>
      <c r="D146" s="10">
        <f t="shared" si="11"/>
        <v>0.11298426299999999</v>
      </c>
      <c r="E146" s="10">
        <f t="shared" si="12"/>
        <v>5.0439403125000001E-3</v>
      </c>
      <c r="F146" s="10">
        <f>E146/Calculation!K$21*1000</f>
        <v>7.3479634415300364E-3</v>
      </c>
      <c r="G146" s="10">
        <f t="shared" si="13"/>
        <v>239.95325622146063</v>
      </c>
    </row>
    <row r="147" spans="1:7">
      <c r="A147" s="31">
        <v>71</v>
      </c>
      <c r="B147" s="10">
        <v>1126.3599999999999</v>
      </c>
      <c r="C147" s="32">
        <f t="shared" si="10"/>
        <v>1.1263599999999998</v>
      </c>
      <c r="D147" s="10">
        <f t="shared" si="11"/>
        <v>7.8732563999999991E-2</v>
      </c>
      <c r="E147" s="10">
        <f t="shared" si="12"/>
        <v>3.5148466071428571E-3</v>
      </c>
      <c r="F147" s="10">
        <f>E147/Calculation!K$21*1000</f>
        <v>5.1203945272442399E-3</v>
      </c>
      <c r="G147" s="10">
        <f t="shared" si="13"/>
        <v>240.14028159099226</v>
      </c>
    </row>
    <row r="148" spans="1:7">
      <c r="A148" s="31">
        <v>71.5</v>
      </c>
      <c r="B148" s="10">
        <v>822.32</v>
      </c>
      <c r="C148" s="32">
        <f t="shared" si="10"/>
        <v>0.82232000000000005</v>
      </c>
      <c r="D148" s="10">
        <f t="shared" si="11"/>
        <v>5.7480168000000012E-2</v>
      </c>
      <c r="E148" s="10">
        <f t="shared" si="12"/>
        <v>2.5660789285714292E-3</v>
      </c>
      <c r="F148" s="10">
        <f>E148/Calculation!K$21*1000</f>
        <v>3.7382389534815551E-3</v>
      </c>
      <c r="G148" s="10">
        <f t="shared" si="13"/>
        <v>240.27316109320316</v>
      </c>
    </row>
    <row r="149" spans="1:7">
      <c r="A149" s="31">
        <v>72</v>
      </c>
      <c r="B149" s="10">
        <v>609.91999999999996</v>
      </c>
      <c r="C149" s="32">
        <f t="shared" si="10"/>
        <v>0.60991999999999991</v>
      </c>
      <c r="D149" s="10">
        <f t="shared" si="11"/>
        <v>4.2633407999999998E-2</v>
      </c>
      <c r="E149" s="10">
        <f t="shared" si="12"/>
        <v>1.9032771428571429E-3</v>
      </c>
      <c r="F149" s="10">
        <f>E149/Calculation!K$22*1000</f>
        <v>3.0099946177263898E-3</v>
      </c>
      <c r="G149" s="10">
        <f t="shared" si="13"/>
        <v>240.37438459677128</v>
      </c>
    </row>
    <row r="150" spans="1:7">
      <c r="A150" s="31">
        <v>72.5</v>
      </c>
      <c r="B150" s="10">
        <v>476.47</v>
      </c>
      <c r="C150" s="32">
        <f t="shared" si="10"/>
        <v>0.47647</v>
      </c>
      <c r="D150" s="10">
        <f t="shared" si="11"/>
        <v>3.3305253E-2</v>
      </c>
      <c r="E150" s="10">
        <f t="shared" si="12"/>
        <v>1.4868416517857144E-3</v>
      </c>
      <c r="F150" s="10">
        <f>E150/Calculation!K$22*1000</f>
        <v>2.3514102431599114E-3</v>
      </c>
      <c r="G150" s="10">
        <f t="shared" si="13"/>
        <v>240.45480566968456</v>
      </c>
    </row>
    <row r="151" spans="1:7">
      <c r="A151" s="31">
        <v>73</v>
      </c>
      <c r="B151" s="10">
        <v>395.35</v>
      </c>
      <c r="C151" s="32">
        <f t="shared" si="10"/>
        <v>0.39535000000000003</v>
      </c>
      <c r="D151" s="10">
        <f t="shared" si="11"/>
        <v>2.7634965000000004E-2</v>
      </c>
      <c r="E151" s="10">
        <f t="shared" si="12"/>
        <v>1.2337037946428574E-3</v>
      </c>
      <c r="F151" s="10">
        <f>E151/Calculation!K$22*1000</f>
        <v>1.9510778005609401E-3</v>
      </c>
      <c r="G151" s="10">
        <f t="shared" si="13"/>
        <v>240.51934299034036</v>
      </c>
    </row>
    <row r="152" spans="1:7">
      <c r="A152" s="31">
        <v>73.5</v>
      </c>
      <c r="B152" s="10">
        <v>334.31</v>
      </c>
      <c r="C152" s="32">
        <f t="shared" si="10"/>
        <v>0.33431</v>
      </c>
      <c r="D152" s="10">
        <f t="shared" si="11"/>
        <v>2.3368269000000001E-2</v>
      </c>
      <c r="E152" s="10">
        <f t="shared" si="12"/>
        <v>1.0432262946428572E-3</v>
      </c>
      <c r="F152" s="10">
        <f>E152/Calculation!K$22*1000</f>
        <v>1.6498414556861711E-3</v>
      </c>
      <c r="G152" s="10">
        <f t="shared" si="13"/>
        <v>240.57335677918408</v>
      </c>
    </row>
    <row r="153" spans="1:7">
      <c r="A153" s="31">
        <v>74</v>
      </c>
      <c r="B153" s="10">
        <v>314.08</v>
      </c>
      <c r="C153" s="32">
        <f t="shared" si="10"/>
        <v>0.31407999999999997</v>
      </c>
      <c r="D153" s="10">
        <f t="shared" si="11"/>
        <v>2.1954191999999997E-2</v>
      </c>
      <c r="E153" s="10">
        <f t="shared" si="12"/>
        <v>9.8009785714285699E-4</v>
      </c>
      <c r="F153" s="10">
        <f>E153/Calculation!K$22*1000</f>
        <v>1.5500050982678129E-3</v>
      </c>
      <c r="G153" s="10">
        <f t="shared" si="13"/>
        <v>240.62135447749338</v>
      </c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R3" sqref="R3:S22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94" t="s">
        <v>40</v>
      </c>
      <c r="B1" s="94"/>
      <c r="D1" s="105" t="s">
        <v>4</v>
      </c>
      <c r="E1" s="105" t="s">
        <v>5</v>
      </c>
      <c r="F1" s="94" t="s">
        <v>129</v>
      </c>
      <c r="G1" s="94"/>
      <c r="H1" s="94"/>
      <c r="I1" s="94"/>
      <c r="J1" s="94" t="s">
        <v>41</v>
      </c>
      <c r="K1" s="94"/>
      <c r="L1" s="94"/>
      <c r="M1" s="94"/>
      <c r="N1" s="85" t="s">
        <v>42</v>
      </c>
      <c r="O1" s="86"/>
      <c r="P1" s="86"/>
      <c r="Q1" s="87"/>
      <c r="R1" s="94" t="s">
        <v>64</v>
      </c>
      <c r="S1" s="94"/>
      <c r="T1" s="94"/>
      <c r="U1" s="94"/>
    </row>
    <row r="2" spans="1:21">
      <c r="A2" s="94" t="s">
        <v>34</v>
      </c>
      <c r="B2" s="94"/>
      <c r="D2" s="105"/>
      <c r="E2" s="105"/>
      <c r="F2" s="12" t="s">
        <v>47</v>
      </c>
      <c r="G2" s="12" t="s">
        <v>23</v>
      </c>
      <c r="H2" s="12" t="s">
        <v>47</v>
      </c>
      <c r="I2" s="12" t="s">
        <v>23</v>
      </c>
      <c r="J2" s="12" t="s">
        <v>47</v>
      </c>
      <c r="K2" s="12" t="s">
        <v>23</v>
      </c>
      <c r="L2" s="12" t="s">
        <v>47</v>
      </c>
      <c r="M2" s="12" t="s">
        <v>23</v>
      </c>
      <c r="N2" s="12" t="s">
        <v>47</v>
      </c>
      <c r="O2" s="12" t="s">
        <v>23</v>
      </c>
      <c r="P2" s="12" t="s">
        <v>47</v>
      </c>
      <c r="Q2" s="12" t="s">
        <v>23</v>
      </c>
      <c r="R2" s="12" t="s">
        <v>47</v>
      </c>
      <c r="S2" s="12" t="s">
        <v>23</v>
      </c>
      <c r="T2" s="12" t="s">
        <v>47</v>
      </c>
      <c r="U2" s="12" t="s">
        <v>23</v>
      </c>
    </row>
    <row r="3" spans="1:21">
      <c r="A3" s="94" t="s">
        <v>35</v>
      </c>
      <c r="B3" s="12" t="s">
        <v>37</v>
      </c>
      <c r="D3" s="47" t="s">
        <v>6</v>
      </c>
      <c r="E3" s="59">
        <v>0</v>
      </c>
      <c r="F3" s="11">
        <v>0</v>
      </c>
      <c r="G3" s="11">
        <v>0</v>
      </c>
      <c r="H3" s="11">
        <f>F3*Calculation!I3/Calculation!F25</f>
        <v>0</v>
      </c>
      <c r="I3" s="11">
        <f>G3*Calculation!I3/Calculation!F25</f>
        <v>0</v>
      </c>
      <c r="J3" s="11">
        <v>0</v>
      </c>
      <c r="K3" s="11">
        <v>0</v>
      </c>
      <c r="L3" s="11">
        <f>J3*Calculation!I3/Calculation!F25</f>
        <v>0</v>
      </c>
      <c r="M3" s="11">
        <f>K3*Calculation!I3/Calculation!F25</f>
        <v>0</v>
      </c>
      <c r="N3" s="11">
        <v>1.9095198445739661</v>
      </c>
      <c r="O3" s="11">
        <v>0.22175947105676586</v>
      </c>
      <c r="P3" s="11">
        <f>N3*Calculation!I3/Calculation!F25</f>
        <v>1.9107928578036821</v>
      </c>
      <c r="Q3" s="11">
        <f>O3*Calculation!I3/Calculation!F25</f>
        <v>0.22190731070413702</v>
      </c>
      <c r="R3" s="11">
        <v>290.88275762184082</v>
      </c>
      <c r="S3" s="11">
        <v>2.1856362703565422</v>
      </c>
      <c r="T3" s="11">
        <f>R3*Calculation!I3/Calculation!F25</f>
        <v>291.07667946025538</v>
      </c>
      <c r="U3" s="11">
        <f>S3*Calculation!I3/Calculation!F25</f>
        <v>2.1870933612034467</v>
      </c>
    </row>
    <row r="4" spans="1:21">
      <c r="A4" s="94"/>
      <c r="B4" s="12" t="s">
        <v>38</v>
      </c>
      <c r="D4" s="49">
        <v>0</v>
      </c>
      <c r="E4" s="69">
        <v>0</v>
      </c>
      <c r="F4" s="11">
        <v>0</v>
      </c>
      <c r="G4" s="11">
        <v>0</v>
      </c>
      <c r="H4" s="11">
        <f>F4*Calculation!I4/Calculation!K3</f>
        <v>0</v>
      </c>
      <c r="I4" s="11">
        <f>G4*Calculation!I4/Calculation!K3</f>
        <v>0</v>
      </c>
      <c r="J4" s="11">
        <v>0</v>
      </c>
      <c r="K4" s="11">
        <v>0</v>
      </c>
      <c r="L4" s="11">
        <f>J4*Calculation!I4/Calculation!K3</f>
        <v>0</v>
      </c>
      <c r="M4" s="11">
        <f>K4*Calculation!I4/Calculation!K3</f>
        <v>0</v>
      </c>
      <c r="N4" s="11">
        <v>2.0982514571190674</v>
      </c>
      <c r="O4" s="11">
        <v>5.7686954456915206E-2</v>
      </c>
      <c r="P4" s="11">
        <f>N4*Calculation!I4/Calculation!K3</f>
        <v>2.099581497796756</v>
      </c>
      <c r="Q4" s="11">
        <f>O4*Calculation!I4/Calculation!K3</f>
        <v>5.7723521092310284E-2</v>
      </c>
      <c r="R4" s="11">
        <v>293.06973712796002</v>
      </c>
      <c r="S4" s="11">
        <v>1.0124857873326953</v>
      </c>
      <c r="T4" s="11">
        <f>R4*Calculation!I4/Calculation!K3</f>
        <v>293.2555083187566</v>
      </c>
      <c r="U4" s="11">
        <f>S4*Calculation!I4/Calculation!K3</f>
        <v>1.0131275823273636</v>
      </c>
    </row>
    <row r="5" spans="1:21">
      <c r="A5" s="13" t="s">
        <v>39</v>
      </c>
      <c r="B5" s="13">
        <v>180.16</v>
      </c>
      <c r="D5" s="49">
        <v>1</v>
      </c>
      <c r="E5" s="69">
        <v>2</v>
      </c>
      <c r="F5" s="11">
        <v>0</v>
      </c>
      <c r="G5" s="11">
        <v>0</v>
      </c>
      <c r="H5" s="11">
        <f>F5*Calculation!I5/Calculation!K4</f>
        <v>0</v>
      </c>
      <c r="I5" s="11">
        <f>G5*Calculation!I5/Calculation!K4</f>
        <v>0</v>
      </c>
      <c r="J5" s="11">
        <v>0</v>
      </c>
      <c r="K5" s="11">
        <v>0</v>
      </c>
      <c r="L5" s="11">
        <f>J5*Calculation!I5/Calculation!K4</f>
        <v>0</v>
      </c>
      <c r="M5" s="11">
        <f>K5*Calculation!I5/Calculation!K4</f>
        <v>0</v>
      </c>
      <c r="N5" s="11">
        <v>2.2869830696641689</v>
      </c>
      <c r="O5" s="11">
        <v>0.15018317245038773</v>
      </c>
      <c r="P5" s="11">
        <f>N5*Calculation!I5/Calculation!K4</f>
        <v>2.2884327436303264</v>
      </c>
      <c r="Q5" s="11">
        <f>O5*Calculation!I5/Calculation!K4</f>
        <v>0.15027837063446886</v>
      </c>
      <c r="R5" s="11">
        <v>292.3455717285828</v>
      </c>
      <c r="S5" s="11">
        <v>0.57697398181017645</v>
      </c>
      <c r="T5" s="11">
        <f>R5*Calculation!I5/Calculation!K4</f>
        <v>292.53088388505569</v>
      </c>
      <c r="U5" s="11">
        <f>S5*Calculation!I5/Calculation!K4</f>
        <v>0.57733971436485743</v>
      </c>
    </row>
    <row r="6" spans="1:21">
      <c r="A6" s="13" t="s">
        <v>39</v>
      </c>
      <c r="B6" s="13">
        <v>180.16</v>
      </c>
      <c r="D6" s="49">
        <v>2</v>
      </c>
      <c r="E6" s="69">
        <v>3</v>
      </c>
      <c r="F6" s="11">
        <v>0</v>
      </c>
      <c r="G6" s="11">
        <v>0</v>
      </c>
      <c r="H6" s="11">
        <f>F6*Calculation!I6/Calculation!K5</f>
        <v>0</v>
      </c>
      <c r="I6" s="11">
        <f>G6*Calculation!I6/Calculation!K5</f>
        <v>0</v>
      </c>
      <c r="J6" s="11">
        <v>0</v>
      </c>
      <c r="K6" s="11">
        <v>0</v>
      </c>
      <c r="L6" s="11">
        <f>J6*Calculation!I6/Calculation!K5</f>
        <v>0</v>
      </c>
      <c r="M6" s="11">
        <f>K6*Calculation!I6/Calculation!K5</f>
        <v>0</v>
      </c>
      <c r="N6" s="11">
        <v>2.3091867887871222</v>
      </c>
      <c r="O6" s="11">
        <v>8.3817201612775297E-2</v>
      </c>
      <c r="P6" s="11">
        <f>N6*Calculation!I6/Calculation!K5</f>
        <v>2.3106505372578057</v>
      </c>
      <c r="Q6" s="11">
        <f>O6*Calculation!I6/Calculation!K5</f>
        <v>8.3870331702239426E-2</v>
      </c>
      <c r="R6" s="11">
        <v>293.51871967557389</v>
      </c>
      <c r="S6" s="11">
        <v>2.1709024496641578</v>
      </c>
      <c r="T6" s="11">
        <f>R6*Calculation!I6/Calculation!K5</f>
        <v>293.70477546765107</v>
      </c>
      <c r="U6" s="11">
        <f>S6*Calculation!I6/Calculation!K5</f>
        <v>2.1722785423891504</v>
      </c>
    </row>
    <row r="7" spans="1:21">
      <c r="A7" s="29" t="s">
        <v>102</v>
      </c>
      <c r="B7" s="29">
        <v>46.03</v>
      </c>
      <c r="D7" s="49">
        <v>3</v>
      </c>
      <c r="E7" s="69">
        <v>5</v>
      </c>
      <c r="F7" s="11">
        <v>0</v>
      </c>
      <c r="G7" s="11">
        <v>0</v>
      </c>
      <c r="H7" s="11">
        <f>F7*Calculation!I7/Calculation!K6</f>
        <v>0</v>
      </c>
      <c r="I7" s="11">
        <f>G7*Calculation!I7/Calculation!K6</f>
        <v>0</v>
      </c>
      <c r="J7" s="11">
        <v>0</v>
      </c>
      <c r="K7" s="11">
        <v>0</v>
      </c>
      <c r="L7" s="11">
        <f>J7*Calculation!I7/Calculation!K6</f>
        <v>0</v>
      </c>
      <c r="M7" s="11">
        <f>K7*Calculation!I7/Calculation!K6</f>
        <v>0</v>
      </c>
      <c r="N7" s="11">
        <v>2.3646960865945053</v>
      </c>
      <c r="O7" s="11">
        <v>3.3305578684429446E-2</v>
      </c>
      <c r="P7" s="11">
        <f>N7*Calculation!I7/Calculation!K6</f>
        <v>2.3661950213265031</v>
      </c>
      <c r="Q7" s="11">
        <f>O7*Calculation!I7/Calculation!K6</f>
        <v>3.3326690441218144E-2</v>
      </c>
      <c r="R7" s="11">
        <v>290.76689115794045</v>
      </c>
      <c r="S7" s="11">
        <v>2.5487741692048553</v>
      </c>
      <c r="T7" s="11">
        <f>R7*Calculation!I7/Calculation!K6</f>
        <v>290.95120261958766</v>
      </c>
      <c r="U7" s="11">
        <f>S7*Calculation!I7/Calculation!K6</f>
        <v>2.5503897874434518</v>
      </c>
    </row>
    <row r="8" spans="1:21">
      <c r="A8" s="13" t="s">
        <v>42</v>
      </c>
      <c r="B8" s="13">
        <v>60.05</v>
      </c>
      <c r="D8" s="49">
        <v>4</v>
      </c>
      <c r="E8" s="69">
        <v>6</v>
      </c>
      <c r="F8" s="11">
        <v>0</v>
      </c>
      <c r="G8" s="11">
        <v>0</v>
      </c>
      <c r="H8" s="11">
        <f>F8*Calculation!I8/Calculation!K7</f>
        <v>0</v>
      </c>
      <c r="I8" s="11">
        <f>G8*Calculation!I8/Calculation!K7</f>
        <v>0</v>
      </c>
      <c r="J8" s="11">
        <v>0</v>
      </c>
      <c r="K8" s="11">
        <v>0</v>
      </c>
      <c r="L8" s="11">
        <f>J8*Calculation!I8/Calculation!K7</f>
        <v>0</v>
      </c>
      <c r="M8" s="11">
        <f>K8*Calculation!I8/Calculation!K7</f>
        <v>0</v>
      </c>
      <c r="N8" s="11">
        <v>2.3868998057174577</v>
      </c>
      <c r="O8" s="11">
        <v>0.12609288583514333</v>
      </c>
      <c r="P8" s="11">
        <f>N8*Calculation!I8/Calculation!K7</f>
        <v>2.3884128149539814</v>
      </c>
      <c r="Q8" s="11">
        <f>O8*Calculation!I8/Calculation!K7</f>
        <v>0.12617281365635791</v>
      </c>
      <c r="R8" s="11">
        <v>295.12636686219128</v>
      </c>
      <c r="S8" s="11">
        <v>1.1758269821012393</v>
      </c>
      <c r="T8" s="11">
        <f>R8*Calculation!I8/Calculation!K7</f>
        <v>295.31344171046703</v>
      </c>
      <c r="U8" s="11">
        <f>S8*Calculation!I8/Calculation!K7</f>
        <v>1.1765723158937225</v>
      </c>
    </row>
    <row r="9" spans="1:21">
      <c r="A9" s="29" t="s">
        <v>66</v>
      </c>
      <c r="B9" s="29">
        <v>74.08</v>
      </c>
      <c r="D9" s="49">
        <v>5</v>
      </c>
      <c r="E9" s="69">
        <v>7</v>
      </c>
      <c r="F9" s="11">
        <v>0</v>
      </c>
      <c r="G9" s="11">
        <v>0</v>
      </c>
      <c r="H9" s="11">
        <f>F9*Calculation!I9/Calculation!K8</f>
        <v>0</v>
      </c>
      <c r="I9" s="11">
        <f>G9*Calculation!I9/Calculation!K8</f>
        <v>0</v>
      </c>
      <c r="J9" s="11">
        <v>0</v>
      </c>
      <c r="K9" s="11">
        <v>0</v>
      </c>
      <c r="L9" s="11">
        <f>J9*Calculation!I9/Calculation!K8</f>
        <v>0</v>
      </c>
      <c r="M9" s="11">
        <f>K9*Calculation!I9/Calculation!K8</f>
        <v>0</v>
      </c>
      <c r="N9" s="11">
        <v>2.0982514571190674</v>
      </c>
      <c r="O9" s="11">
        <v>0.11537390891383043</v>
      </c>
      <c r="P9" s="11">
        <f>N9*Calculation!I9/Calculation!K8</f>
        <v>2.0995814977967555</v>
      </c>
      <c r="Q9" s="11">
        <f>O9*Calculation!I9/Calculation!K8</f>
        <v>0.11544704218462055</v>
      </c>
      <c r="R9" s="11">
        <v>299.81895865015565</v>
      </c>
      <c r="S9" s="11">
        <v>0.30518223630539232</v>
      </c>
      <c r="T9" s="11">
        <f>R9*Calculation!I9/Calculation!K8</f>
        <v>300.00900804084893</v>
      </c>
      <c r="U9" s="11">
        <f>S9*Calculation!I9/Calculation!K8</f>
        <v>0.30537568537319437</v>
      </c>
    </row>
    <row r="10" spans="1:21">
      <c r="A10" s="29" t="s">
        <v>65</v>
      </c>
      <c r="B10" s="29">
        <v>88.11</v>
      </c>
      <c r="D10" s="49">
        <v>6</v>
      </c>
      <c r="E10" s="69">
        <v>9</v>
      </c>
      <c r="F10" s="11">
        <v>0</v>
      </c>
      <c r="G10" s="11">
        <v>0</v>
      </c>
      <c r="H10" s="11">
        <f>F10*Calculation!I10/Calculation!K9</f>
        <v>0</v>
      </c>
      <c r="I10" s="11">
        <f>G10*Calculation!I10/Calculation!K9</f>
        <v>0</v>
      </c>
      <c r="J10" s="11">
        <v>0</v>
      </c>
      <c r="K10" s="11">
        <v>0</v>
      </c>
      <c r="L10" s="11">
        <f>J10*Calculation!I10/Calculation!K9</f>
        <v>0</v>
      </c>
      <c r="M10" s="11">
        <f>K10*Calculation!I10/Calculation!K9</f>
        <v>0</v>
      </c>
      <c r="N10" s="11">
        <v>2.5534276991396059</v>
      </c>
      <c r="O10" s="11">
        <v>0.17091095551863075</v>
      </c>
      <c r="P10" s="11">
        <f>N10*Calculation!I10/Calculation!K9</f>
        <v>2.5550462671600727</v>
      </c>
      <c r="Q10" s="11">
        <f>O10*Calculation!I10/Calculation!K9</f>
        <v>0.17101929264015689</v>
      </c>
      <c r="R10" s="11">
        <v>294.02563545513794</v>
      </c>
      <c r="S10" s="11">
        <v>1.576819231946476</v>
      </c>
      <c r="T10" s="11">
        <f>R10*Calculation!I10/Calculation!K9</f>
        <v>294.2120125712417</v>
      </c>
      <c r="U10" s="11">
        <f>S10*Calculation!I10/Calculation!K9</f>
        <v>1.5778187469058169</v>
      </c>
    </row>
    <row r="11" spans="1:21">
      <c r="A11" s="13" t="s">
        <v>41</v>
      </c>
      <c r="B11" s="13">
        <v>90.08</v>
      </c>
      <c r="D11" s="49">
        <v>7</v>
      </c>
      <c r="E11" s="69">
        <v>10</v>
      </c>
      <c r="F11" s="11">
        <v>0</v>
      </c>
      <c r="G11" s="11">
        <v>0</v>
      </c>
      <c r="H11" s="11">
        <f>F11*Calculation!I11/Calculation!K10</f>
        <v>0</v>
      </c>
      <c r="I11" s="11">
        <f>G11*Calculation!I11/Calculation!K10</f>
        <v>0</v>
      </c>
      <c r="J11" s="11">
        <v>0</v>
      </c>
      <c r="K11" s="11">
        <v>0</v>
      </c>
      <c r="L11" s="11">
        <f>J11*Calculation!I11/Calculation!K10</f>
        <v>0</v>
      </c>
      <c r="M11" s="11">
        <f>K11*Calculation!I11/Calculation!K10</f>
        <v>0</v>
      </c>
      <c r="N11" s="11">
        <v>2.9752983624757148</v>
      </c>
      <c r="O11" s="11">
        <v>6.9331090739921233E-2</v>
      </c>
      <c r="P11" s="11">
        <f>N11*Calculation!I11/Calculation!K10</f>
        <v>2.9771843460821721</v>
      </c>
      <c r="Q11" s="11">
        <f>O11*Calculation!I11/Calculation!K10</f>
        <v>6.9375038366217265E-2</v>
      </c>
      <c r="R11" s="11">
        <v>293.21457020783549</v>
      </c>
      <c r="S11" s="11">
        <v>2.5640364263838671</v>
      </c>
      <c r="T11" s="11">
        <f>R11*Calculation!I11/Calculation!K10</f>
        <v>293.40043320549677</v>
      </c>
      <c r="U11" s="11">
        <f>S11*Calculation!I11/Calculation!K10</f>
        <v>2.565661719069638</v>
      </c>
    </row>
    <row r="12" spans="1:21">
      <c r="A12" s="13" t="s">
        <v>43</v>
      </c>
      <c r="B12" s="13">
        <v>46.07</v>
      </c>
      <c r="D12" s="49">
        <v>8</v>
      </c>
      <c r="E12" s="69">
        <v>11</v>
      </c>
      <c r="F12" s="11">
        <v>0</v>
      </c>
      <c r="G12" s="11">
        <v>0</v>
      </c>
      <c r="H12" s="11">
        <f>F12*Calculation!I12/Calculation!K11</f>
        <v>0</v>
      </c>
      <c r="I12" s="11">
        <f>G12*Calculation!I12/Calculation!K11</f>
        <v>0</v>
      </c>
      <c r="J12" s="11">
        <v>0</v>
      </c>
      <c r="K12" s="11">
        <v>0</v>
      </c>
      <c r="L12" s="11">
        <f>J12*Calculation!I12/Calculation!K11</f>
        <v>0</v>
      </c>
      <c r="M12" s="11">
        <f>K12*Calculation!I12/Calculation!K11</f>
        <v>0</v>
      </c>
      <c r="N12" s="11">
        <v>2.9864002220371915</v>
      </c>
      <c r="O12" s="11">
        <v>3.845796963794347E-2</v>
      </c>
      <c r="P12" s="11">
        <f>N12*Calculation!I12/Calculation!K11</f>
        <v>2.990928422122451</v>
      </c>
      <c r="Q12" s="11">
        <f>O12*Calculation!I12/Calculation!K11</f>
        <v>3.8516282445486279E-2</v>
      </c>
      <c r="R12" s="11">
        <v>290.78137446592802</v>
      </c>
      <c r="S12" s="11">
        <v>1.884110818467148</v>
      </c>
      <c r="T12" s="11">
        <f>R12*Calculation!I12/Calculation!K11</f>
        <v>291.22227861364814</v>
      </c>
      <c r="U12" s="11">
        <f>S12*Calculation!I12/Calculation!K11</f>
        <v>1.8869676461307225</v>
      </c>
    </row>
    <row r="13" spans="1:21">
      <c r="D13" s="49">
        <v>9</v>
      </c>
      <c r="E13" s="69">
        <v>13</v>
      </c>
      <c r="F13" s="11">
        <v>0</v>
      </c>
      <c r="G13" s="11">
        <v>0</v>
      </c>
      <c r="H13" s="11">
        <f>F13*Calculation!I13/Calculation!K12</f>
        <v>0</v>
      </c>
      <c r="I13" s="11">
        <f>G13*Calculation!I13/Calculation!K12</f>
        <v>0</v>
      </c>
      <c r="J13" s="11">
        <v>0</v>
      </c>
      <c r="K13" s="11">
        <v>0</v>
      </c>
      <c r="L13" s="11">
        <f>J13*Calculation!I13/Calculation!K12</f>
        <v>0</v>
      </c>
      <c r="M13" s="11">
        <f>K13*Calculation!I13/Calculation!K12</f>
        <v>0</v>
      </c>
      <c r="N13" s="11">
        <v>3.2417429919511518</v>
      </c>
      <c r="O13" s="11">
        <v>0.1501831724503877</v>
      </c>
      <c r="P13" s="11">
        <f>N13*Calculation!I13/Calculation!K12</f>
        <v>3.2466583615604296</v>
      </c>
      <c r="Q13" s="11">
        <f>O13*Calculation!I13/Calculation!K12</f>
        <v>0.15041089124349388</v>
      </c>
      <c r="R13" s="11">
        <v>292.56282134839597</v>
      </c>
      <c r="S13" s="11">
        <v>0.95622743661344967</v>
      </c>
      <c r="T13" s="11">
        <f>R13*Calculation!I13/Calculation!K12</f>
        <v>293.00642665715452</v>
      </c>
      <c r="U13" s="11">
        <f>S13*Calculation!I13/Calculation!K12</f>
        <v>0.95767733911749076</v>
      </c>
    </row>
    <row r="14" spans="1:21">
      <c r="D14" s="49">
        <v>10</v>
      </c>
      <c r="E14" s="69">
        <v>14</v>
      </c>
      <c r="F14" s="11">
        <v>0</v>
      </c>
      <c r="G14" s="11">
        <v>0</v>
      </c>
      <c r="H14" s="11">
        <f>F14*Calculation!I14/Calculation!K13</f>
        <v>0</v>
      </c>
      <c r="I14" s="11">
        <f>G14*Calculation!I14/Calculation!K13</f>
        <v>0</v>
      </c>
      <c r="J14" s="11">
        <v>0</v>
      </c>
      <c r="K14" s="11">
        <v>0</v>
      </c>
      <c r="L14" s="11">
        <f>J14*Calculation!I14/Calculation!K13</f>
        <v>0</v>
      </c>
      <c r="M14" s="11">
        <f>K14*Calculation!I14/Calculation!K13</f>
        <v>0</v>
      </c>
      <c r="N14" s="11">
        <v>3.4526783236192067</v>
      </c>
      <c r="O14" s="11">
        <v>1.9228984818971735E-2</v>
      </c>
      <c r="P14" s="11">
        <f>N14*Calculation!I14/Calculation!K13</f>
        <v>3.4579135289222385</v>
      </c>
      <c r="Q14" s="11">
        <f>O14*Calculation!I14/Calculation!K13</f>
        <v>1.9258141222743136E-2</v>
      </c>
      <c r="R14" s="11">
        <v>290.36135853428925</v>
      </c>
      <c r="S14" s="11">
        <v>1.7163178291651606</v>
      </c>
      <c r="T14" s="11">
        <f>R14*Calculation!I14/Calculation!K13</f>
        <v>290.80162582290274</v>
      </c>
      <c r="U14" s="11">
        <f>S14*Calculation!I14/Calculation!K13</f>
        <v>1.7189202367336465</v>
      </c>
    </row>
    <row r="15" spans="1:21">
      <c r="D15" s="49">
        <v>11</v>
      </c>
      <c r="E15" s="69">
        <v>15</v>
      </c>
      <c r="F15" s="11">
        <v>0</v>
      </c>
      <c r="G15" s="11">
        <v>0</v>
      </c>
      <c r="H15" s="11">
        <f>F15*Calculation!I15/Calculation!K14</f>
        <v>0</v>
      </c>
      <c r="I15" s="11">
        <f>G15*Calculation!I15/Calculation!K14</f>
        <v>0</v>
      </c>
      <c r="J15" s="11">
        <v>0</v>
      </c>
      <c r="K15" s="11">
        <v>0</v>
      </c>
      <c r="L15" s="11">
        <f>J15*Calculation!I15/Calculation!K14</f>
        <v>0</v>
      </c>
      <c r="M15" s="11">
        <f>K15*Calculation!I15/Calculation!K14</f>
        <v>0</v>
      </c>
      <c r="N15" s="11">
        <v>3.708021093533167</v>
      </c>
      <c r="O15" s="11">
        <v>0.27931713850478213</v>
      </c>
      <c r="P15" s="11">
        <f>N15*Calculation!I15/Calculation!K14</f>
        <v>3.7173276384677179</v>
      </c>
      <c r="Q15" s="11">
        <f>O15*Calculation!I15/Calculation!K14</f>
        <v>0.2800181802289024</v>
      </c>
      <c r="R15" s="11">
        <v>286.04533275400098</v>
      </c>
      <c r="S15" s="11">
        <v>2.8730663305991793</v>
      </c>
      <c r="T15" s="11">
        <f>R15*Calculation!I15/Calculation!K14</f>
        <v>286.76326117874385</v>
      </c>
      <c r="U15" s="11">
        <f>S15*Calculation!I15/Calculation!K14</f>
        <v>2.8802772714841427</v>
      </c>
    </row>
    <row r="16" spans="1:21">
      <c r="D16" s="49">
        <v>12</v>
      </c>
      <c r="E16" s="69">
        <v>17</v>
      </c>
      <c r="F16" s="11">
        <v>0</v>
      </c>
      <c r="G16" s="11">
        <v>0</v>
      </c>
      <c r="H16" s="11">
        <f>F16*Calculation!I16/Calculation!K15</f>
        <v>0</v>
      </c>
      <c r="I16" s="11">
        <f>G16*Calculation!I16/Calculation!K15</f>
        <v>0</v>
      </c>
      <c r="J16" s="11">
        <v>0</v>
      </c>
      <c r="K16" s="11">
        <v>0</v>
      </c>
      <c r="L16" s="11">
        <f>J16*Calculation!I16/Calculation!K15</f>
        <v>0</v>
      </c>
      <c r="M16" s="11">
        <f>K16*Calculation!I16/Calculation!K15</f>
        <v>0</v>
      </c>
      <c r="N16" s="11">
        <v>4.7849014709963908</v>
      </c>
      <c r="O16" s="11">
        <v>9.6144924094858669E-2</v>
      </c>
      <c r="P16" s="11">
        <f>N16*Calculation!I16/Calculation!K15</f>
        <v>4.7969108149089399</v>
      </c>
      <c r="Q16" s="11">
        <f>O16*Calculation!I16/Calculation!K15</f>
        <v>9.6386232607876099E-2</v>
      </c>
      <c r="R16" s="11">
        <v>289.95582591063794</v>
      </c>
      <c r="S16" s="11">
        <v>1.6592713791570159</v>
      </c>
      <c r="T16" s="11">
        <f>R16*Calculation!I16/Calculation!K15</f>
        <v>290.6835690530861</v>
      </c>
      <c r="U16" s="11">
        <f>S16*Calculation!I16/Calculation!K15</f>
        <v>1.6634358871949204</v>
      </c>
    </row>
    <row r="17" spans="4:21">
      <c r="D17" s="49">
        <v>13</v>
      </c>
      <c r="E17" s="69">
        <v>18</v>
      </c>
      <c r="F17" s="11">
        <v>0</v>
      </c>
      <c r="G17" s="11">
        <v>0</v>
      </c>
      <c r="H17" s="11">
        <f>F17*Calculation!I17/Calculation!K16</f>
        <v>0</v>
      </c>
      <c r="I17" s="11">
        <f>G17*Calculation!I17/Calculation!K16</f>
        <v>0</v>
      </c>
      <c r="J17" s="11">
        <v>0</v>
      </c>
      <c r="K17" s="11">
        <v>0</v>
      </c>
      <c r="L17" s="11">
        <f>J17*Calculation!I17/Calculation!K16</f>
        <v>0</v>
      </c>
      <c r="M17" s="11">
        <f>K17*Calculation!I17/Calculation!K16</f>
        <v>0</v>
      </c>
      <c r="N17" s="11">
        <v>6.350263669164586</v>
      </c>
      <c r="O17" s="11">
        <v>5.0875111795235566E-2</v>
      </c>
      <c r="P17" s="11">
        <f>N17*Calculation!I17/Calculation!K16</f>
        <v>6.3662018239626796</v>
      </c>
      <c r="Q17" s="11">
        <f>O17*Calculation!I17/Calculation!K16</f>
        <v>5.1002800258172956E-2</v>
      </c>
      <c r="R17" s="11">
        <v>287.10261423709176</v>
      </c>
      <c r="S17" s="11">
        <v>3.0617041666678393</v>
      </c>
      <c r="T17" s="11">
        <f>R17*Calculation!I17/Calculation!K16</f>
        <v>287.82319627069569</v>
      </c>
      <c r="U17" s="11">
        <f>S17*Calculation!I17/Calculation!K16</f>
        <v>3.0693885586075424</v>
      </c>
    </row>
    <row r="18" spans="4:21">
      <c r="D18" s="49">
        <v>14</v>
      </c>
      <c r="E18" s="69">
        <v>24</v>
      </c>
      <c r="F18" s="11">
        <v>0</v>
      </c>
      <c r="G18" s="11">
        <v>0</v>
      </c>
      <c r="H18" s="11">
        <f>F18*Calculation!I18/Calculation!K17</f>
        <v>0</v>
      </c>
      <c r="I18" s="11">
        <f>G18*Calculation!I18/Calculation!K17</f>
        <v>0</v>
      </c>
      <c r="J18" s="11">
        <v>0</v>
      </c>
      <c r="K18" s="11">
        <v>0</v>
      </c>
      <c r="L18" s="11">
        <f>J18*Calculation!I18/Calculation!K17</f>
        <v>0</v>
      </c>
      <c r="M18" s="11">
        <f>K18*Calculation!I18/Calculation!K17</f>
        <v>0</v>
      </c>
      <c r="N18" s="11">
        <v>10.024979184013322</v>
      </c>
      <c r="O18" s="11">
        <v>0.17623655694018939</v>
      </c>
      <c r="P18" s="11">
        <f>N18*Calculation!I18/Calculation!K17</f>
        <v>10.119691435914444</v>
      </c>
      <c r="Q18" s="11">
        <f>O18*Calculation!I18/Calculation!K17</f>
        <v>0.17790157398099518</v>
      </c>
      <c r="R18" s="11">
        <v>258.46911434571655</v>
      </c>
      <c r="S18" s="11">
        <v>3.7884579808070646</v>
      </c>
      <c r="T18" s="11">
        <f>R18*Calculation!I18/Calculation!K17</f>
        <v>260.91103381679233</v>
      </c>
      <c r="U18" s="11">
        <f>S18*Calculation!I18/Calculation!K17</f>
        <v>3.8242499141376807</v>
      </c>
    </row>
    <row r="19" spans="4:21">
      <c r="D19" s="49">
        <v>15</v>
      </c>
      <c r="E19" s="69">
        <v>30</v>
      </c>
      <c r="F19" s="11">
        <v>0</v>
      </c>
      <c r="G19" s="11">
        <v>0</v>
      </c>
      <c r="H19" s="11">
        <f>F19*Calculation!I19/Calculation!K18</f>
        <v>0</v>
      </c>
      <c r="I19" s="11">
        <f>G19*Calculation!I19/Calculation!K18</f>
        <v>0</v>
      </c>
      <c r="J19" s="11">
        <v>0</v>
      </c>
      <c r="K19" s="11">
        <v>0</v>
      </c>
      <c r="L19" s="11">
        <f>J19*Calculation!I19/Calculation!K18</f>
        <v>0</v>
      </c>
      <c r="M19" s="11">
        <f>K19*Calculation!I19/Calculation!K18</f>
        <v>0</v>
      </c>
      <c r="N19" s="11">
        <v>12.289758534554538</v>
      </c>
      <c r="O19" s="11">
        <v>0.4355269552247138</v>
      </c>
      <c r="P19" s="11">
        <f>N19*Calculation!I19/Calculation!K18</f>
        <v>12.57208504480486</v>
      </c>
      <c r="Q19" s="11">
        <f>O19*Calculation!I19/Calculation!K18</f>
        <v>0.44553209934880855</v>
      </c>
      <c r="R19" s="11">
        <v>218.08965167644288</v>
      </c>
      <c r="S19" s="11">
        <v>8.6228487823503936</v>
      </c>
      <c r="T19" s="11">
        <f>R19*Calculation!I19/Calculation!K18</f>
        <v>223.09971677303514</v>
      </c>
      <c r="U19" s="11">
        <f>S19*Calculation!I19/Calculation!K18</f>
        <v>8.8209371986762619</v>
      </c>
    </row>
    <row r="20" spans="4:21">
      <c r="D20" s="49">
        <v>16</v>
      </c>
      <c r="E20" s="69">
        <v>48</v>
      </c>
      <c r="F20" s="11">
        <v>0</v>
      </c>
      <c r="G20" s="11">
        <v>0</v>
      </c>
      <c r="H20" s="11">
        <f>F20*Calculation!I20/Calculation!K19</f>
        <v>0</v>
      </c>
      <c r="I20" s="11">
        <f>G20*Calculation!I20/Calculation!K19</f>
        <v>0</v>
      </c>
      <c r="J20" s="11">
        <v>0</v>
      </c>
      <c r="K20" s="11">
        <v>0</v>
      </c>
      <c r="L20" s="11">
        <f>J20*Calculation!I20/Calculation!K19</f>
        <v>0</v>
      </c>
      <c r="M20" s="11">
        <f>K20*Calculation!I20/Calculation!K19</f>
        <v>0</v>
      </c>
      <c r="N20" s="11">
        <v>33.5609214543436</v>
      </c>
      <c r="O20" s="11">
        <v>0.65463327173158281</v>
      </c>
      <c r="P20" s="11">
        <f>N20*Calculation!I20/Calculation!K19</f>
        <v>35.960464288900049</v>
      </c>
      <c r="Q20" s="11">
        <f>O20*Calculation!I20/Calculation!K19</f>
        <v>0.70143832082961544</v>
      </c>
      <c r="R20" s="11">
        <v>82.844521688753716</v>
      </c>
      <c r="S20" s="11">
        <v>1.2414315715315909</v>
      </c>
      <c r="T20" s="11">
        <f>R20*Calculation!I20/Calculation!K19</f>
        <v>88.767749353135301</v>
      </c>
      <c r="U20" s="11">
        <f>S20*Calculation!I20/Calculation!K19</f>
        <v>1.3301915966731308</v>
      </c>
    </row>
    <row r="21" spans="4:21">
      <c r="D21" s="49">
        <v>17</v>
      </c>
      <c r="E21" s="69">
        <v>54</v>
      </c>
      <c r="F21" s="11">
        <v>0</v>
      </c>
      <c r="G21" s="11">
        <v>0</v>
      </c>
      <c r="H21" s="11">
        <f>F21*Calculation!I21/Calculation!K20</f>
        <v>0</v>
      </c>
      <c r="I21" s="11">
        <f>G21*Calculation!I21/Calculation!K20</f>
        <v>0</v>
      </c>
      <c r="J21" s="11">
        <v>0</v>
      </c>
      <c r="K21" s="11">
        <v>0</v>
      </c>
      <c r="L21" s="11">
        <f>J21*Calculation!I21/Calculation!K20</f>
        <v>0</v>
      </c>
      <c r="M21" s="11">
        <f>K21*Calculation!I21/Calculation!K20</f>
        <v>0</v>
      </c>
      <c r="N21" s="11">
        <v>37.879544823757982</v>
      </c>
      <c r="O21" s="11">
        <v>0.30220721818076385</v>
      </c>
      <c r="P21" s="11">
        <f>N21*Calculation!I21/Calculation!K20</f>
        <v>41.166185561973151</v>
      </c>
      <c r="Q21" s="11">
        <f>O21*Calculation!I21/Calculation!K20</f>
        <v>0.32842840323662592</v>
      </c>
      <c r="R21" s="11">
        <v>43.507857194583231</v>
      </c>
      <c r="S21" s="11">
        <v>0.47860704299683737</v>
      </c>
      <c r="T21" s="11">
        <f>R21*Calculation!I21/Calculation!K20</f>
        <v>47.282841729204122</v>
      </c>
      <c r="U21" s="11">
        <f>S21*Calculation!I21/Calculation!K20</f>
        <v>0.52013366145090911</v>
      </c>
    </row>
    <row r="22" spans="4:21">
      <c r="D22" s="49">
        <v>18</v>
      </c>
      <c r="E22" s="69">
        <v>72</v>
      </c>
      <c r="F22" s="11">
        <v>0</v>
      </c>
      <c r="G22" s="11">
        <v>0</v>
      </c>
      <c r="H22" s="11">
        <f>F22*Calculation!I22/Calculation!K21</f>
        <v>0</v>
      </c>
      <c r="I22" s="11">
        <f>G22*Calculation!I22/Calculation!K21</f>
        <v>0</v>
      </c>
      <c r="J22" s="11">
        <v>0</v>
      </c>
      <c r="K22" s="11">
        <v>0</v>
      </c>
      <c r="L22" s="11">
        <f>J22*Calculation!I22/Calculation!K21</f>
        <v>0</v>
      </c>
      <c r="M22" s="11">
        <f>K22*Calculation!I22/Calculation!K21</f>
        <v>0</v>
      </c>
      <c r="N22" s="11">
        <v>41.321121287815707</v>
      </c>
      <c r="O22" s="11">
        <v>0.13866218147984244</v>
      </c>
      <c r="P22" s="11">
        <f>N22*Calculation!I22/Calculation!K21</f>
        <v>45.809315554597703</v>
      </c>
      <c r="Q22" s="11">
        <f>O22*Calculation!I22/Calculation!K21</f>
        <v>0.15372331216897556</v>
      </c>
      <c r="R22" s="11">
        <v>0</v>
      </c>
      <c r="S22" s="11">
        <v>0</v>
      </c>
      <c r="T22" s="11">
        <f>R22*Calculation!I22/Calculation!K21</f>
        <v>0</v>
      </c>
      <c r="U22" s="11">
        <f>S22*Calculation!I22/Calculation!K21</f>
        <v>0</v>
      </c>
    </row>
    <row r="23" spans="4:21">
      <c r="D23" s="67"/>
      <c r="E23" s="60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</row>
    <row r="25" spans="4:21">
      <c r="D25" s="105" t="s">
        <v>4</v>
      </c>
      <c r="E25" s="105" t="s">
        <v>59</v>
      </c>
      <c r="F25" s="94" t="s">
        <v>43</v>
      </c>
      <c r="G25" s="94"/>
      <c r="H25" s="94"/>
      <c r="I25" s="94"/>
      <c r="J25" s="94" t="s">
        <v>65</v>
      </c>
      <c r="K25" s="94"/>
      <c r="L25" s="94"/>
      <c r="M25" s="94"/>
      <c r="N25" s="85" t="s">
        <v>66</v>
      </c>
      <c r="O25" s="86"/>
      <c r="P25" s="86"/>
      <c r="Q25" s="87"/>
    </row>
    <row r="26" spans="4:21">
      <c r="D26" s="105"/>
      <c r="E26" s="105"/>
      <c r="F26" s="18" t="s">
        <v>47</v>
      </c>
      <c r="G26" s="18" t="s">
        <v>23</v>
      </c>
      <c r="H26" s="18" t="s">
        <v>47</v>
      </c>
      <c r="I26" s="18" t="s">
        <v>23</v>
      </c>
      <c r="J26" s="18" t="s">
        <v>47</v>
      </c>
      <c r="K26" s="18" t="s">
        <v>23</v>
      </c>
      <c r="L26" s="18" t="s">
        <v>47</v>
      </c>
      <c r="M26" s="18" t="s">
        <v>23</v>
      </c>
      <c r="N26" s="18" t="s">
        <v>47</v>
      </c>
      <c r="O26" s="18" t="s">
        <v>23</v>
      </c>
      <c r="P26" s="18" t="s">
        <v>47</v>
      </c>
      <c r="Q26" s="18" t="s">
        <v>23</v>
      </c>
    </row>
    <row r="27" spans="4:21">
      <c r="D27" s="47" t="s">
        <v>6</v>
      </c>
      <c r="E27" s="59">
        <v>0</v>
      </c>
      <c r="F27" s="48">
        <v>0</v>
      </c>
      <c r="G27" s="59">
        <v>0</v>
      </c>
      <c r="H27" s="11">
        <f>F27*Calculation!I3/Calculation!F25</f>
        <v>0</v>
      </c>
      <c r="I27" s="11">
        <f>G27*Calculation!I3/Calculation!F25</f>
        <v>0</v>
      </c>
      <c r="J27" s="11">
        <v>0</v>
      </c>
      <c r="K27" s="11">
        <v>0</v>
      </c>
      <c r="L27" s="11">
        <f>J27*Calculation!I3/Calculation!F25</f>
        <v>0</v>
      </c>
      <c r="M27" s="11">
        <f>K27*Calculation!I3/Calculation!F25</f>
        <v>0</v>
      </c>
      <c r="N27" s="11">
        <v>0</v>
      </c>
      <c r="O27" s="11">
        <v>0</v>
      </c>
      <c r="P27" s="11">
        <f>N27*Calculation!I3/Calculation!F25</f>
        <v>0</v>
      </c>
      <c r="Q27" s="11">
        <f>O27*Calculation!I3/Calculation!F25</f>
        <v>0</v>
      </c>
    </row>
    <row r="28" spans="4:21">
      <c r="D28" s="49">
        <v>0</v>
      </c>
      <c r="E28" s="69">
        <v>0</v>
      </c>
      <c r="F28" s="50">
        <v>0</v>
      </c>
      <c r="G28" s="69">
        <v>0</v>
      </c>
      <c r="H28" s="11">
        <f>F28*Calculation!I4/Calculation!K3</f>
        <v>0</v>
      </c>
      <c r="I28" s="11">
        <f>G28*Calculation!I4/Calculation!K3</f>
        <v>0</v>
      </c>
      <c r="J28" s="11">
        <v>0</v>
      </c>
      <c r="K28" s="11">
        <v>0</v>
      </c>
      <c r="L28" s="11">
        <f>J28*Calculation!I4/Calculation!K3</f>
        <v>0</v>
      </c>
      <c r="M28" s="11">
        <f>K28*Calculation!I4/Calculation!K3</f>
        <v>0</v>
      </c>
      <c r="N28" s="11">
        <v>0</v>
      </c>
      <c r="O28" s="11">
        <v>0</v>
      </c>
      <c r="P28" s="11">
        <f>N28*Calculation!I4/Calculation!K3</f>
        <v>0</v>
      </c>
      <c r="Q28" s="11">
        <f>O28*Calculation!I4/Calculation!K3</f>
        <v>0</v>
      </c>
    </row>
    <row r="29" spans="4:21">
      <c r="D29" s="49">
        <v>1</v>
      </c>
      <c r="E29" s="69">
        <v>2</v>
      </c>
      <c r="F29" s="50">
        <v>0</v>
      </c>
      <c r="G29" s="69">
        <v>0</v>
      </c>
      <c r="H29" s="11">
        <f>F29*Calculation!I5/Calculation!K4</f>
        <v>0</v>
      </c>
      <c r="I29" s="11">
        <f>G29*Calculation!I5/Calculation!K4</f>
        <v>0</v>
      </c>
      <c r="J29" s="11">
        <v>0</v>
      </c>
      <c r="K29" s="11">
        <v>0</v>
      </c>
      <c r="L29" s="11">
        <f>J29*Calculation!I5/Calculation!K4</f>
        <v>0</v>
      </c>
      <c r="M29" s="11">
        <f>K29*Calculation!I5/Calculation!K4</f>
        <v>0</v>
      </c>
      <c r="N29" s="11">
        <v>0</v>
      </c>
      <c r="O29" s="11">
        <v>0</v>
      </c>
      <c r="P29" s="11">
        <f>N29*Calculation!I5/Calculation!K4</f>
        <v>0</v>
      </c>
      <c r="Q29" s="11">
        <f>O29*Calculation!I5/Calculation!K4</f>
        <v>0</v>
      </c>
    </row>
    <row r="30" spans="4:21">
      <c r="D30" s="49">
        <v>2</v>
      </c>
      <c r="E30" s="69">
        <v>3</v>
      </c>
      <c r="F30" s="50">
        <v>0</v>
      </c>
      <c r="G30" s="69">
        <v>0</v>
      </c>
      <c r="H30" s="11">
        <f>F30*Calculation!I6/Calculation!K5</f>
        <v>0</v>
      </c>
      <c r="I30" s="11">
        <f>G30*Calculation!I6/Calculation!K5</f>
        <v>0</v>
      </c>
      <c r="J30" s="11">
        <v>0</v>
      </c>
      <c r="K30" s="11">
        <v>0</v>
      </c>
      <c r="L30" s="11">
        <f>J30*Calculation!I6/Calculation!K5</f>
        <v>0</v>
      </c>
      <c r="M30" s="11">
        <f>K30*Calculation!I6/Calculation!K5</f>
        <v>0</v>
      </c>
      <c r="N30" s="11">
        <v>0</v>
      </c>
      <c r="O30" s="11">
        <v>0</v>
      </c>
      <c r="P30" s="11">
        <f>N30*Calculation!I6/Calculation!K5</f>
        <v>0</v>
      </c>
      <c r="Q30" s="11">
        <f>O30*Calculation!I6/Calculation!K5</f>
        <v>0</v>
      </c>
    </row>
    <row r="31" spans="4:21">
      <c r="D31" s="49">
        <v>3</v>
      </c>
      <c r="E31" s="69">
        <v>5</v>
      </c>
      <c r="F31" s="50">
        <v>0</v>
      </c>
      <c r="G31" s="69">
        <v>0</v>
      </c>
      <c r="H31" s="11">
        <f>F31*Calculation!I7/Calculation!K6</f>
        <v>0</v>
      </c>
      <c r="I31" s="11">
        <f>G31*Calculation!I7/Calculation!K6</f>
        <v>0</v>
      </c>
      <c r="J31" s="11">
        <v>0</v>
      </c>
      <c r="K31" s="11">
        <v>0</v>
      </c>
      <c r="L31" s="11">
        <f>J31*Calculation!I7/Calculation!K6</f>
        <v>0</v>
      </c>
      <c r="M31" s="11">
        <f>K31*Calculation!I7/Calculation!K6</f>
        <v>0</v>
      </c>
      <c r="N31" s="11">
        <v>0</v>
      </c>
      <c r="O31" s="11">
        <v>0</v>
      </c>
      <c r="P31" s="11">
        <f>N31*Calculation!I7/Calculation!K6</f>
        <v>0</v>
      </c>
      <c r="Q31" s="11">
        <f>O31*Calculation!I7/Calculation!K6</f>
        <v>0</v>
      </c>
    </row>
    <row r="32" spans="4:21">
      <c r="D32" s="49">
        <v>4</v>
      </c>
      <c r="E32" s="69">
        <v>6</v>
      </c>
      <c r="F32" s="50">
        <v>0</v>
      </c>
      <c r="G32" s="69">
        <v>0</v>
      </c>
      <c r="H32" s="11">
        <f>F32*Calculation!I8/Calculation!K7</f>
        <v>0</v>
      </c>
      <c r="I32" s="11">
        <f>G32*Calculation!I8/Calculation!K7</f>
        <v>0</v>
      </c>
      <c r="J32" s="11">
        <v>0</v>
      </c>
      <c r="K32" s="11">
        <v>0</v>
      </c>
      <c r="L32" s="11">
        <f>J32*Calculation!I8/Calculation!K7</f>
        <v>0</v>
      </c>
      <c r="M32" s="11">
        <f>K32*Calculation!I8/Calculation!K7</f>
        <v>0</v>
      </c>
      <c r="N32" s="11">
        <v>0</v>
      </c>
      <c r="O32" s="11">
        <v>0</v>
      </c>
      <c r="P32" s="11">
        <f>N32*Calculation!I8/Calculation!K7</f>
        <v>0</v>
      </c>
      <c r="Q32" s="11">
        <f>O32*Calculation!I8/Calculation!K7</f>
        <v>0</v>
      </c>
    </row>
    <row r="33" spans="4:17">
      <c r="D33" s="49">
        <v>5</v>
      </c>
      <c r="E33" s="69">
        <v>7</v>
      </c>
      <c r="F33" s="50">
        <v>0</v>
      </c>
      <c r="G33" s="69">
        <v>0</v>
      </c>
      <c r="H33" s="11">
        <f>F33*Calculation!I9/Calculation!K8</f>
        <v>0</v>
      </c>
      <c r="I33" s="11">
        <f>G33*Calculation!I9/Calculation!K8</f>
        <v>0</v>
      </c>
      <c r="J33" s="11">
        <v>0</v>
      </c>
      <c r="K33" s="11">
        <v>0</v>
      </c>
      <c r="L33" s="11">
        <f>J33*Calculation!I9/Calculation!K8</f>
        <v>0</v>
      </c>
      <c r="M33" s="11">
        <f>K33*Calculation!I9/Calculation!K8</f>
        <v>0</v>
      </c>
      <c r="N33" s="11">
        <v>0</v>
      </c>
      <c r="O33" s="11">
        <v>0</v>
      </c>
      <c r="P33" s="11">
        <f>N33*Calculation!I9/Calculation!K8</f>
        <v>0</v>
      </c>
      <c r="Q33" s="11">
        <f>O33*Calculation!I9/Calculation!K8</f>
        <v>0</v>
      </c>
    </row>
    <row r="34" spans="4:17">
      <c r="D34" s="49">
        <v>6</v>
      </c>
      <c r="E34" s="69">
        <v>9</v>
      </c>
      <c r="F34" s="50">
        <v>0</v>
      </c>
      <c r="G34" s="69">
        <v>0</v>
      </c>
      <c r="H34" s="11">
        <f>F34*Calculation!I10/Calculation!K9</f>
        <v>0</v>
      </c>
      <c r="I34" s="11">
        <f>G34*Calculation!I10/Calculation!K9</f>
        <v>0</v>
      </c>
      <c r="J34" s="11">
        <v>0</v>
      </c>
      <c r="K34" s="11">
        <v>0</v>
      </c>
      <c r="L34" s="11">
        <f>J34*Calculation!I10/Calculation!K9</f>
        <v>0</v>
      </c>
      <c r="M34" s="11">
        <f>K34*Calculation!I10/Calculation!K9</f>
        <v>0</v>
      </c>
      <c r="N34" s="11">
        <v>0</v>
      </c>
      <c r="O34" s="11">
        <v>0</v>
      </c>
      <c r="P34" s="11">
        <f>N34*Calculation!I10/Calculation!K9</f>
        <v>0</v>
      </c>
      <c r="Q34" s="11">
        <f>O34*Calculation!I10/Calculation!K9</f>
        <v>0</v>
      </c>
    </row>
    <row r="35" spans="4:17">
      <c r="D35" s="49">
        <v>7</v>
      </c>
      <c r="E35" s="69">
        <v>10</v>
      </c>
      <c r="F35" s="50">
        <v>0</v>
      </c>
      <c r="G35" s="69">
        <v>0</v>
      </c>
      <c r="H35" s="11">
        <f>F35*Calculation!I11/Calculation!K10</f>
        <v>0</v>
      </c>
      <c r="I35" s="11">
        <f>G35*Calculation!I11/Calculation!K10</f>
        <v>0</v>
      </c>
      <c r="J35" s="11">
        <v>0</v>
      </c>
      <c r="K35" s="11">
        <v>0</v>
      </c>
      <c r="L35" s="11">
        <f>J35*Calculation!I11/Calculation!K10</f>
        <v>0</v>
      </c>
      <c r="M35" s="11">
        <f>K35*Calculation!I11/Calculation!K10</f>
        <v>0</v>
      </c>
      <c r="N35" s="11">
        <v>0</v>
      </c>
      <c r="O35" s="11">
        <v>0</v>
      </c>
      <c r="P35" s="11">
        <f>N35*Calculation!I11/Calculation!K10</f>
        <v>0</v>
      </c>
      <c r="Q35" s="11">
        <f>O35*Calculation!I11/Calculation!K10</f>
        <v>0</v>
      </c>
    </row>
    <row r="36" spans="4:17">
      <c r="D36" s="49">
        <v>8</v>
      </c>
      <c r="E36" s="69">
        <v>11</v>
      </c>
      <c r="F36" s="50">
        <v>0</v>
      </c>
      <c r="G36" s="69">
        <v>0</v>
      </c>
      <c r="H36" s="11">
        <f>F36*Calculation!I12/Calculation!K11</f>
        <v>0</v>
      </c>
      <c r="I36" s="11">
        <f>G36*Calculation!I12/Calculation!K11</f>
        <v>0</v>
      </c>
      <c r="J36" s="11">
        <v>0</v>
      </c>
      <c r="K36" s="11">
        <v>0</v>
      </c>
      <c r="L36" s="11">
        <f>J36*Calculation!I12/Calculation!K11</f>
        <v>0</v>
      </c>
      <c r="M36" s="11">
        <f>K36*Calculation!I12/Calculation!K11</f>
        <v>0</v>
      </c>
      <c r="N36" s="11">
        <v>0</v>
      </c>
      <c r="O36" s="11">
        <v>0</v>
      </c>
      <c r="P36" s="11">
        <f>N36*Calculation!I12/Calculation!K11</f>
        <v>0</v>
      </c>
      <c r="Q36" s="11">
        <f>O36*Calculation!I12/Calculation!K11</f>
        <v>0</v>
      </c>
    </row>
    <row r="37" spans="4:17">
      <c r="D37" s="49">
        <v>9</v>
      </c>
      <c r="E37" s="69">
        <v>13</v>
      </c>
      <c r="F37" s="50">
        <v>0</v>
      </c>
      <c r="G37" s="69">
        <v>0</v>
      </c>
      <c r="H37" s="11">
        <f>F37*Calculation!I13/Calculation!K12</f>
        <v>0</v>
      </c>
      <c r="I37" s="11">
        <f>G37*Calculation!I13/Calculation!K12</f>
        <v>0</v>
      </c>
      <c r="J37" s="11">
        <v>0</v>
      </c>
      <c r="K37" s="11">
        <v>0</v>
      </c>
      <c r="L37" s="11">
        <f>J37*Calculation!I13/Calculation!K12</f>
        <v>0</v>
      </c>
      <c r="M37" s="11">
        <f>K37*Calculation!I13/Calculation!K12</f>
        <v>0</v>
      </c>
      <c r="N37" s="11">
        <v>0</v>
      </c>
      <c r="O37" s="11">
        <v>0</v>
      </c>
      <c r="P37" s="11">
        <f>N37*Calculation!I13/Calculation!K12</f>
        <v>0</v>
      </c>
      <c r="Q37" s="11">
        <f>O37*Calculation!I13/Calculation!K12</f>
        <v>0</v>
      </c>
    </row>
    <row r="38" spans="4:17">
      <c r="D38" s="49">
        <v>10</v>
      </c>
      <c r="E38" s="69">
        <v>14</v>
      </c>
      <c r="F38" s="50">
        <v>0</v>
      </c>
      <c r="G38" s="69">
        <v>0</v>
      </c>
      <c r="H38" s="11">
        <f>F38*Calculation!I14/Calculation!K13</f>
        <v>0</v>
      </c>
      <c r="I38" s="11">
        <f>G38*Calculation!I14/Calculation!K13</f>
        <v>0</v>
      </c>
      <c r="J38" s="11">
        <v>0</v>
      </c>
      <c r="K38" s="11">
        <v>0</v>
      </c>
      <c r="L38" s="11">
        <f>J38*Calculation!I14/Calculation!K13</f>
        <v>0</v>
      </c>
      <c r="M38" s="11">
        <f>K38*Calculation!I14/Calculation!K13</f>
        <v>0</v>
      </c>
      <c r="N38" s="11">
        <v>0</v>
      </c>
      <c r="O38" s="11">
        <v>0</v>
      </c>
      <c r="P38" s="11">
        <f>N38*Calculation!I14/Calculation!K13</f>
        <v>0</v>
      </c>
      <c r="Q38" s="11">
        <f>O38*Calculation!I14/Calculation!K13</f>
        <v>0</v>
      </c>
    </row>
    <row r="39" spans="4:17">
      <c r="D39" s="49">
        <v>11</v>
      </c>
      <c r="E39" s="69">
        <v>15</v>
      </c>
      <c r="F39" s="50">
        <v>0</v>
      </c>
      <c r="G39" s="69">
        <v>0</v>
      </c>
      <c r="H39" s="11">
        <f>F39*Calculation!I15/Calculation!K14</f>
        <v>0</v>
      </c>
      <c r="I39" s="11">
        <f>G39*Calculation!I15/Calculation!K14</f>
        <v>0</v>
      </c>
      <c r="J39" s="11">
        <v>0</v>
      </c>
      <c r="K39" s="11">
        <v>0</v>
      </c>
      <c r="L39" s="11">
        <f>J39*Calculation!I15/Calculation!K14</f>
        <v>0</v>
      </c>
      <c r="M39" s="11">
        <f>K39*Calculation!I15/Calculation!K14</f>
        <v>0</v>
      </c>
      <c r="N39" s="11">
        <v>0</v>
      </c>
      <c r="O39" s="11">
        <v>0</v>
      </c>
      <c r="P39" s="11">
        <f>N39*Calculation!I15/Calculation!K14</f>
        <v>0</v>
      </c>
      <c r="Q39" s="11">
        <f>O39*Calculation!I15/Calculation!K14</f>
        <v>0</v>
      </c>
    </row>
    <row r="40" spans="4:17">
      <c r="D40" s="49">
        <v>12</v>
      </c>
      <c r="E40" s="69">
        <v>17</v>
      </c>
      <c r="F40" s="50">
        <v>0</v>
      </c>
      <c r="G40" s="69">
        <v>0</v>
      </c>
      <c r="H40" s="11">
        <f>F40*Calculation!I16/Calculation!K15</f>
        <v>0</v>
      </c>
      <c r="I40" s="11">
        <f>G40*Calculation!I16/Calculation!K15</f>
        <v>0</v>
      </c>
      <c r="J40" s="11">
        <v>0</v>
      </c>
      <c r="K40" s="11">
        <v>0</v>
      </c>
      <c r="L40" s="11">
        <f>J40*Calculation!I16/Calculation!K15</f>
        <v>0</v>
      </c>
      <c r="M40" s="11">
        <f>K40*Calculation!I16/Calculation!K15</f>
        <v>0</v>
      </c>
      <c r="N40" s="11">
        <v>0</v>
      </c>
      <c r="O40" s="11">
        <v>0</v>
      </c>
      <c r="P40" s="11">
        <f>N40*Calculation!I16/Calculation!K15</f>
        <v>0</v>
      </c>
      <c r="Q40" s="11">
        <f>O40*Calculation!I16/Calculation!K15</f>
        <v>0</v>
      </c>
    </row>
    <row r="41" spans="4:17">
      <c r="D41" s="49">
        <v>13</v>
      </c>
      <c r="E41" s="69">
        <v>18</v>
      </c>
      <c r="F41" s="50">
        <v>0</v>
      </c>
      <c r="G41" s="69">
        <v>0</v>
      </c>
      <c r="H41" s="11">
        <f>F41*Calculation!I17/Calculation!K16</f>
        <v>0</v>
      </c>
      <c r="I41" s="11">
        <f>G41*Calculation!I17/Calculation!K16</f>
        <v>0</v>
      </c>
      <c r="J41" s="11">
        <v>0</v>
      </c>
      <c r="K41" s="11">
        <v>0</v>
      </c>
      <c r="L41" s="11">
        <f>J41*Calculation!I17/Calculation!K16</f>
        <v>0</v>
      </c>
      <c r="M41" s="11">
        <f>K41*Calculation!I17/Calculation!K16</f>
        <v>0</v>
      </c>
      <c r="N41" s="11">
        <v>0</v>
      </c>
      <c r="O41" s="11">
        <v>0</v>
      </c>
      <c r="P41" s="11">
        <f>N41*Calculation!I17/Calculation!K16</f>
        <v>0</v>
      </c>
      <c r="Q41" s="11">
        <f>O41*Calculation!I17/Calculation!K16</f>
        <v>0</v>
      </c>
    </row>
    <row r="42" spans="4:17">
      <c r="D42" s="49">
        <v>14</v>
      </c>
      <c r="E42" s="69">
        <v>24</v>
      </c>
      <c r="F42" s="50">
        <v>0</v>
      </c>
      <c r="G42" s="69">
        <v>0</v>
      </c>
      <c r="H42" s="11">
        <f>F42*Calculation!I18/Calculation!K17</f>
        <v>0</v>
      </c>
      <c r="I42" s="11">
        <f>G42*Calculation!I18/Calculation!K17</f>
        <v>0</v>
      </c>
      <c r="J42" s="11">
        <v>0</v>
      </c>
      <c r="K42" s="11">
        <v>0</v>
      </c>
      <c r="L42" s="11">
        <f>J42*Calculation!I18/Calculation!K17</f>
        <v>0</v>
      </c>
      <c r="M42" s="11">
        <f>K42*Calculation!I18/Calculation!K17</f>
        <v>0</v>
      </c>
      <c r="N42" s="11">
        <v>0</v>
      </c>
      <c r="O42" s="11">
        <v>0</v>
      </c>
      <c r="P42" s="11">
        <f>N42*Calculation!I18/Calculation!K17</f>
        <v>0</v>
      </c>
      <c r="Q42" s="11">
        <f>O42*Calculation!I18/Calculation!K17</f>
        <v>0</v>
      </c>
    </row>
    <row r="43" spans="4:17">
      <c r="D43" s="49">
        <v>15</v>
      </c>
      <c r="E43" s="69">
        <v>30</v>
      </c>
      <c r="F43" s="50">
        <v>0</v>
      </c>
      <c r="G43" s="69">
        <v>0</v>
      </c>
      <c r="H43" s="11">
        <f>F43*Calculation!I19/Calculation!K18</f>
        <v>0</v>
      </c>
      <c r="I43" s="11">
        <f>G43*Calculation!I19/Calculation!K18</f>
        <v>0</v>
      </c>
      <c r="J43" s="11">
        <v>0</v>
      </c>
      <c r="K43" s="11">
        <v>0</v>
      </c>
      <c r="L43" s="11">
        <f>J43*Calculation!I19/Calculation!K18</f>
        <v>0</v>
      </c>
      <c r="M43" s="11">
        <f>K43*Calculation!I19/Calculation!K18</f>
        <v>0</v>
      </c>
      <c r="N43" s="11">
        <v>0</v>
      </c>
      <c r="O43" s="11">
        <v>0</v>
      </c>
      <c r="P43" s="11">
        <f>N43*Calculation!I19/Calculation!K18</f>
        <v>0</v>
      </c>
      <c r="Q43" s="11">
        <f>O43*Calculation!I19/Calculation!K18</f>
        <v>0</v>
      </c>
    </row>
    <row r="44" spans="4:17">
      <c r="D44" s="49">
        <v>16</v>
      </c>
      <c r="E44" s="69">
        <v>48</v>
      </c>
      <c r="F44" s="50">
        <v>0</v>
      </c>
      <c r="G44" s="69">
        <v>0</v>
      </c>
      <c r="H44" s="11">
        <f>F44*Calculation!I20/Calculation!K19</f>
        <v>0</v>
      </c>
      <c r="I44" s="11">
        <f>G44*Calculation!I20/Calculation!K19</f>
        <v>0</v>
      </c>
      <c r="J44" s="11">
        <v>0</v>
      </c>
      <c r="K44" s="11">
        <v>0</v>
      </c>
      <c r="L44" s="11">
        <f>J44*Calculation!I20/Calculation!K19</f>
        <v>0</v>
      </c>
      <c r="M44" s="11">
        <f>K44*Calculation!I20/Calculation!K19</f>
        <v>0</v>
      </c>
      <c r="N44" s="11">
        <v>0</v>
      </c>
      <c r="O44" s="11">
        <v>0</v>
      </c>
      <c r="P44" s="11">
        <f>N44*Calculation!I20/Calculation!K19</f>
        <v>0</v>
      </c>
      <c r="Q44" s="11">
        <f>O44*Calculation!I20/Calculation!K19</f>
        <v>0</v>
      </c>
    </row>
    <row r="45" spans="4:17">
      <c r="D45" s="49">
        <v>17</v>
      </c>
      <c r="E45" s="69">
        <v>54</v>
      </c>
      <c r="F45" s="50">
        <v>0</v>
      </c>
      <c r="G45" s="69">
        <v>0</v>
      </c>
      <c r="H45" s="11">
        <f>F45*Calculation!I21/Calculation!K20</f>
        <v>0</v>
      </c>
      <c r="I45" s="11">
        <f>G45*Calculation!I21/Calculation!K20</f>
        <v>0</v>
      </c>
      <c r="J45" s="11">
        <v>0</v>
      </c>
      <c r="K45" s="11">
        <v>0</v>
      </c>
      <c r="L45" s="11">
        <f>J45*Calculation!I21/Calculation!K20</f>
        <v>0</v>
      </c>
      <c r="M45" s="11">
        <f>K45*Calculation!I21/Calculation!K20</f>
        <v>0</v>
      </c>
      <c r="N45" s="11">
        <v>0</v>
      </c>
      <c r="O45" s="11">
        <v>0</v>
      </c>
      <c r="P45" s="11">
        <f>N45*Calculation!I21/Calculation!K20</f>
        <v>0</v>
      </c>
      <c r="Q45" s="11">
        <f>O45*Calculation!I21/Calculation!K20</f>
        <v>0</v>
      </c>
    </row>
    <row r="46" spans="4:17">
      <c r="D46" s="49">
        <v>18</v>
      </c>
      <c r="E46" s="69">
        <v>72</v>
      </c>
      <c r="F46" s="50">
        <v>0</v>
      </c>
      <c r="G46" s="69">
        <v>0</v>
      </c>
      <c r="H46" s="11">
        <f>F46*Calculation!I22/Calculation!K21</f>
        <v>0</v>
      </c>
      <c r="I46" s="11">
        <f>G46*Calculation!I22/Calculation!K21</f>
        <v>0</v>
      </c>
      <c r="J46" s="11">
        <v>0</v>
      </c>
      <c r="K46" s="11">
        <v>0</v>
      </c>
      <c r="L46" s="11">
        <f>J46*Calculation!I22/Calculation!K21</f>
        <v>0</v>
      </c>
      <c r="M46" s="11">
        <f>K46*Calculation!I22/Calculation!K21</f>
        <v>0</v>
      </c>
      <c r="N46" s="11">
        <v>0</v>
      </c>
      <c r="O46" s="11">
        <v>0</v>
      </c>
      <c r="P46" s="11">
        <f>N46*Calculation!I22/Calculation!K21</f>
        <v>0</v>
      </c>
      <c r="Q46" s="11">
        <f>O46*Calculation!I22/Calculation!K21</f>
        <v>0</v>
      </c>
    </row>
  </sheetData>
  <mergeCells count="14">
    <mergeCell ref="R1:U1"/>
    <mergeCell ref="D1:D2"/>
    <mergeCell ref="E1:E2"/>
    <mergeCell ref="F1:I1"/>
    <mergeCell ref="J1:M1"/>
    <mergeCell ref="F25:I25"/>
    <mergeCell ref="J25:M25"/>
    <mergeCell ref="N25:Q25"/>
    <mergeCell ref="N1:Q1"/>
    <mergeCell ref="A1:B1"/>
    <mergeCell ref="A2:B2"/>
    <mergeCell ref="A3:A4"/>
    <mergeCell ref="D25:D26"/>
    <mergeCell ref="E25:E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Fermentation</vt:lpstr>
      <vt:lpstr>Calculation</vt:lpstr>
      <vt:lpstr>Plate Count</vt:lpstr>
      <vt:lpstr>Flow cytometer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2015-03-12T15:02:13Z</dcterms:modified>
  <cp:category/>
</cp:coreProperties>
</file>