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780" tabRatio="930" firstSheet="6" activeTab="18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F. prausnitzii" sheetId="25" r:id="rId5"/>
    <sheet name="Determination cell count" sheetId="26" r:id="rId6"/>
    <sheet name="OD600nm" sheetId="4" r:id="rId7"/>
    <sheet name="CDM" sheetId="5" r:id="rId8"/>
    <sheet name="H2" sheetId="17" r:id="rId9"/>
    <sheet name="CO2" sheetId="7" r:id="rId10"/>
    <sheet name="Metabolites" sheetId="8" r:id="rId11"/>
    <sheet name="D-Fructose" sheetId="19" r:id="rId12"/>
    <sheet name="Formic acid" sheetId="18" r:id="rId13"/>
    <sheet name="Acetic acid" sheetId="15" r:id="rId14"/>
    <sheet name="Propionic acid" sheetId="20" r:id="rId15"/>
    <sheet name="Butyric acid" sheetId="21" r:id="rId16"/>
    <sheet name="Lactic acid" sheetId="14" r:id="rId17"/>
    <sheet name="Ethanol" sheetId="16" r:id="rId18"/>
    <sheet name="Graph" sheetId="13" r:id="rId19"/>
    <sheet name="Graph (2)" sheetId="24" r:id="rId20"/>
    <sheet name="Carbon recovery" sheetId="23" r:id="rId21"/>
  </sheets>
  <externalReferences>
    <externalReference r:id="rId22"/>
  </externalReferences>
  <definedNames>
    <definedName name="_2012_05_10_FPRAU_fruc1" localSheetId="9">'CO2'!$I$5:$I$293</definedName>
    <definedName name="_2012_06_08_BIF_REC_OLI_1" localSheetId="9">'CO2'!$N$5:$N$201</definedName>
    <definedName name="_2012_06_08_BIF_REC_OLI_1" localSheetId="8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8" l="1"/>
  <c r="H20" i="8"/>
  <c r="B2" i="23"/>
  <c r="AE4" i="26"/>
  <c r="H68" i="26"/>
  <c r="H81" i="26"/>
  <c r="I53" i="26"/>
  <c r="J53" i="26"/>
  <c r="I54" i="26"/>
  <c r="J54" i="26"/>
  <c r="I55" i="26"/>
  <c r="J55" i="26"/>
  <c r="I56" i="26"/>
  <c r="J56" i="26"/>
  <c r="I57" i="26"/>
  <c r="J57" i="26"/>
  <c r="I58" i="26"/>
  <c r="J58" i="26"/>
  <c r="I59" i="26"/>
  <c r="J59" i="26"/>
  <c r="I60" i="26"/>
  <c r="J60" i="26"/>
  <c r="I61" i="26"/>
  <c r="J61" i="26"/>
  <c r="I62" i="26"/>
  <c r="J62" i="26"/>
  <c r="H54" i="26"/>
  <c r="H55" i="26"/>
  <c r="H56" i="26"/>
  <c r="H57" i="26"/>
  <c r="H58" i="26"/>
  <c r="H59" i="26"/>
  <c r="H60" i="26"/>
  <c r="H61" i="26"/>
  <c r="H62" i="26"/>
  <c r="H53" i="26"/>
  <c r="H77" i="26"/>
  <c r="H76" i="26"/>
  <c r="Y4" i="26"/>
  <c r="AD4" i="26"/>
  <c r="H69" i="26"/>
  <c r="H70" i="26"/>
  <c r="H71" i="26"/>
  <c r="H72" i="26"/>
  <c r="H75" i="26"/>
  <c r="H73" i="26"/>
  <c r="H74" i="26"/>
  <c r="AF4" i="26"/>
  <c r="Y20" i="26"/>
  <c r="Y19" i="26"/>
  <c r="Y18" i="26"/>
  <c r="Y17" i="26"/>
  <c r="Y16" i="26"/>
  <c r="Y15" i="26"/>
  <c r="Y14" i="26"/>
  <c r="Y13" i="26"/>
  <c r="Y12" i="26"/>
  <c r="Y11" i="26"/>
  <c r="Y10" i="26"/>
  <c r="Y9" i="26"/>
  <c r="Y8" i="26"/>
  <c r="Y7" i="26"/>
  <c r="Y6" i="26"/>
  <c r="Y5" i="26"/>
  <c r="AD20" i="26"/>
  <c r="AE20" i="26"/>
  <c r="AF20" i="26"/>
  <c r="AD19" i="26"/>
  <c r="AE19" i="26"/>
  <c r="AF19" i="26"/>
  <c r="AD18" i="26"/>
  <c r="AE18" i="26"/>
  <c r="AF18" i="26"/>
  <c r="AD17" i="26"/>
  <c r="AE17" i="26"/>
  <c r="AF17" i="26"/>
  <c r="AD16" i="26"/>
  <c r="AE16" i="26"/>
  <c r="AF16" i="26"/>
  <c r="AD15" i="26"/>
  <c r="AE15" i="26"/>
  <c r="AF15" i="26"/>
  <c r="AD14" i="26"/>
  <c r="AE14" i="26"/>
  <c r="AF14" i="26"/>
  <c r="AD13" i="26"/>
  <c r="AE13" i="26"/>
  <c r="AF13" i="26"/>
  <c r="AD12" i="26"/>
  <c r="AE12" i="26"/>
  <c r="AF12" i="26"/>
  <c r="AD11" i="26"/>
  <c r="AE11" i="26"/>
  <c r="AF11" i="26"/>
  <c r="AD10" i="26"/>
  <c r="AE10" i="26"/>
  <c r="AF10" i="26"/>
  <c r="AD9" i="26"/>
  <c r="AE9" i="26"/>
  <c r="AF9" i="26"/>
  <c r="AD8" i="26"/>
  <c r="AE8" i="26"/>
  <c r="AF8" i="26"/>
  <c r="AD7" i="26"/>
  <c r="AE7" i="26"/>
  <c r="AF7" i="26"/>
  <c r="AD6" i="26"/>
  <c r="AE6" i="26"/>
  <c r="AF6" i="26"/>
  <c r="AD5" i="26"/>
  <c r="AE5" i="26"/>
  <c r="AF5" i="26"/>
  <c r="H47" i="26"/>
  <c r="B66" i="26"/>
  <c r="B65" i="26"/>
  <c r="K47" i="26"/>
  <c r="I47" i="26"/>
  <c r="L47" i="26"/>
  <c r="J47" i="26"/>
  <c r="M47" i="26"/>
  <c r="O47" i="26"/>
  <c r="F3" i="2"/>
  <c r="F4" i="2"/>
  <c r="I5" i="2"/>
  <c r="J3" i="2"/>
  <c r="K3" i="2"/>
  <c r="I4" i="2"/>
  <c r="J4" i="2"/>
  <c r="K4" i="2"/>
  <c r="S47" i="26"/>
  <c r="H48" i="26"/>
  <c r="K48" i="26"/>
  <c r="I48" i="26"/>
  <c r="L48" i="26"/>
  <c r="J48" i="26"/>
  <c r="M48" i="26"/>
  <c r="O48" i="26"/>
  <c r="F5" i="2"/>
  <c r="I6" i="2"/>
  <c r="J5" i="2"/>
  <c r="K5" i="2"/>
  <c r="S48" i="26"/>
  <c r="H49" i="26"/>
  <c r="K49" i="26"/>
  <c r="I49" i="26"/>
  <c r="L49" i="26"/>
  <c r="J49" i="26"/>
  <c r="M49" i="26"/>
  <c r="O49" i="26"/>
  <c r="F6" i="2"/>
  <c r="I7" i="2"/>
  <c r="J6" i="2"/>
  <c r="K6" i="2"/>
  <c r="S49" i="26"/>
  <c r="H50" i="26"/>
  <c r="K50" i="26"/>
  <c r="I50" i="26"/>
  <c r="L50" i="26"/>
  <c r="J50" i="26"/>
  <c r="M50" i="26"/>
  <c r="O50" i="26"/>
  <c r="F7" i="2"/>
  <c r="I8" i="2"/>
  <c r="J7" i="2"/>
  <c r="K7" i="2"/>
  <c r="S50" i="26"/>
  <c r="H51" i="26"/>
  <c r="K51" i="26"/>
  <c r="I51" i="26"/>
  <c r="L51" i="26"/>
  <c r="J51" i="26"/>
  <c r="M51" i="26"/>
  <c r="O51" i="26"/>
  <c r="F8" i="2"/>
  <c r="I9" i="2"/>
  <c r="J8" i="2"/>
  <c r="K8" i="2"/>
  <c r="S51" i="26"/>
  <c r="H52" i="26"/>
  <c r="K52" i="26"/>
  <c r="I52" i="26"/>
  <c r="L52" i="26"/>
  <c r="J52" i="26"/>
  <c r="M52" i="26"/>
  <c r="O52" i="26"/>
  <c r="F9" i="2"/>
  <c r="I10" i="2"/>
  <c r="J9" i="2"/>
  <c r="K9" i="2"/>
  <c r="S52" i="26"/>
  <c r="K53" i="26"/>
  <c r="L53" i="26"/>
  <c r="M53" i="26"/>
  <c r="O53" i="26"/>
  <c r="F10" i="2"/>
  <c r="I11" i="2"/>
  <c r="J10" i="2"/>
  <c r="K10" i="2"/>
  <c r="S53" i="26"/>
  <c r="K54" i="26"/>
  <c r="L54" i="26"/>
  <c r="M54" i="26"/>
  <c r="O54" i="26"/>
  <c r="F11" i="2"/>
  <c r="I12" i="2"/>
  <c r="J11" i="2"/>
  <c r="K11" i="2"/>
  <c r="S54" i="26"/>
  <c r="K55" i="26"/>
  <c r="L55" i="26"/>
  <c r="M55" i="26"/>
  <c r="O55" i="26"/>
  <c r="F12" i="2"/>
  <c r="I13" i="2"/>
  <c r="J12" i="2"/>
  <c r="K12" i="2"/>
  <c r="S55" i="26"/>
  <c r="K56" i="26"/>
  <c r="L56" i="26"/>
  <c r="M56" i="26"/>
  <c r="O56" i="26"/>
  <c r="F13" i="2"/>
  <c r="I14" i="2"/>
  <c r="J13" i="2"/>
  <c r="K13" i="2"/>
  <c r="S56" i="26"/>
  <c r="K57" i="26"/>
  <c r="L57" i="26"/>
  <c r="M57" i="26"/>
  <c r="O57" i="26"/>
  <c r="F14" i="2"/>
  <c r="I15" i="2"/>
  <c r="J14" i="2"/>
  <c r="K14" i="2"/>
  <c r="S57" i="26"/>
  <c r="K58" i="26"/>
  <c r="L58" i="26"/>
  <c r="M58" i="26"/>
  <c r="O58" i="26"/>
  <c r="F15" i="2"/>
  <c r="I16" i="2"/>
  <c r="J15" i="2"/>
  <c r="K15" i="2"/>
  <c r="S58" i="26"/>
  <c r="K59" i="26"/>
  <c r="L59" i="26"/>
  <c r="M59" i="26"/>
  <c r="O59" i="26"/>
  <c r="F16" i="2"/>
  <c r="I17" i="2"/>
  <c r="J16" i="2"/>
  <c r="K16" i="2"/>
  <c r="S59" i="26"/>
  <c r="K60" i="26"/>
  <c r="L60" i="26"/>
  <c r="M60" i="26"/>
  <c r="O60" i="26"/>
  <c r="F17" i="2"/>
  <c r="I18" i="2"/>
  <c r="J17" i="2"/>
  <c r="K17" i="2"/>
  <c r="S60" i="26"/>
  <c r="K61" i="26"/>
  <c r="L61" i="26"/>
  <c r="M61" i="26"/>
  <c r="O61" i="26"/>
  <c r="F18" i="2"/>
  <c r="I19" i="2"/>
  <c r="J18" i="2"/>
  <c r="K18" i="2"/>
  <c r="S61" i="26"/>
  <c r="K62" i="26"/>
  <c r="L62" i="26"/>
  <c r="M62" i="26"/>
  <c r="O62" i="26"/>
  <c r="F19" i="2"/>
  <c r="I20" i="2"/>
  <c r="J19" i="2"/>
  <c r="K19" i="2"/>
  <c r="S62" i="26"/>
  <c r="H46" i="26"/>
  <c r="K46" i="26"/>
  <c r="I46" i="26"/>
  <c r="L46" i="26"/>
  <c r="J46" i="26"/>
  <c r="M46" i="26"/>
  <c r="O46" i="26"/>
  <c r="S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60" i="26"/>
  <c r="Q61" i="26"/>
  <c r="Q62" i="26"/>
  <c r="Q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P60" i="26"/>
  <c r="P61" i="26"/>
  <c r="P62" i="26"/>
  <c r="P46" i="26"/>
  <c r="H26" i="26"/>
  <c r="K26" i="26"/>
  <c r="I26" i="26"/>
  <c r="L26" i="26"/>
  <c r="J26" i="26"/>
  <c r="M26" i="26"/>
  <c r="O26" i="26"/>
  <c r="S26" i="26"/>
  <c r="H27" i="26"/>
  <c r="K27" i="26"/>
  <c r="I27" i="26"/>
  <c r="L27" i="26"/>
  <c r="J27" i="26"/>
  <c r="M27" i="26"/>
  <c r="O27" i="26"/>
  <c r="S27" i="26"/>
  <c r="H28" i="26"/>
  <c r="K28" i="26"/>
  <c r="I28" i="26"/>
  <c r="L28" i="26"/>
  <c r="J28" i="26"/>
  <c r="M28" i="26"/>
  <c r="O28" i="26"/>
  <c r="S28" i="26"/>
  <c r="H29" i="26"/>
  <c r="K29" i="26"/>
  <c r="I29" i="26"/>
  <c r="L29" i="26"/>
  <c r="J29" i="26"/>
  <c r="M29" i="26"/>
  <c r="O29" i="26"/>
  <c r="S29" i="26"/>
  <c r="H30" i="26"/>
  <c r="K30" i="26"/>
  <c r="I30" i="26"/>
  <c r="L30" i="26"/>
  <c r="J30" i="26"/>
  <c r="M30" i="26"/>
  <c r="O30" i="26"/>
  <c r="S30" i="26"/>
  <c r="H31" i="26"/>
  <c r="K31" i="26"/>
  <c r="I31" i="26"/>
  <c r="L31" i="26"/>
  <c r="J31" i="26"/>
  <c r="M31" i="26"/>
  <c r="O31" i="26"/>
  <c r="S31" i="26"/>
  <c r="H32" i="26"/>
  <c r="K32" i="26"/>
  <c r="I32" i="26"/>
  <c r="L32" i="26"/>
  <c r="J32" i="26"/>
  <c r="M32" i="26"/>
  <c r="O32" i="26"/>
  <c r="S32" i="26"/>
  <c r="H33" i="26"/>
  <c r="K33" i="26"/>
  <c r="I33" i="26"/>
  <c r="L33" i="26"/>
  <c r="J33" i="26"/>
  <c r="M33" i="26"/>
  <c r="O33" i="26"/>
  <c r="S33" i="26"/>
  <c r="H34" i="26"/>
  <c r="K34" i="26"/>
  <c r="I34" i="26"/>
  <c r="L34" i="26"/>
  <c r="J34" i="26"/>
  <c r="M34" i="26"/>
  <c r="O34" i="26"/>
  <c r="S34" i="26"/>
  <c r="H35" i="26"/>
  <c r="K35" i="26"/>
  <c r="I35" i="26"/>
  <c r="L35" i="26"/>
  <c r="J35" i="26"/>
  <c r="M35" i="26"/>
  <c r="O35" i="26"/>
  <c r="S35" i="26"/>
  <c r="H36" i="26"/>
  <c r="K36" i="26"/>
  <c r="I36" i="26"/>
  <c r="L36" i="26"/>
  <c r="J36" i="26"/>
  <c r="M36" i="26"/>
  <c r="O36" i="26"/>
  <c r="S36" i="26"/>
  <c r="H37" i="26"/>
  <c r="K37" i="26"/>
  <c r="I37" i="26"/>
  <c r="L37" i="26"/>
  <c r="J37" i="26"/>
  <c r="M37" i="26"/>
  <c r="O37" i="26"/>
  <c r="S37" i="26"/>
  <c r="H38" i="26"/>
  <c r="K38" i="26"/>
  <c r="I38" i="26"/>
  <c r="L38" i="26"/>
  <c r="J38" i="26"/>
  <c r="M38" i="26"/>
  <c r="O38" i="26"/>
  <c r="S38" i="26"/>
  <c r="H39" i="26"/>
  <c r="K39" i="26"/>
  <c r="I39" i="26"/>
  <c r="L39" i="26"/>
  <c r="J39" i="26"/>
  <c r="M39" i="26"/>
  <c r="O39" i="26"/>
  <c r="S39" i="26"/>
  <c r="H40" i="26"/>
  <c r="K40" i="26"/>
  <c r="I40" i="26"/>
  <c r="L40" i="26"/>
  <c r="J40" i="26"/>
  <c r="M40" i="26"/>
  <c r="O40" i="26"/>
  <c r="S40" i="26"/>
  <c r="H41" i="26"/>
  <c r="K41" i="26"/>
  <c r="I41" i="26"/>
  <c r="L41" i="26"/>
  <c r="J41" i="26"/>
  <c r="M41" i="26"/>
  <c r="O41" i="26"/>
  <c r="S41" i="26"/>
  <c r="H25" i="26"/>
  <c r="K25" i="26"/>
  <c r="I25" i="26"/>
  <c r="L25" i="26"/>
  <c r="J25" i="26"/>
  <c r="M25" i="26"/>
  <c r="O25" i="26"/>
  <c r="S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25" i="26"/>
  <c r="J4" i="26"/>
  <c r="I4" i="26"/>
  <c r="I5" i="26"/>
  <c r="J5" i="26"/>
  <c r="I6" i="26"/>
  <c r="J6" i="26"/>
  <c r="I7" i="26"/>
  <c r="J7" i="26"/>
  <c r="I8" i="26"/>
  <c r="J8" i="26"/>
  <c r="I9" i="26"/>
  <c r="J9" i="26"/>
  <c r="I10" i="26"/>
  <c r="J10" i="26"/>
  <c r="I11" i="26"/>
  <c r="J11" i="26"/>
  <c r="I12" i="26"/>
  <c r="J12" i="26"/>
  <c r="I13" i="26"/>
  <c r="J13" i="26"/>
  <c r="I14" i="26"/>
  <c r="J14" i="26"/>
  <c r="I15" i="26"/>
  <c r="J15" i="26"/>
  <c r="I16" i="26"/>
  <c r="J16" i="26"/>
  <c r="I17" i="26"/>
  <c r="J17" i="26"/>
  <c r="I18" i="26"/>
  <c r="J18" i="26"/>
  <c r="I19" i="26"/>
  <c r="J19" i="26"/>
  <c r="I20" i="26"/>
  <c r="J20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4" i="26"/>
  <c r="R62" i="26"/>
  <c r="N62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D62" i="26"/>
  <c r="R61" i="26"/>
  <c r="N61" i="26"/>
  <c r="D61" i="26"/>
  <c r="R60" i="26"/>
  <c r="N60" i="26"/>
  <c r="D60" i="26"/>
  <c r="R59" i="26"/>
  <c r="N59" i="26"/>
  <c r="D59" i="26"/>
  <c r="R58" i="26"/>
  <c r="N58" i="26"/>
  <c r="D58" i="26"/>
  <c r="R57" i="26"/>
  <c r="N57" i="26"/>
  <c r="D57" i="26"/>
  <c r="R56" i="26"/>
  <c r="N56" i="26"/>
  <c r="D56" i="26"/>
  <c r="R55" i="26"/>
  <c r="N55" i="26"/>
  <c r="D55" i="26"/>
  <c r="R54" i="26"/>
  <c r="N54" i="26"/>
  <c r="D54" i="26"/>
  <c r="R53" i="26"/>
  <c r="N53" i="26"/>
  <c r="D53" i="26"/>
  <c r="R52" i="26"/>
  <c r="N52" i="26"/>
  <c r="D52" i="26"/>
  <c r="R51" i="26"/>
  <c r="N51" i="26"/>
  <c r="D51" i="26"/>
  <c r="R50" i="26"/>
  <c r="N50" i="26"/>
  <c r="D50" i="26"/>
  <c r="R49" i="26"/>
  <c r="N49" i="26"/>
  <c r="D49" i="26"/>
  <c r="R48" i="26"/>
  <c r="N48" i="26"/>
  <c r="D48" i="26"/>
  <c r="R47" i="26"/>
  <c r="N47" i="26"/>
  <c r="D47" i="26"/>
  <c r="R46" i="26"/>
  <c r="N46" i="26"/>
  <c r="D46" i="26"/>
  <c r="R41" i="26"/>
  <c r="N41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D41" i="26"/>
  <c r="R40" i="26"/>
  <c r="N40" i="26"/>
  <c r="D40" i="26"/>
  <c r="R39" i="26"/>
  <c r="N39" i="26"/>
  <c r="D39" i="26"/>
  <c r="R38" i="26"/>
  <c r="N38" i="26"/>
  <c r="D38" i="26"/>
  <c r="R37" i="26"/>
  <c r="N37" i="26"/>
  <c r="D37" i="26"/>
  <c r="R36" i="26"/>
  <c r="N36" i="26"/>
  <c r="D36" i="26"/>
  <c r="R35" i="26"/>
  <c r="N35" i="26"/>
  <c r="D35" i="26"/>
  <c r="R34" i="26"/>
  <c r="N34" i="26"/>
  <c r="D34" i="26"/>
  <c r="R33" i="26"/>
  <c r="N33" i="26"/>
  <c r="D33" i="26"/>
  <c r="R32" i="26"/>
  <c r="N32" i="26"/>
  <c r="D32" i="26"/>
  <c r="R31" i="26"/>
  <c r="N31" i="26"/>
  <c r="D31" i="26"/>
  <c r="R30" i="26"/>
  <c r="N30" i="26"/>
  <c r="D30" i="26"/>
  <c r="R29" i="26"/>
  <c r="N29" i="26"/>
  <c r="D29" i="26"/>
  <c r="R28" i="26"/>
  <c r="N28" i="26"/>
  <c r="D28" i="26"/>
  <c r="R27" i="26"/>
  <c r="N27" i="26"/>
  <c r="D27" i="26"/>
  <c r="R26" i="26"/>
  <c r="N26" i="26"/>
  <c r="D26" i="26"/>
  <c r="R25" i="26"/>
  <c r="N25" i="26"/>
  <c r="D25" i="26"/>
  <c r="K5" i="26"/>
  <c r="L5" i="26"/>
  <c r="M5" i="26"/>
  <c r="O5" i="26"/>
  <c r="S5" i="26"/>
  <c r="K6" i="26"/>
  <c r="L6" i="26"/>
  <c r="M6" i="26"/>
  <c r="O6" i="26"/>
  <c r="S6" i="26"/>
  <c r="K7" i="26"/>
  <c r="L7" i="26"/>
  <c r="M7" i="26"/>
  <c r="O7" i="26"/>
  <c r="S7" i="26"/>
  <c r="K8" i="26"/>
  <c r="L8" i="26"/>
  <c r="M8" i="26"/>
  <c r="O8" i="26"/>
  <c r="S8" i="26"/>
  <c r="K9" i="26"/>
  <c r="L9" i="26"/>
  <c r="M9" i="26"/>
  <c r="O9" i="26"/>
  <c r="S9" i="26"/>
  <c r="K10" i="26"/>
  <c r="L10" i="26"/>
  <c r="M10" i="26"/>
  <c r="O10" i="26"/>
  <c r="S10" i="26"/>
  <c r="K11" i="26"/>
  <c r="L11" i="26"/>
  <c r="M11" i="26"/>
  <c r="O11" i="26"/>
  <c r="S11" i="26"/>
  <c r="K12" i="26"/>
  <c r="L12" i="26"/>
  <c r="M12" i="26"/>
  <c r="O12" i="26"/>
  <c r="S12" i="26"/>
  <c r="K13" i="26"/>
  <c r="L13" i="26"/>
  <c r="M13" i="26"/>
  <c r="O13" i="26"/>
  <c r="S13" i="26"/>
  <c r="K14" i="26"/>
  <c r="L14" i="26"/>
  <c r="M14" i="26"/>
  <c r="O14" i="26"/>
  <c r="S14" i="26"/>
  <c r="K15" i="26"/>
  <c r="L15" i="26"/>
  <c r="M15" i="26"/>
  <c r="O15" i="26"/>
  <c r="S15" i="26"/>
  <c r="K16" i="26"/>
  <c r="L16" i="26"/>
  <c r="M16" i="26"/>
  <c r="O16" i="26"/>
  <c r="S16" i="26"/>
  <c r="K17" i="26"/>
  <c r="L17" i="26"/>
  <c r="M17" i="26"/>
  <c r="O17" i="26"/>
  <c r="S17" i="26"/>
  <c r="K18" i="26"/>
  <c r="L18" i="26"/>
  <c r="M18" i="26"/>
  <c r="O18" i="26"/>
  <c r="S18" i="26"/>
  <c r="K19" i="26"/>
  <c r="L19" i="26"/>
  <c r="M19" i="26"/>
  <c r="O19" i="26"/>
  <c r="S19" i="26"/>
  <c r="K20" i="26"/>
  <c r="L20" i="26"/>
  <c r="M20" i="26"/>
  <c r="O20" i="26"/>
  <c r="S20" i="26"/>
  <c r="K4" i="26"/>
  <c r="L4" i="26"/>
  <c r="M4" i="26"/>
  <c r="O4" i="26"/>
  <c r="S4" i="26"/>
  <c r="P5" i="26"/>
  <c r="R5" i="26"/>
  <c r="P6" i="26"/>
  <c r="R6" i="26"/>
  <c r="P7" i="26"/>
  <c r="R7" i="26"/>
  <c r="P8" i="26"/>
  <c r="R8" i="26"/>
  <c r="P9" i="26"/>
  <c r="R9" i="26"/>
  <c r="P10" i="26"/>
  <c r="R10" i="26"/>
  <c r="P11" i="26"/>
  <c r="R11" i="26"/>
  <c r="P12" i="26"/>
  <c r="R12" i="26"/>
  <c r="P13" i="26"/>
  <c r="R13" i="26"/>
  <c r="P14" i="26"/>
  <c r="R14" i="26"/>
  <c r="P15" i="26"/>
  <c r="R15" i="26"/>
  <c r="P16" i="26"/>
  <c r="R16" i="26"/>
  <c r="P17" i="26"/>
  <c r="R17" i="26"/>
  <c r="P18" i="26"/>
  <c r="R18" i="26"/>
  <c r="P19" i="26"/>
  <c r="R19" i="26"/>
  <c r="P20" i="26"/>
  <c r="R20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4" i="26"/>
  <c r="P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G68" i="26"/>
  <c r="F68" i="26"/>
  <c r="E68" i="26"/>
  <c r="R4" i="26"/>
  <c r="N4" i="26"/>
  <c r="D48" i="25"/>
  <c r="F40" i="25"/>
  <c r="I38" i="25"/>
  <c r="J38" i="25"/>
  <c r="K38" i="25"/>
  <c r="L38" i="25"/>
  <c r="F38" i="25"/>
  <c r="G37" i="25"/>
  <c r="H37" i="25"/>
  <c r="I37" i="25"/>
  <c r="J37" i="25"/>
  <c r="K37" i="25"/>
  <c r="L37" i="25"/>
  <c r="F37" i="25"/>
  <c r="G36" i="25"/>
  <c r="H36" i="25"/>
  <c r="I36" i="25"/>
  <c r="J36" i="25"/>
  <c r="K36" i="25"/>
  <c r="L36" i="25"/>
  <c r="F36" i="25"/>
  <c r="G35" i="25"/>
  <c r="H35" i="25"/>
  <c r="I35" i="25"/>
  <c r="J35" i="25"/>
  <c r="K35" i="25"/>
  <c r="L35" i="25"/>
  <c r="F35" i="25"/>
  <c r="G34" i="25"/>
  <c r="H34" i="25"/>
  <c r="I34" i="25"/>
  <c r="J34" i="25"/>
  <c r="K34" i="25"/>
  <c r="L34" i="25"/>
  <c r="F34" i="25"/>
  <c r="G33" i="25"/>
  <c r="H33" i="25"/>
  <c r="I33" i="25"/>
  <c r="J33" i="25"/>
  <c r="K33" i="25"/>
  <c r="L33" i="25"/>
  <c r="F33" i="25"/>
  <c r="G32" i="25"/>
  <c r="H32" i="25"/>
  <c r="I32" i="25"/>
  <c r="J32" i="25"/>
  <c r="K32" i="25"/>
  <c r="L32" i="25"/>
  <c r="F32" i="25"/>
  <c r="G31" i="25"/>
  <c r="H31" i="25"/>
  <c r="I31" i="25"/>
  <c r="J31" i="25"/>
  <c r="K31" i="25"/>
  <c r="L31" i="25"/>
  <c r="F31" i="25"/>
  <c r="G30" i="25"/>
  <c r="H30" i="25"/>
  <c r="I30" i="25"/>
  <c r="J30" i="25"/>
  <c r="K30" i="25"/>
  <c r="L30" i="25"/>
  <c r="F30" i="25"/>
  <c r="G29" i="25"/>
  <c r="H29" i="25"/>
  <c r="I29" i="25"/>
  <c r="J29" i="25"/>
  <c r="K29" i="25"/>
  <c r="L29" i="25"/>
  <c r="F29" i="25"/>
  <c r="G28" i="25"/>
  <c r="H28" i="25"/>
  <c r="I28" i="25"/>
  <c r="J28" i="25"/>
  <c r="K28" i="25"/>
  <c r="L28" i="25"/>
  <c r="F28" i="25"/>
  <c r="G27" i="25"/>
  <c r="H27" i="25"/>
  <c r="I27" i="25"/>
  <c r="J27" i="25"/>
  <c r="K27" i="25"/>
  <c r="L27" i="25"/>
  <c r="F27" i="25"/>
  <c r="G26" i="25"/>
  <c r="H26" i="25"/>
  <c r="I26" i="25"/>
  <c r="J26" i="25"/>
  <c r="K26" i="25"/>
  <c r="L26" i="25"/>
  <c r="F26" i="25"/>
  <c r="G25" i="25"/>
  <c r="H25" i="25"/>
  <c r="I25" i="25"/>
  <c r="J25" i="25"/>
  <c r="K25" i="25"/>
  <c r="L25" i="25"/>
  <c r="F25" i="25"/>
  <c r="G24" i="25"/>
  <c r="H24" i="25"/>
  <c r="I24" i="25"/>
  <c r="J24" i="25"/>
  <c r="K24" i="25"/>
  <c r="L24" i="25"/>
  <c r="F24" i="25"/>
  <c r="G23" i="25"/>
  <c r="H23" i="25"/>
  <c r="I23" i="25"/>
  <c r="J23" i="25"/>
  <c r="K23" i="25"/>
  <c r="L23" i="25"/>
  <c r="F23" i="25"/>
  <c r="O19" i="25"/>
  <c r="K19" i="25"/>
  <c r="G19" i="25"/>
  <c r="P19" i="25"/>
  <c r="R19" i="25"/>
  <c r="Q19" i="25"/>
  <c r="O18" i="25"/>
  <c r="K18" i="25"/>
  <c r="G18" i="25"/>
  <c r="P18" i="25"/>
  <c r="R18" i="25"/>
  <c r="Q18" i="25"/>
  <c r="O17" i="25"/>
  <c r="K17" i="25"/>
  <c r="G17" i="25"/>
  <c r="P17" i="25"/>
  <c r="R17" i="25"/>
  <c r="Q17" i="25"/>
  <c r="O16" i="25"/>
  <c r="K16" i="25"/>
  <c r="G16" i="25"/>
  <c r="P16" i="25"/>
  <c r="R16" i="25"/>
  <c r="Q16" i="25"/>
  <c r="O15" i="25"/>
  <c r="K15" i="25"/>
  <c r="G15" i="25"/>
  <c r="P15" i="25"/>
  <c r="R15" i="25"/>
  <c r="Q15" i="25"/>
  <c r="O14" i="25"/>
  <c r="K14" i="25"/>
  <c r="G14" i="25"/>
  <c r="P14" i="25"/>
  <c r="R14" i="25"/>
  <c r="Q14" i="25"/>
  <c r="O13" i="25"/>
  <c r="K13" i="25"/>
  <c r="G13" i="25"/>
  <c r="P13" i="25"/>
  <c r="R13" i="25"/>
  <c r="Q13" i="25"/>
  <c r="O12" i="25"/>
  <c r="K12" i="25"/>
  <c r="G12" i="25"/>
  <c r="P12" i="25"/>
  <c r="R12" i="25"/>
  <c r="Q12" i="25"/>
  <c r="O11" i="25"/>
  <c r="K11" i="25"/>
  <c r="G11" i="25"/>
  <c r="P11" i="25"/>
  <c r="R11" i="25"/>
  <c r="Q11" i="25"/>
  <c r="O10" i="25"/>
  <c r="K10" i="25"/>
  <c r="G10" i="25"/>
  <c r="P10" i="25"/>
  <c r="R10" i="25"/>
  <c r="Q10" i="25"/>
  <c r="O9" i="25"/>
  <c r="K9" i="25"/>
  <c r="G9" i="25"/>
  <c r="P9" i="25"/>
  <c r="R9" i="25"/>
  <c r="Q9" i="25"/>
  <c r="L8" i="25"/>
  <c r="O8" i="25"/>
  <c r="H8" i="25"/>
  <c r="K8" i="25"/>
  <c r="D8" i="25"/>
  <c r="G8" i="25"/>
  <c r="P8" i="25"/>
  <c r="R8" i="25"/>
  <c r="Q8" i="25"/>
  <c r="L7" i="25"/>
  <c r="O7" i="25"/>
  <c r="H7" i="25"/>
  <c r="K7" i="25"/>
  <c r="D7" i="25"/>
  <c r="G7" i="25"/>
  <c r="P7" i="25"/>
  <c r="R7" i="25"/>
  <c r="Q7" i="25"/>
  <c r="O6" i="25"/>
  <c r="K6" i="25"/>
  <c r="G6" i="25"/>
  <c r="P6" i="25"/>
  <c r="R6" i="25"/>
  <c r="Q6" i="25"/>
  <c r="O5" i="25"/>
  <c r="K5" i="25"/>
  <c r="G5" i="25"/>
  <c r="P5" i="25"/>
  <c r="R5" i="25"/>
  <c r="Q5" i="25"/>
  <c r="O4" i="25"/>
  <c r="K4" i="25"/>
  <c r="G4" i="25"/>
  <c r="P4" i="25"/>
  <c r="R4" i="25"/>
  <c r="Q4" i="25"/>
  <c r="H4" i="22"/>
  <c r="U4" i="22"/>
  <c r="L4" i="22"/>
  <c r="V4" i="22"/>
  <c r="P4" i="22"/>
  <c r="W4" i="22"/>
  <c r="X4" i="22"/>
  <c r="P5" i="22"/>
  <c r="W5" i="22"/>
  <c r="P6" i="22"/>
  <c r="W6" i="22"/>
  <c r="P7" i="22"/>
  <c r="W7" i="22"/>
  <c r="P8" i="22"/>
  <c r="W8" i="22"/>
  <c r="P9" i="22"/>
  <c r="W9" i="22"/>
  <c r="P10" i="22"/>
  <c r="W10" i="22"/>
  <c r="P11" i="22"/>
  <c r="W11" i="22"/>
  <c r="P12" i="22"/>
  <c r="W12" i="22"/>
  <c r="P13" i="22"/>
  <c r="W13" i="22"/>
  <c r="P14" i="22"/>
  <c r="W14" i="22"/>
  <c r="P15" i="22"/>
  <c r="W15" i="22"/>
  <c r="P16" i="22"/>
  <c r="W16" i="22"/>
  <c r="P17" i="22"/>
  <c r="W17" i="22"/>
  <c r="P18" i="22"/>
  <c r="W18" i="22"/>
  <c r="P19" i="22"/>
  <c r="W19" i="22"/>
  <c r="P20" i="22"/>
  <c r="W20" i="22"/>
  <c r="C102" i="7"/>
  <c r="D102" i="7"/>
  <c r="E102" i="7"/>
  <c r="F102" i="7"/>
  <c r="C103" i="7"/>
  <c r="D103" i="7"/>
  <c r="E103" i="7"/>
  <c r="F103" i="7"/>
  <c r="C104" i="7"/>
  <c r="D104" i="7"/>
  <c r="E104" i="7"/>
  <c r="F104" i="7"/>
  <c r="C105" i="7"/>
  <c r="D105" i="7"/>
  <c r="E105" i="7"/>
  <c r="F105" i="7"/>
  <c r="J20" i="2"/>
  <c r="K20" i="2"/>
  <c r="C101" i="7"/>
  <c r="D101" i="7"/>
  <c r="E101" i="7"/>
  <c r="F101" i="7"/>
  <c r="C100" i="7"/>
  <c r="D100" i="7"/>
  <c r="E100" i="7"/>
  <c r="F100" i="7"/>
  <c r="C99" i="7"/>
  <c r="D99" i="7"/>
  <c r="E99" i="7"/>
  <c r="F99" i="7"/>
  <c r="C98" i="7"/>
  <c r="D98" i="7"/>
  <c r="E98" i="7"/>
  <c r="F98" i="7"/>
  <c r="C97" i="7"/>
  <c r="D97" i="7"/>
  <c r="E97" i="7"/>
  <c r="F97" i="7"/>
  <c r="C96" i="7"/>
  <c r="D96" i="7"/>
  <c r="E96" i="7"/>
  <c r="F96" i="7"/>
  <c r="C95" i="7"/>
  <c r="D95" i="7"/>
  <c r="E95" i="7"/>
  <c r="F95" i="7"/>
  <c r="C94" i="7"/>
  <c r="D94" i="7"/>
  <c r="E94" i="7"/>
  <c r="F94" i="7"/>
  <c r="C93" i="7"/>
  <c r="D93" i="7"/>
  <c r="E93" i="7"/>
  <c r="F93" i="7"/>
  <c r="C92" i="7"/>
  <c r="D92" i="7"/>
  <c r="E92" i="7"/>
  <c r="F92" i="7"/>
  <c r="C91" i="7"/>
  <c r="D91" i="7"/>
  <c r="E91" i="7"/>
  <c r="F91" i="7"/>
  <c r="C90" i="7"/>
  <c r="D90" i="7"/>
  <c r="E90" i="7"/>
  <c r="F90" i="7"/>
  <c r="C89" i="7"/>
  <c r="D89" i="7"/>
  <c r="E89" i="7"/>
  <c r="F89" i="7"/>
  <c r="C88" i="7"/>
  <c r="D88" i="7"/>
  <c r="E88" i="7"/>
  <c r="F88" i="7"/>
  <c r="C87" i="7"/>
  <c r="D87" i="7"/>
  <c r="E87" i="7"/>
  <c r="F87" i="7"/>
  <c r="C86" i="7"/>
  <c r="D86" i="7"/>
  <c r="E86" i="7"/>
  <c r="F86" i="7"/>
  <c r="C85" i="7"/>
  <c r="D85" i="7"/>
  <c r="E85" i="7"/>
  <c r="F85" i="7"/>
  <c r="C84" i="7"/>
  <c r="D84" i="7"/>
  <c r="E84" i="7"/>
  <c r="F84" i="7"/>
  <c r="C83" i="7"/>
  <c r="D83" i="7"/>
  <c r="E83" i="7"/>
  <c r="F83" i="7"/>
  <c r="C82" i="7"/>
  <c r="D82" i="7"/>
  <c r="E82" i="7"/>
  <c r="F82" i="7"/>
  <c r="C81" i="7"/>
  <c r="D81" i="7"/>
  <c r="E81" i="7"/>
  <c r="F81" i="7"/>
  <c r="C80" i="7"/>
  <c r="D80" i="7"/>
  <c r="E80" i="7"/>
  <c r="F80" i="7"/>
  <c r="C79" i="7"/>
  <c r="D79" i="7"/>
  <c r="E79" i="7"/>
  <c r="F79" i="7"/>
  <c r="C78" i="7"/>
  <c r="D78" i="7"/>
  <c r="E78" i="7"/>
  <c r="F78" i="7"/>
  <c r="C77" i="7"/>
  <c r="D77" i="7"/>
  <c r="E77" i="7"/>
  <c r="F77" i="7"/>
  <c r="C76" i="7"/>
  <c r="D76" i="7"/>
  <c r="E76" i="7"/>
  <c r="F76" i="7"/>
  <c r="C75" i="7"/>
  <c r="D75" i="7"/>
  <c r="E75" i="7"/>
  <c r="F75" i="7"/>
  <c r="C74" i="7"/>
  <c r="D74" i="7"/>
  <c r="E74" i="7"/>
  <c r="F74" i="7"/>
  <c r="C73" i="7"/>
  <c r="D73" i="7"/>
  <c r="E73" i="7"/>
  <c r="F73" i="7"/>
  <c r="C72" i="7"/>
  <c r="D72" i="7"/>
  <c r="E72" i="7"/>
  <c r="F72" i="7"/>
  <c r="C71" i="7"/>
  <c r="D71" i="7"/>
  <c r="E71" i="7"/>
  <c r="F71" i="7"/>
  <c r="C70" i="7"/>
  <c r="D70" i="7"/>
  <c r="E70" i="7"/>
  <c r="F70" i="7"/>
  <c r="C69" i="7"/>
  <c r="D69" i="7"/>
  <c r="E69" i="7"/>
  <c r="F69" i="7"/>
  <c r="C68" i="7"/>
  <c r="D68" i="7"/>
  <c r="E68" i="7"/>
  <c r="F68" i="7"/>
  <c r="C67" i="7"/>
  <c r="D67" i="7"/>
  <c r="E67" i="7"/>
  <c r="F67" i="7"/>
  <c r="C66" i="7"/>
  <c r="D66" i="7"/>
  <c r="E66" i="7"/>
  <c r="F66" i="7"/>
  <c r="C65" i="7"/>
  <c r="D65" i="7"/>
  <c r="E65" i="7"/>
  <c r="F65" i="7"/>
  <c r="C64" i="7"/>
  <c r="D64" i="7"/>
  <c r="E64" i="7"/>
  <c r="F64" i="7"/>
  <c r="C63" i="7"/>
  <c r="D63" i="7"/>
  <c r="E63" i="7"/>
  <c r="F63" i="7"/>
  <c r="C62" i="7"/>
  <c r="D62" i="7"/>
  <c r="E62" i="7"/>
  <c r="F62" i="7"/>
  <c r="C61" i="7"/>
  <c r="D61" i="7"/>
  <c r="E61" i="7"/>
  <c r="F61" i="7"/>
  <c r="C60" i="7"/>
  <c r="D60" i="7"/>
  <c r="E60" i="7"/>
  <c r="F60" i="7"/>
  <c r="C59" i="7"/>
  <c r="D59" i="7"/>
  <c r="E59" i="7"/>
  <c r="F59" i="7"/>
  <c r="C58" i="7"/>
  <c r="D58" i="7"/>
  <c r="E58" i="7"/>
  <c r="F58" i="7"/>
  <c r="C57" i="7"/>
  <c r="D57" i="7"/>
  <c r="E57" i="7"/>
  <c r="F57" i="7"/>
  <c r="C56" i="7"/>
  <c r="D56" i="7"/>
  <c r="E56" i="7"/>
  <c r="F56" i="7"/>
  <c r="C55" i="7"/>
  <c r="D55" i="7"/>
  <c r="E55" i="7"/>
  <c r="F55" i="7"/>
  <c r="C54" i="7"/>
  <c r="D54" i="7"/>
  <c r="E54" i="7"/>
  <c r="F54" i="7"/>
  <c r="C53" i="7"/>
  <c r="D53" i="7"/>
  <c r="E53" i="7"/>
  <c r="F53" i="7"/>
  <c r="C52" i="7"/>
  <c r="D52" i="7"/>
  <c r="E52" i="7"/>
  <c r="F52" i="7"/>
  <c r="C51" i="7"/>
  <c r="D51" i="7"/>
  <c r="E51" i="7"/>
  <c r="F51" i="7"/>
  <c r="C50" i="7"/>
  <c r="D50" i="7"/>
  <c r="E50" i="7"/>
  <c r="F50" i="7"/>
  <c r="C49" i="7"/>
  <c r="D49" i="7"/>
  <c r="E49" i="7"/>
  <c r="F49" i="7"/>
  <c r="C48" i="7"/>
  <c r="D48" i="7"/>
  <c r="E48" i="7"/>
  <c r="F48" i="7"/>
  <c r="C47" i="7"/>
  <c r="D47" i="7"/>
  <c r="E47" i="7"/>
  <c r="F47" i="7"/>
  <c r="C46" i="7"/>
  <c r="D46" i="7"/>
  <c r="E46" i="7"/>
  <c r="F46" i="7"/>
  <c r="C45" i="7"/>
  <c r="D45" i="7"/>
  <c r="E45" i="7"/>
  <c r="F45" i="7"/>
  <c r="C44" i="7"/>
  <c r="D44" i="7"/>
  <c r="E44" i="7"/>
  <c r="F44" i="7"/>
  <c r="C43" i="7"/>
  <c r="D43" i="7"/>
  <c r="E43" i="7"/>
  <c r="F43" i="7"/>
  <c r="C42" i="7"/>
  <c r="D42" i="7"/>
  <c r="E42" i="7"/>
  <c r="F42" i="7"/>
  <c r="C41" i="7"/>
  <c r="D41" i="7"/>
  <c r="E41" i="7"/>
  <c r="F41" i="7"/>
  <c r="C40" i="7"/>
  <c r="D40" i="7"/>
  <c r="E40" i="7"/>
  <c r="F40" i="7"/>
  <c r="C39" i="7"/>
  <c r="D39" i="7"/>
  <c r="E39" i="7"/>
  <c r="F39" i="7"/>
  <c r="C38" i="7"/>
  <c r="D38" i="7"/>
  <c r="E38" i="7"/>
  <c r="F38" i="7"/>
  <c r="C37" i="7"/>
  <c r="D37" i="7"/>
  <c r="E37" i="7"/>
  <c r="F37" i="7"/>
  <c r="C36" i="7"/>
  <c r="D36" i="7"/>
  <c r="E36" i="7"/>
  <c r="F36" i="7"/>
  <c r="C35" i="7"/>
  <c r="D35" i="7"/>
  <c r="E35" i="7"/>
  <c r="F35" i="7"/>
  <c r="C34" i="7"/>
  <c r="D34" i="7"/>
  <c r="E34" i="7"/>
  <c r="F34" i="7"/>
  <c r="C33" i="7"/>
  <c r="D33" i="7"/>
  <c r="E33" i="7"/>
  <c r="F33" i="7"/>
  <c r="C32" i="7"/>
  <c r="D32" i="7"/>
  <c r="E32" i="7"/>
  <c r="F32" i="7"/>
  <c r="C31" i="7"/>
  <c r="D31" i="7"/>
  <c r="E31" i="7"/>
  <c r="F31" i="7"/>
  <c r="C30" i="7"/>
  <c r="D30" i="7"/>
  <c r="E30" i="7"/>
  <c r="F30" i="7"/>
  <c r="C29" i="7"/>
  <c r="D29" i="7"/>
  <c r="E29" i="7"/>
  <c r="F29" i="7"/>
  <c r="C28" i="7"/>
  <c r="D28" i="7"/>
  <c r="E28" i="7"/>
  <c r="F28" i="7"/>
  <c r="C27" i="7"/>
  <c r="D27" i="7"/>
  <c r="E27" i="7"/>
  <c r="F27" i="7"/>
  <c r="C26" i="7"/>
  <c r="D26" i="7"/>
  <c r="E26" i="7"/>
  <c r="F26" i="7"/>
  <c r="C25" i="7"/>
  <c r="D25" i="7"/>
  <c r="E25" i="7"/>
  <c r="F25" i="7"/>
  <c r="C24" i="7"/>
  <c r="D24" i="7"/>
  <c r="E24" i="7"/>
  <c r="F24" i="7"/>
  <c r="C23" i="7"/>
  <c r="D23" i="7"/>
  <c r="E23" i="7"/>
  <c r="F23" i="7"/>
  <c r="C22" i="7"/>
  <c r="D22" i="7"/>
  <c r="E22" i="7"/>
  <c r="F22" i="7"/>
  <c r="C21" i="7"/>
  <c r="D21" i="7"/>
  <c r="E21" i="7"/>
  <c r="F21" i="7"/>
  <c r="C20" i="7"/>
  <c r="D20" i="7"/>
  <c r="E20" i="7"/>
  <c r="F20" i="7"/>
  <c r="C19" i="7"/>
  <c r="D19" i="7"/>
  <c r="E19" i="7"/>
  <c r="F19" i="7"/>
  <c r="C18" i="7"/>
  <c r="D18" i="7"/>
  <c r="E18" i="7"/>
  <c r="F18" i="7"/>
  <c r="C17" i="7"/>
  <c r="D17" i="7"/>
  <c r="E17" i="7"/>
  <c r="F17" i="7"/>
  <c r="C16" i="7"/>
  <c r="D16" i="7"/>
  <c r="E16" i="7"/>
  <c r="F16" i="7"/>
  <c r="C15" i="7"/>
  <c r="D15" i="7"/>
  <c r="E15" i="7"/>
  <c r="F15" i="7"/>
  <c r="C14" i="7"/>
  <c r="D14" i="7"/>
  <c r="E14" i="7"/>
  <c r="F14" i="7"/>
  <c r="C13" i="7"/>
  <c r="D13" i="7"/>
  <c r="E13" i="7"/>
  <c r="F13" i="7"/>
  <c r="C12" i="7"/>
  <c r="D12" i="7"/>
  <c r="E12" i="7"/>
  <c r="F12" i="7"/>
  <c r="C11" i="7"/>
  <c r="D11" i="7"/>
  <c r="E11" i="7"/>
  <c r="F11" i="7"/>
  <c r="C10" i="7"/>
  <c r="D10" i="7"/>
  <c r="E10" i="7"/>
  <c r="F10" i="7"/>
  <c r="C9" i="7"/>
  <c r="D9" i="7"/>
  <c r="E9" i="7"/>
  <c r="F9" i="7"/>
  <c r="C8" i="7"/>
  <c r="D8" i="7"/>
  <c r="E8" i="7"/>
  <c r="F8" i="7"/>
  <c r="C7" i="7"/>
  <c r="D7" i="7"/>
  <c r="E7" i="7"/>
  <c r="F7" i="7"/>
  <c r="C6" i="7"/>
  <c r="D6" i="7"/>
  <c r="E6" i="7"/>
  <c r="F6" i="7"/>
  <c r="C5" i="7"/>
  <c r="D5" i="7"/>
  <c r="E5" i="7"/>
  <c r="F5" i="7"/>
  <c r="C101" i="17"/>
  <c r="D101" i="17"/>
  <c r="E101" i="17"/>
  <c r="F101" i="17"/>
  <c r="C66" i="17"/>
  <c r="D66" i="17"/>
  <c r="E66" i="17"/>
  <c r="F66" i="17"/>
  <c r="C67" i="17"/>
  <c r="D67" i="17"/>
  <c r="E67" i="17"/>
  <c r="F67" i="17"/>
  <c r="C68" i="17"/>
  <c r="D68" i="17"/>
  <c r="E68" i="17"/>
  <c r="F68" i="17"/>
  <c r="C69" i="17"/>
  <c r="D69" i="17"/>
  <c r="E69" i="17"/>
  <c r="F69" i="17"/>
  <c r="C70" i="17"/>
  <c r="D70" i="17"/>
  <c r="E70" i="17"/>
  <c r="F70" i="17"/>
  <c r="C71" i="17"/>
  <c r="D71" i="17"/>
  <c r="E71" i="17"/>
  <c r="F71" i="17"/>
  <c r="C72" i="17"/>
  <c r="D72" i="17"/>
  <c r="E72" i="17"/>
  <c r="F72" i="17"/>
  <c r="C73" i="17"/>
  <c r="D73" i="17"/>
  <c r="E73" i="17"/>
  <c r="F73" i="17"/>
  <c r="C74" i="17"/>
  <c r="D74" i="17"/>
  <c r="E74" i="17"/>
  <c r="F74" i="17"/>
  <c r="C75" i="17"/>
  <c r="D75" i="17"/>
  <c r="E75" i="17"/>
  <c r="F75" i="17"/>
  <c r="C76" i="17"/>
  <c r="D76" i="17"/>
  <c r="E76" i="17"/>
  <c r="F76" i="17"/>
  <c r="C77" i="17"/>
  <c r="D77" i="17"/>
  <c r="E77" i="17"/>
  <c r="F77" i="17"/>
  <c r="C78" i="17"/>
  <c r="D78" i="17"/>
  <c r="E78" i="17"/>
  <c r="F78" i="17"/>
  <c r="C79" i="17"/>
  <c r="D79" i="17"/>
  <c r="E79" i="17"/>
  <c r="F79" i="17"/>
  <c r="C80" i="17"/>
  <c r="D80" i="17"/>
  <c r="E80" i="17"/>
  <c r="F80" i="17"/>
  <c r="C81" i="17"/>
  <c r="D81" i="17"/>
  <c r="E81" i="17"/>
  <c r="F81" i="17"/>
  <c r="C82" i="17"/>
  <c r="D82" i="17"/>
  <c r="E82" i="17"/>
  <c r="F82" i="17"/>
  <c r="C83" i="17"/>
  <c r="D83" i="17"/>
  <c r="E83" i="17"/>
  <c r="F83" i="17"/>
  <c r="C84" i="17"/>
  <c r="D84" i="17"/>
  <c r="E84" i="17"/>
  <c r="F84" i="17"/>
  <c r="C85" i="17"/>
  <c r="D85" i="17"/>
  <c r="E85" i="17"/>
  <c r="F85" i="17"/>
  <c r="C86" i="17"/>
  <c r="D86" i="17"/>
  <c r="E86" i="17"/>
  <c r="F86" i="17"/>
  <c r="C87" i="17"/>
  <c r="D87" i="17"/>
  <c r="E87" i="17"/>
  <c r="F87" i="17"/>
  <c r="C88" i="17"/>
  <c r="D88" i="17"/>
  <c r="E88" i="17"/>
  <c r="F88" i="17"/>
  <c r="C89" i="17"/>
  <c r="D89" i="17"/>
  <c r="E89" i="17"/>
  <c r="F89" i="17"/>
  <c r="C90" i="17"/>
  <c r="D90" i="17"/>
  <c r="E90" i="17"/>
  <c r="F90" i="17"/>
  <c r="C91" i="17"/>
  <c r="D91" i="17"/>
  <c r="E91" i="17"/>
  <c r="F91" i="17"/>
  <c r="C92" i="17"/>
  <c r="D92" i="17"/>
  <c r="E92" i="17"/>
  <c r="F92" i="17"/>
  <c r="C93" i="17"/>
  <c r="D93" i="17"/>
  <c r="E93" i="17"/>
  <c r="F93" i="17"/>
  <c r="C94" i="17"/>
  <c r="D94" i="17"/>
  <c r="E94" i="17"/>
  <c r="F94" i="17"/>
  <c r="C95" i="17"/>
  <c r="D95" i="17"/>
  <c r="E95" i="17"/>
  <c r="F95" i="17"/>
  <c r="C96" i="17"/>
  <c r="D96" i="17"/>
  <c r="E96" i="17"/>
  <c r="F96" i="17"/>
  <c r="C97" i="17"/>
  <c r="D97" i="17"/>
  <c r="E97" i="17"/>
  <c r="F97" i="17"/>
  <c r="C98" i="17"/>
  <c r="D98" i="17"/>
  <c r="E98" i="17"/>
  <c r="F98" i="17"/>
  <c r="C99" i="17"/>
  <c r="D99" i="17"/>
  <c r="E99" i="17"/>
  <c r="F99" i="17"/>
  <c r="C100" i="17"/>
  <c r="D100" i="17"/>
  <c r="E100" i="17"/>
  <c r="F100" i="17"/>
  <c r="C65" i="17"/>
  <c r="D65" i="17"/>
  <c r="E65" i="17"/>
  <c r="F65" i="17"/>
  <c r="C54" i="17"/>
  <c r="D54" i="17"/>
  <c r="E54" i="17"/>
  <c r="F54" i="17"/>
  <c r="C55" i="17"/>
  <c r="D55" i="17"/>
  <c r="E55" i="17"/>
  <c r="F55" i="17"/>
  <c r="C56" i="17"/>
  <c r="D56" i="17"/>
  <c r="E56" i="17"/>
  <c r="F56" i="17"/>
  <c r="C57" i="17"/>
  <c r="D57" i="17"/>
  <c r="E57" i="17"/>
  <c r="F57" i="17"/>
  <c r="C58" i="17"/>
  <c r="D58" i="17"/>
  <c r="E58" i="17"/>
  <c r="F58" i="17"/>
  <c r="C59" i="17"/>
  <c r="D59" i="17"/>
  <c r="E59" i="17"/>
  <c r="F59" i="17"/>
  <c r="C60" i="17"/>
  <c r="D60" i="17"/>
  <c r="E60" i="17"/>
  <c r="F60" i="17"/>
  <c r="C61" i="17"/>
  <c r="D61" i="17"/>
  <c r="E61" i="17"/>
  <c r="F61" i="17"/>
  <c r="C62" i="17"/>
  <c r="D62" i="17"/>
  <c r="E62" i="17"/>
  <c r="F62" i="17"/>
  <c r="C63" i="17"/>
  <c r="D63" i="17"/>
  <c r="E63" i="17"/>
  <c r="F63" i="17"/>
  <c r="C64" i="17"/>
  <c r="D64" i="17"/>
  <c r="E64" i="17"/>
  <c r="F64" i="17"/>
  <c r="C53" i="17"/>
  <c r="D53" i="17"/>
  <c r="E53" i="17"/>
  <c r="F53" i="17"/>
  <c r="C42" i="17"/>
  <c r="D42" i="17"/>
  <c r="E42" i="17"/>
  <c r="F42" i="17"/>
  <c r="C43" i="17"/>
  <c r="D43" i="17"/>
  <c r="E43" i="17"/>
  <c r="F43" i="17"/>
  <c r="C44" i="17"/>
  <c r="D44" i="17"/>
  <c r="E44" i="17"/>
  <c r="F44" i="17"/>
  <c r="C45" i="17"/>
  <c r="D45" i="17"/>
  <c r="E45" i="17"/>
  <c r="F45" i="17"/>
  <c r="C46" i="17"/>
  <c r="D46" i="17"/>
  <c r="E46" i="17"/>
  <c r="F46" i="17"/>
  <c r="C47" i="17"/>
  <c r="D47" i="17"/>
  <c r="E47" i="17"/>
  <c r="F47" i="17"/>
  <c r="C48" i="17"/>
  <c r="D48" i="17"/>
  <c r="E48" i="17"/>
  <c r="F48" i="17"/>
  <c r="C49" i="17"/>
  <c r="D49" i="17"/>
  <c r="E49" i="17"/>
  <c r="F49" i="17"/>
  <c r="C50" i="17"/>
  <c r="D50" i="17"/>
  <c r="E50" i="17"/>
  <c r="F50" i="17"/>
  <c r="C51" i="17"/>
  <c r="D51" i="17"/>
  <c r="E51" i="17"/>
  <c r="F51" i="17"/>
  <c r="C52" i="17"/>
  <c r="D52" i="17"/>
  <c r="E52" i="17"/>
  <c r="F52" i="17"/>
  <c r="C41" i="17"/>
  <c r="D41" i="17"/>
  <c r="E41" i="17"/>
  <c r="F41" i="17"/>
  <c r="C40" i="17"/>
  <c r="D40" i="17"/>
  <c r="E40" i="17"/>
  <c r="F40" i="17"/>
  <c r="C39" i="17"/>
  <c r="D39" i="17"/>
  <c r="E39" i="17"/>
  <c r="F39" i="17"/>
  <c r="C37" i="17"/>
  <c r="D37" i="17"/>
  <c r="E37" i="17"/>
  <c r="F37" i="17"/>
  <c r="C38" i="17"/>
  <c r="D38" i="17"/>
  <c r="E38" i="17"/>
  <c r="F38" i="17"/>
  <c r="C36" i="17"/>
  <c r="D36" i="17"/>
  <c r="E36" i="17"/>
  <c r="F36" i="17"/>
  <c r="C34" i="17"/>
  <c r="D34" i="17"/>
  <c r="E34" i="17"/>
  <c r="F34" i="17"/>
  <c r="C35" i="17"/>
  <c r="D35" i="17"/>
  <c r="E35" i="17"/>
  <c r="F35" i="17"/>
  <c r="C33" i="17"/>
  <c r="D33" i="17"/>
  <c r="E33" i="17"/>
  <c r="F33" i="17"/>
  <c r="C32" i="17"/>
  <c r="D32" i="17"/>
  <c r="E32" i="17"/>
  <c r="F32" i="17"/>
  <c r="C31" i="17"/>
  <c r="D31" i="17"/>
  <c r="E31" i="17"/>
  <c r="F31" i="17"/>
  <c r="C29" i="17"/>
  <c r="D29" i="17"/>
  <c r="E29" i="17"/>
  <c r="F29" i="17"/>
  <c r="C30" i="17"/>
  <c r="D30" i="17"/>
  <c r="E30" i="17"/>
  <c r="F30" i="17"/>
  <c r="C28" i="17"/>
  <c r="D28" i="17"/>
  <c r="E28" i="17"/>
  <c r="F28" i="17"/>
  <c r="C26" i="17"/>
  <c r="D26" i="17"/>
  <c r="E26" i="17"/>
  <c r="F26" i="17"/>
  <c r="C27" i="17"/>
  <c r="D27" i="17"/>
  <c r="E27" i="17"/>
  <c r="F27" i="17"/>
  <c r="C25" i="17"/>
  <c r="D25" i="17"/>
  <c r="E25" i="17"/>
  <c r="F25" i="17"/>
  <c r="C24" i="17"/>
  <c r="D24" i="17"/>
  <c r="E24" i="17"/>
  <c r="F24" i="17"/>
  <c r="C23" i="17"/>
  <c r="D23" i="17"/>
  <c r="E23" i="17"/>
  <c r="F23" i="17"/>
  <c r="C21" i="17"/>
  <c r="D21" i="17"/>
  <c r="E21" i="17"/>
  <c r="F21" i="17"/>
  <c r="C22" i="17"/>
  <c r="D22" i="17"/>
  <c r="E22" i="17"/>
  <c r="F22" i="17"/>
  <c r="C20" i="17"/>
  <c r="D20" i="17"/>
  <c r="E20" i="17"/>
  <c r="F20" i="17"/>
  <c r="C18" i="17"/>
  <c r="D18" i="17"/>
  <c r="E18" i="17"/>
  <c r="F18" i="17"/>
  <c r="C19" i="17"/>
  <c r="D19" i="17"/>
  <c r="E19" i="17"/>
  <c r="F19" i="17"/>
  <c r="C17" i="17"/>
  <c r="D17" i="17"/>
  <c r="E17" i="17"/>
  <c r="F17" i="17"/>
  <c r="C16" i="17"/>
  <c r="D16" i="17"/>
  <c r="E16" i="17"/>
  <c r="F16" i="17"/>
  <c r="C15" i="17"/>
  <c r="D15" i="17"/>
  <c r="E15" i="17"/>
  <c r="F15" i="17"/>
  <c r="C13" i="17"/>
  <c r="D13" i="17"/>
  <c r="E13" i="17"/>
  <c r="F13" i="17"/>
  <c r="C14" i="17"/>
  <c r="D14" i="17"/>
  <c r="E14" i="17"/>
  <c r="F14" i="17"/>
  <c r="C12" i="17"/>
  <c r="D12" i="17"/>
  <c r="E12" i="17"/>
  <c r="F12" i="17"/>
  <c r="C10" i="17"/>
  <c r="D10" i="17"/>
  <c r="E10" i="17"/>
  <c r="F10" i="17"/>
  <c r="C11" i="17"/>
  <c r="D11" i="17"/>
  <c r="E11" i="17"/>
  <c r="F11" i="17"/>
  <c r="C9" i="17"/>
  <c r="D9" i="17"/>
  <c r="E9" i="17"/>
  <c r="F9" i="17"/>
  <c r="C6" i="17"/>
  <c r="D6" i="17"/>
  <c r="E6" i="17"/>
  <c r="F6" i="17"/>
  <c r="C7" i="17"/>
  <c r="D7" i="17"/>
  <c r="E7" i="17"/>
  <c r="F7" i="17"/>
  <c r="C8" i="17"/>
  <c r="D8" i="17"/>
  <c r="E8" i="17"/>
  <c r="F8" i="17"/>
  <c r="C5" i="17"/>
  <c r="D5" i="17"/>
  <c r="E5" i="17"/>
  <c r="F5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B7" i="23"/>
  <c r="D23" i="23"/>
  <c r="B10" i="23"/>
  <c r="B9" i="23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B8" i="23"/>
  <c r="I3" i="2"/>
  <c r="M41" i="8"/>
  <c r="M25" i="8"/>
  <c r="C6" i="23"/>
  <c r="L41" i="8"/>
  <c r="L25" i="8"/>
  <c r="B6" i="23"/>
  <c r="M20" i="8"/>
  <c r="M4" i="8"/>
  <c r="C5" i="23"/>
  <c r="L20" i="8"/>
  <c r="L4" i="8"/>
  <c r="B5" i="23"/>
  <c r="I4" i="8"/>
  <c r="I20" i="8"/>
  <c r="C2" i="23"/>
  <c r="T20" i="8"/>
  <c r="T4" i="8"/>
  <c r="B4" i="23"/>
  <c r="P4" i="8"/>
  <c r="P20" i="8"/>
  <c r="B3" i="23"/>
  <c r="U4" i="8"/>
  <c r="U20" i="8"/>
  <c r="C4" i="23"/>
  <c r="Q4" i="8"/>
  <c r="Q20" i="8"/>
  <c r="C3" i="2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3" i="4"/>
  <c r="D3" i="4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C3" i="22"/>
  <c r="D3" i="2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3" i="3"/>
  <c r="H5" i="22"/>
  <c r="U5" i="22"/>
  <c r="L5" i="22"/>
  <c r="V5" i="22"/>
  <c r="H6" i="22"/>
  <c r="U6" i="22"/>
  <c r="L6" i="22"/>
  <c r="V6" i="22"/>
  <c r="H7" i="22"/>
  <c r="U7" i="22"/>
  <c r="L7" i="22"/>
  <c r="V7" i="22"/>
  <c r="H8" i="22"/>
  <c r="U8" i="22"/>
  <c r="L8" i="22"/>
  <c r="V8" i="22"/>
  <c r="H9" i="22"/>
  <c r="U9" i="22"/>
  <c r="L9" i="22"/>
  <c r="V9" i="22"/>
  <c r="H10" i="22"/>
  <c r="U10" i="22"/>
  <c r="L10" i="22"/>
  <c r="V10" i="22"/>
  <c r="H11" i="22"/>
  <c r="U11" i="22"/>
  <c r="L11" i="22"/>
  <c r="V11" i="22"/>
  <c r="H12" i="22"/>
  <c r="U12" i="22"/>
  <c r="L12" i="22"/>
  <c r="V12" i="22"/>
  <c r="H13" i="22"/>
  <c r="U13" i="22"/>
  <c r="L13" i="22"/>
  <c r="V13" i="22"/>
  <c r="H14" i="22"/>
  <c r="U14" i="22"/>
  <c r="L14" i="22"/>
  <c r="V14" i="22"/>
  <c r="H15" i="22"/>
  <c r="U15" i="22"/>
  <c r="L15" i="22"/>
  <c r="V15" i="22"/>
  <c r="H16" i="22"/>
  <c r="U16" i="22"/>
  <c r="L16" i="22"/>
  <c r="V16" i="22"/>
  <c r="H17" i="22"/>
  <c r="U17" i="22"/>
  <c r="L17" i="22"/>
  <c r="V17" i="22"/>
  <c r="H18" i="22"/>
  <c r="U18" i="22"/>
  <c r="L18" i="22"/>
  <c r="V18" i="22"/>
  <c r="H19" i="22"/>
  <c r="U19" i="22"/>
  <c r="L19" i="22"/>
  <c r="V19" i="22"/>
  <c r="H20" i="22"/>
  <c r="U20" i="22"/>
  <c r="L20" i="22"/>
  <c r="V20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R4" i="22"/>
  <c r="Q20" i="22"/>
  <c r="S20" i="22"/>
  <c r="Q19" i="22"/>
  <c r="S19" i="22"/>
  <c r="Q18" i="22"/>
  <c r="S18" i="22"/>
  <c r="Q17" i="22"/>
  <c r="S17" i="22"/>
  <c r="Q16" i="22"/>
  <c r="S16" i="22"/>
  <c r="Q15" i="22"/>
  <c r="S15" i="22"/>
  <c r="Q14" i="22"/>
  <c r="S14" i="22"/>
  <c r="Q13" i="22"/>
  <c r="S13" i="22"/>
  <c r="Q12" i="22"/>
  <c r="S12" i="22"/>
  <c r="Q11" i="22"/>
  <c r="S11" i="22"/>
  <c r="Q10" i="22"/>
  <c r="S10" i="22"/>
  <c r="Q9" i="22"/>
  <c r="S9" i="22"/>
  <c r="Q8" i="22"/>
  <c r="S8" i="22"/>
  <c r="Q7" i="22"/>
  <c r="S7" i="22"/>
  <c r="Q6" i="22"/>
  <c r="S6" i="22"/>
  <c r="Q5" i="22"/>
  <c r="S5" i="22"/>
  <c r="F20" i="2"/>
  <c r="C17" i="23"/>
  <c r="C18" i="23"/>
  <c r="I24" i="8"/>
  <c r="G24" i="16"/>
  <c r="H24" i="16"/>
  <c r="G24" i="14"/>
  <c r="H24" i="14"/>
  <c r="G24" i="21"/>
  <c r="H24" i="21"/>
  <c r="G24" i="20"/>
  <c r="H24" i="20"/>
  <c r="G24" i="15"/>
  <c r="H24" i="15"/>
  <c r="G24" i="18"/>
  <c r="H24" i="18"/>
  <c r="G24" i="19"/>
  <c r="H24" i="19"/>
  <c r="H41" i="8"/>
  <c r="I41" i="8"/>
  <c r="P41" i="8"/>
  <c r="Q41" i="8"/>
  <c r="G20" i="5"/>
  <c r="R20" i="22"/>
  <c r="T20" i="22"/>
  <c r="Q20" i="3"/>
  <c r="R20" i="3"/>
  <c r="S20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D20" i="2"/>
  <c r="C3" i="2"/>
  <c r="H19" i="8"/>
  <c r="L40" i="8"/>
  <c r="D21" i="23"/>
  <c r="L19" i="8"/>
  <c r="T19" i="8"/>
  <c r="I20" i="4"/>
  <c r="J20" i="4"/>
  <c r="P19" i="8"/>
  <c r="Q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7" i="18"/>
  <c r="H7" i="18"/>
  <c r="G8" i="18"/>
  <c r="H8" i="18"/>
  <c r="G9" i="18"/>
  <c r="H9" i="18"/>
  <c r="D22" i="23"/>
  <c r="D19" i="23"/>
  <c r="D18" i="23"/>
  <c r="D17" i="23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19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M40" i="8"/>
  <c r="M19" i="8"/>
  <c r="U19" i="8"/>
  <c r="Q19" i="8"/>
  <c r="I19" i="8"/>
  <c r="L24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T13" i="8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5" i="8"/>
  <c r="I35" i="8"/>
  <c r="M35" i="8"/>
  <c r="P35" i="8"/>
  <c r="Q35" i="8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P40" i="8"/>
  <c r="Q40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G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4" i="8"/>
  <c r="H24" i="8"/>
  <c r="U3" i="8"/>
  <c r="Q3" i="8"/>
  <c r="M3" i="8"/>
  <c r="Q24" i="8"/>
  <c r="M24" i="8"/>
  <c r="T3" i="8"/>
  <c r="P3" i="8"/>
  <c r="L3" i="8"/>
  <c r="G3" i="5"/>
  <c r="P25" i="8"/>
  <c r="I25" i="8"/>
  <c r="Q25" i="8"/>
  <c r="H25" i="8"/>
  <c r="G4" i="5"/>
  <c r="P5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Q27" i="8"/>
  <c r="P6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H7" i="8"/>
  <c r="P7" i="8"/>
  <c r="G6" i="5"/>
  <c r="U8" i="8"/>
  <c r="M8" i="8"/>
  <c r="I29" i="8"/>
  <c r="P29" i="8"/>
  <c r="H8" i="8"/>
  <c r="H29" i="8"/>
  <c r="G7" i="5"/>
  <c r="T8" i="8"/>
  <c r="Q8" i="8"/>
  <c r="M29" i="8"/>
  <c r="T9" i="8"/>
  <c r="L8" i="8"/>
  <c r="I8" i="8"/>
  <c r="P8" i="8"/>
  <c r="Q29" i="8"/>
  <c r="L9" i="8"/>
  <c r="M30" i="8"/>
  <c r="U9" i="8"/>
  <c r="M9" i="8"/>
  <c r="H30" i="8"/>
  <c r="I30" i="8"/>
  <c r="P30" i="8"/>
  <c r="H9" i="8"/>
  <c r="P9" i="8"/>
  <c r="Q9" i="8"/>
  <c r="G8" i="5"/>
  <c r="Q30" i="8"/>
  <c r="I9" i="8"/>
  <c r="Q31" i="8"/>
  <c r="U10" i="8"/>
  <c r="M31" i="8"/>
  <c r="H31" i="8"/>
  <c r="Q10" i="8"/>
  <c r="I10" i="8"/>
  <c r="T10" i="8"/>
  <c r="L10" i="8"/>
  <c r="G9" i="5"/>
  <c r="P31" i="8"/>
  <c r="P10" i="8"/>
  <c r="M10" i="8"/>
  <c r="I31" i="8"/>
  <c r="H10" i="8"/>
  <c r="P32" i="8"/>
  <c r="T11" i="8"/>
  <c r="L11" i="8"/>
  <c r="I32" i="8"/>
  <c r="Q11" i="8"/>
  <c r="I11" i="8"/>
  <c r="G10" i="5"/>
  <c r="M32" i="8"/>
  <c r="H32" i="8"/>
  <c r="P11" i="8"/>
  <c r="Q32" i="8"/>
  <c r="U11" i="8"/>
  <c r="M11" i="8"/>
  <c r="H11" i="8"/>
  <c r="Q33" i="8"/>
  <c r="U12" i="8"/>
  <c r="M12" i="8"/>
  <c r="H12" i="8"/>
  <c r="M33" i="8"/>
  <c r="H33" i="8"/>
  <c r="P12" i="8"/>
  <c r="G11" i="5"/>
  <c r="I33" i="8"/>
  <c r="Q12" i="8"/>
  <c r="I12" i="8"/>
  <c r="P33" i="8"/>
  <c r="T12" i="8"/>
  <c r="L12" i="8"/>
  <c r="G12" i="5"/>
  <c r="H34" i="8"/>
  <c r="H13" i="8"/>
  <c r="U13" i="8"/>
  <c r="L13" i="8"/>
  <c r="Q34" i="8"/>
  <c r="I34" i="8"/>
  <c r="Q13" i="8"/>
  <c r="I13" i="8"/>
  <c r="P34" i="8"/>
  <c r="P13" i="8"/>
  <c r="M34" i="8"/>
  <c r="M13" i="8"/>
  <c r="D20" i="23"/>
  <c r="C20" i="23"/>
  <c r="C15" i="23"/>
  <c r="C16" i="23"/>
  <c r="D15" i="23"/>
  <c r="B12" i="23"/>
  <c r="D16" i="23"/>
  <c r="C19" i="23"/>
  <c r="C21" i="23"/>
  <c r="C22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<sst xmlns="http://schemas.openxmlformats.org/spreadsheetml/2006/main" count="575" uniqueCount="246">
  <si>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</si>
  <si>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</si>
  <si>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</si>
  <si>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</si>
  <si>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</si>
  <si>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</si>
  <si>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</si>
  <si>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</si>
  <si>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</si>
  <si>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</si>
  <si>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</si>
  <si>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</si>
  <si>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</si>
  <si>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</si>
  <si>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</si>
  <si>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</si>
  <si>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</si>
  <si>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</si>
  <si>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</si>
  <si>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</si>
  <si>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</si>
  <si>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</si>
  <si>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</si>
  <si>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</si>
  <si>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</si>
  <si>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</si>
  <si>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</si>
  <si>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</si>
  <si>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</si>
  <si>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</si>
  <si>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</si>
  <si>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</si>
  <si>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</si>
  <si>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</si>
  <si>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</si>
  <si>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</si>
  <si>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</si>
  <si>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</si>
  <si>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</si>
  <si>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</si>
  <si>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</si>
  <si>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</si>
  <si>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</si>
  <si>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</si>
  <si>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</si>
  <si>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</si>
  <si>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</si>
  <si>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</si>
  <si>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</si>
  <si>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</si>
  <si>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</si>
  <si>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</si>
  <si>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</si>
  <si>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</si>
  <si>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</si>
  <si>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</si>
  <si>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</si>
  <si>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</si>
  <si>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</si>
  <si>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</si>
  <si>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</si>
  <si>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</si>
  <si>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</si>
  <si>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</si>
  <si>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</si>
  <si>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</si>
  <si>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</si>
  <si>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</si>
  <si>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</si>
  <si>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</si>
  <si>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</si>
  <si>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</si>
  <si>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</si>
  <si>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</si>
  <si>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</si>
  <si>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</si>
  <si>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</si>
  <si>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</si>
  <si>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</si>
  <si>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</si>
  <si>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</si>
  <si>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</si>
  <si>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</si>
  <si>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</si>
  <si>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</si>
  <si>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</si>
  <si>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</si>
  <si>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</si>
  <si>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</si>
  <si>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</si>
  <si>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</si>
  <si>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</si>
  <si>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</si>
  <si>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</si>
  <si>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</si>
  <si>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</si>
  <si>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</si>
  <si>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</si>
  <si>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</si>
  <si>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</si>
  <si>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</si>
  <si>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</si>
  <si>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</si>
  <si>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</si>
  <si>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</si>
  <si>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</si>
  <si>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</si>
  <si>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</si>
  <si>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</si>
  <si>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</si>
  <si>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</si>
  <si>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</si>
  <si>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</si>
  <si>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</si>
  <si>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</si>
  <si>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</si>
  <si>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</si>
  <si>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</si>
  <si>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</si>
  <si>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</si>
  <si>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</si>
  <si>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</si>
  <si>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Acetic acid consumed</t>
  </si>
  <si>
    <t>Formic acid produced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</si>
  <si>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</si>
  <si>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</si>
  <si>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</si>
  <si>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</si>
  <si>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r>
      <rPr>
        <i/>
        <sz val="11"/>
        <color theme="1"/>
        <rFont val="Calibri"/>
        <family val="2"/>
        <scheme val="minor"/>
      </rPr>
      <t xml:space="preserve">Faecalibacterium prausnitzii </t>
    </r>
    <r>
      <rPr>
        <sz val="11"/>
        <color theme="1"/>
        <rFont val="Calibri"/>
        <family val="2"/>
        <scheme val="minor"/>
      </rPr>
      <t>DSM 17677</t>
    </r>
    <r>
      <rPr>
        <vertAlign val="superscript"/>
        <sz val="11"/>
        <color theme="1"/>
        <rFont val="Calibri"/>
        <family val="2"/>
        <scheme val="minor"/>
      </rPr>
      <t>T</t>
    </r>
  </si>
  <si>
    <t>Theoretical</t>
  </si>
  <si>
    <t>Experimental</t>
  </si>
  <si>
    <t>x</t>
  </si>
  <si>
    <t>2x</t>
  </si>
  <si>
    <t>z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</si>
  <si>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</si>
  <si>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</si>
  <si>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</si>
  <si>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</si>
  <si>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</si>
  <si>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</si>
  <si>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</si>
  <si>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</si>
  <si>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</si>
  <si>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</si>
  <si>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</si>
  <si>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STDEV LOG(Count/mL)</t>
  </si>
  <si>
    <t>LOG</t>
  </si>
  <si>
    <t>0.40</t>
  </si>
  <si>
    <t>0.20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</si>
  <si>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</si>
  <si>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</si>
  <si>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</si>
  <si>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</si>
  <si>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</si>
  <si>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</si>
  <si>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</si>
  <si>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</si>
  <si>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</si>
  <si>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</si>
  <si>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</si>
  <si>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</si>
  <si>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</si>
  <si>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</si>
  <si>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</si>
  <si>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</si>
  <si>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</si>
  <si>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</si>
  <si>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x moles D-fructoe consumed</t>
  </si>
  <si>
    <t>2x moles pyruvate produced</t>
  </si>
  <si>
    <t>z moles lactate produced</t>
  </si>
  <si>
    <t>f moles formate produced</t>
  </si>
  <si>
    <t>2x-z-f moles CO2 produced</t>
  </si>
  <si>
    <t>y moles acetate consumed</t>
  </si>
  <si>
    <t>2x-z+y moles acetyl-CoA produced</t>
  </si>
  <si>
    <t>(2x-2+y)/2 moles butyrate produced</t>
  </si>
  <si>
    <t>0 moles H2</t>
  </si>
  <si>
    <t xml:space="preserve">Volume (ul) </t>
  </si>
  <si>
    <t>Outliers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</si>
  <si>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</si>
  <si>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</si>
  <si>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</si>
  <si>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</si>
  <si>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</si>
  <si>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</si>
  <si>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</si>
  <si>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</si>
  <si>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</si>
  <si>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</si>
  <si>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</si>
  <si>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</si>
  <si>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</si>
  <si>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</si>
  <si>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</si>
  <si>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</si>
  <si>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</si>
  <si>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</si>
  <si>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</si>
  <si>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</si>
  <si>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</si>
  <si>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</si>
  <si>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 per mL</t>
  </si>
  <si>
    <t>CT2 normalized per mL</t>
  </si>
  <si>
    <t>CT3 normalized per mL</t>
  </si>
  <si>
    <t>Average CT normalized per mL</t>
  </si>
  <si>
    <t>outliers</t>
  </si>
  <si>
    <t>IPC FP10 epp</t>
  </si>
  <si>
    <t>Threshold</t>
  </si>
  <si>
    <t>AUTO</t>
  </si>
  <si>
    <t>Ct Threshold</t>
  </si>
  <si>
    <t>baseline</t>
  </si>
  <si>
    <t>Rico</t>
  </si>
  <si>
    <t>intercept</t>
  </si>
  <si>
    <t>Efficiency E (%)</t>
  </si>
  <si>
    <t>F. prausnitzii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</si>
  <si>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</si>
  <si>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</si>
  <si>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</si>
  <si>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</si>
  <si>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</si>
  <si>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</si>
  <si>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</si>
  <si>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</si>
  <si>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</si>
  <si>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</si>
  <si>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</si>
  <si>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</si>
  <si>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  (cells/ml medium)</t>
  </si>
  <si>
    <t>Log (cells/ml medium)</t>
  </si>
  <si>
    <t>STDV Log (cells/ml medium)</t>
  </si>
  <si>
    <t>Dilution log (10x)</t>
  </si>
  <si>
    <t xml:space="preserve">Dilution </t>
  </si>
  <si>
    <t>IPC value epp 10 plate 20150707</t>
  </si>
  <si>
    <t>IPC value  epp 10 plate 20150702</t>
  </si>
  <si>
    <t>IPC value epp 10 plate 20150708</t>
  </si>
  <si>
    <t>IPC value epp 10 plate 20150709</t>
  </si>
  <si>
    <t>Total Average</t>
  </si>
  <si>
    <t>IPC value epp 9 plate 20150714</t>
  </si>
  <si>
    <t>IPC value epp 9 plate 201507120</t>
  </si>
  <si>
    <t>IPC value epp 9 plate 20150717</t>
  </si>
  <si>
    <t>IPC value epp 9 plate 20150715</t>
  </si>
  <si>
    <t>IPC value epp 8 plate 20150722</t>
  </si>
  <si>
    <t>Na-acetate trihydrate (50 mM)</t>
  </si>
  <si>
    <t>6.80</t>
  </si>
  <si>
    <t>D -Fructose (50 mM)</t>
  </si>
  <si>
    <t>9.00</t>
  </si>
  <si>
    <t>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</si>
</sst>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i/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98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24" fillId="0" borderId="3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164" fontId="18" fillId="0" borderId="16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1" fontId="25" fillId="0" borderId="18" xfId="0" applyNumberFormat="1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18" fillId="11" borderId="0" xfId="0" applyFont="1" applyFill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0" fillId="0" borderId="0" xfId="0" applyNumberFormat="1"/>
    <xf numFmtId="165" fontId="25" fillId="0" borderId="0" xfId="0" applyNumberFormat="1" applyFont="1"/>
    <xf numFmtId="165" fontId="26" fillId="0" borderId="0" xfId="0" applyNumberFormat="1" applyFont="1"/>
    <xf numFmtId="164" fontId="24" fillId="0" borderId="16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0" fontId="27" fillId="0" borderId="0" xfId="319"/>
    <xf numFmtId="0" fontId="27" fillId="2" borderId="4" xfId="319" applyFill="1" applyBorder="1" applyAlignment="1">
      <alignment horizontal="center" vertical="center"/>
    </xf>
    <xf numFmtId="0" fontId="27" fillId="2" borderId="16" xfId="319" applyFill="1" applyBorder="1" applyAlignment="1">
      <alignment horizontal="center" vertical="center"/>
    </xf>
    <xf numFmtId="0" fontId="27" fillId="2" borderId="3" xfId="319" applyFill="1" applyBorder="1" applyAlignment="1">
      <alignment horizontal="center" vertical="center"/>
    </xf>
    <xf numFmtId="0" fontId="27" fillId="0" borderId="3" xfId="319" applyFill="1" applyBorder="1" applyAlignment="1">
      <alignment horizontal="center" vertical="center"/>
    </xf>
    <xf numFmtId="0" fontId="27" fillId="0" borderId="16" xfId="319" applyFill="1" applyBorder="1" applyAlignment="1">
      <alignment horizontal="center" vertical="center"/>
    </xf>
    <xf numFmtId="11" fontId="27" fillId="0" borderId="16" xfId="319" applyNumberFormat="1" applyFill="1" applyBorder="1" applyAlignment="1">
      <alignment horizontal="center" vertical="center"/>
    </xf>
    <xf numFmtId="0" fontId="0" fillId="0" borderId="16" xfId="319" applyFont="1" applyBorder="1" applyAlignment="1">
      <alignment horizontal="center" vertical="center"/>
    </xf>
    <xf numFmtId="0" fontId="27" fillId="0" borderId="16" xfId="319" applyBorder="1" applyAlignment="1">
      <alignment horizontal="center" vertical="center"/>
    </xf>
    <xf numFmtId="11" fontId="27" fillId="0" borderId="16" xfId="319" applyNumberFormat="1" applyBorder="1" applyAlignment="1">
      <alignment horizontal="center" vertical="center"/>
    </xf>
    <xf numFmtId="2" fontId="27" fillId="0" borderId="16" xfId="319" applyNumberFormat="1" applyBorder="1" applyAlignment="1">
      <alignment horizontal="center" vertical="center"/>
    </xf>
    <xf numFmtId="0" fontId="0" fillId="0" borderId="0" xfId="319" applyFont="1"/>
    <xf numFmtId="0" fontId="27" fillId="2" borderId="22" xfId="319" applyFill="1" applyBorder="1" applyAlignment="1">
      <alignment wrapText="1"/>
    </xf>
    <xf numFmtId="0" fontId="0" fillId="2" borderId="22" xfId="319" applyFont="1" applyFill="1" applyBorder="1" applyAlignment="1">
      <alignment wrapText="1"/>
    </xf>
    <xf numFmtId="0" fontId="0" fillId="2" borderId="22" xfId="319" applyFont="1" applyFill="1" applyBorder="1" applyAlignment="1">
      <alignment horizontal="center" vertical="center" wrapText="1"/>
    </xf>
    <xf numFmtId="165" fontId="27" fillId="0" borderId="16" xfId="319" applyNumberFormat="1" applyBorder="1" applyAlignment="1">
      <alignment horizontal="center" vertical="center"/>
    </xf>
    <xf numFmtId="165" fontId="27" fillId="0" borderId="16" xfId="319" applyNumberFormat="1" applyBorder="1"/>
    <xf numFmtId="165" fontId="27" fillId="0" borderId="0" xfId="319" applyNumberFormat="1"/>
    <xf numFmtId="0" fontId="27" fillId="2" borderId="16" xfId="319" applyFill="1" applyBorder="1"/>
    <xf numFmtId="0" fontId="28" fillId="0" borderId="16" xfId="319" applyFont="1" applyBorder="1"/>
    <xf numFmtId="0" fontId="27" fillId="0" borderId="16" xfId="319" applyBorder="1"/>
    <xf numFmtId="0" fontId="29" fillId="12" borderId="0" xfId="319" applyFont="1" applyFill="1"/>
    <xf numFmtId="165" fontId="25" fillId="0" borderId="18" xfId="0" applyNumberFormat="1" applyFont="1" applyBorder="1" applyAlignment="1">
      <alignment horizontal="center" vertical="center"/>
    </xf>
    <xf numFmtId="2" fontId="27" fillId="0" borderId="16" xfId="319" applyNumberFormat="1" applyBorder="1"/>
    <xf numFmtId="1" fontId="27" fillId="0" borderId="16" xfId="319" applyNumberFormat="1" applyBorder="1"/>
    <xf numFmtId="0" fontId="0" fillId="0" borderId="16" xfId="319" applyFont="1" applyBorder="1"/>
    <xf numFmtId="165" fontId="25" fillId="0" borderId="16" xfId="0" applyNumberFormat="1" applyFont="1" applyBorder="1" applyAlignment="1">
      <alignment horizontal="center" vertical="center"/>
    </xf>
    <xf numFmtId="0" fontId="0" fillId="0" borderId="0" xfId="319" applyFont="1" applyFill="1" applyBorder="1"/>
    <xf numFmtId="165" fontId="25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5" fontId="27" fillId="0" borderId="0" xfId="319" applyNumberFormat="1" applyBorder="1" applyAlignment="1">
      <alignment horizontal="center" vertical="center"/>
    </xf>
    <xf numFmtId="165" fontId="27" fillId="0" borderId="0" xfId="319" applyNumberFormat="1" applyBorder="1"/>
    <xf numFmtId="2" fontId="27" fillId="0" borderId="0" xfId="319" applyNumberFormat="1" applyBorder="1"/>
    <xf numFmtId="1" fontId="27" fillId="0" borderId="0" xfId="319" applyNumberFormat="1" applyBorder="1"/>
    <xf numFmtId="0" fontId="0" fillId="12" borderId="1" xfId="0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21" xfId="319" applyFont="1" applyBorder="1" applyAlignment="1">
      <alignment horizontal="center"/>
    </xf>
    <xf numFmtId="0" fontId="27" fillId="0" borderId="21" xfId="319" applyBorder="1" applyAlignment="1">
      <alignment horizontal="center"/>
    </xf>
    <xf numFmtId="0" fontId="27" fillId="0" borderId="17" xfId="319" applyNumberFormat="1" applyFill="1" applyBorder="1" applyAlignment="1">
      <alignment horizontal="center" vertical="center"/>
    </xf>
    <xf numFmtId="0" fontId="27" fillId="0" borderId="5" xfId="319" applyNumberFormat="1" applyFill="1" applyBorder="1" applyAlignment="1">
      <alignment horizontal="center" vertical="center"/>
    </xf>
    <xf numFmtId="0" fontId="27" fillId="0" borderId="18" xfId="319" applyNumberFormat="1" applyFill="1" applyBorder="1" applyAlignment="1">
      <alignment horizontal="center" vertical="center"/>
    </xf>
    <xf numFmtId="0" fontId="27" fillId="2" borderId="4" xfId="319" applyFill="1" applyBorder="1" applyAlignment="1">
      <alignment horizontal="center" vertical="center"/>
    </xf>
    <xf numFmtId="0" fontId="27" fillId="2" borderId="3" xfId="319" applyFill="1" applyBorder="1" applyAlignment="1">
      <alignment horizontal="center" vertical="center"/>
    </xf>
    <xf numFmtId="0" fontId="0" fillId="2" borderId="4" xfId="319" applyFont="1" applyFill="1" applyBorder="1" applyAlignment="1">
      <alignment horizontal="center" vertical="center"/>
    </xf>
    <xf numFmtId="0" fontId="27" fillId="2" borderId="16" xfId="319" applyFill="1" applyBorder="1" applyAlignment="1">
      <alignment horizontal="center" vertical="center"/>
    </xf>
    <xf numFmtId="0" fontId="0" fillId="2" borderId="21" xfId="319" applyFont="1" applyFill="1" applyBorder="1" applyAlignment="1">
      <alignment horizontal="center" vertical="center"/>
    </xf>
    <xf numFmtId="0" fontId="0" fillId="2" borderId="0" xfId="319" applyFont="1" applyFill="1" applyBorder="1" applyAlignment="1">
      <alignment horizontal="center" vertical="center"/>
    </xf>
    <xf numFmtId="0" fontId="0" fillId="2" borderId="23" xfId="319" applyFont="1" applyFill="1" applyBorder="1" applyAlignment="1">
      <alignment horizontal="center" vertical="center"/>
    </xf>
    <xf numFmtId="0" fontId="0" fillId="2" borderId="24" xfId="319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398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Input" xfId="10"/>
    <cellStyle name="Linked Cell" xfId="11"/>
    <cellStyle name="Neutral" xfId="12"/>
    <cellStyle name="Normal" xfId="0" builtinId="0"/>
    <cellStyle name="Normal 2" xfId="319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hartsheet" Target="chartsheets/sheet2.xml"/><Relationship Id="rId21" Type="http://schemas.openxmlformats.org/officeDocument/2006/relationships/worksheet" Target="worksheets/sheet19.xml"/><Relationship Id="rId22" Type="http://schemas.openxmlformats.org/officeDocument/2006/relationships/externalLink" Target="externalLinks/externalLink1.xml"/><Relationship Id="rId23" Type="http://schemas.openxmlformats.org/officeDocument/2006/relationships/theme" Target="theme/theme1.xml"/><Relationship Id="rId24" Type="http://schemas.openxmlformats.org/officeDocument/2006/relationships/connections" Target="connections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('[1]Calibration F. prausnitzii'!$R$4:$R$5,'[1]Calibration F. prausnitzii'!$R$7:$R$9,'[1]Calibration F. prausnitzii'!$R$12:$R$18)</c:f>
              <c:numCache>
                <c:formatCode>General</c:formatCode>
                <c:ptCount val="12"/>
                <c:pt idx="0">
                  <c:v>8.615856001921256</c:v>
                </c:pt>
                <c:pt idx="1">
                  <c:v>7.578787169009893</c:v>
                </c:pt>
                <c:pt idx="2">
                  <c:v>5.16625245195416</c:v>
                </c:pt>
                <c:pt idx="3">
                  <c:v>4.327142945090009</c:v>
                </c:pt>
                <c:pt idx="4">
                  <c:v>8.5970052819172</c:v>
                </c:pt>
                <c:pt idx="5">
                  <c:v>7.638654956108294</c:v>
                </c:pt>
                <c:pt idx="6">
                  <c:v>7.317915960046743</c:v>
                </c:pt>
                <c:pt idx="7">
                  <c:v>6.979500247162297</c:v>
                </c:pt>
                <c:pt idx="8">
                  <c:v>6.727141401256697</c:v>
                </c:pt>
                <c:pt idx="9">
                  <c:v>6.258345785566837</c:v>
                </c:pt>
                <c:pt idx="10">
                  <c:v>5.898754948228658</c:v>
                </c:pt>
                <c:pt idx="11">
                  <c:v>5.513685518117733</c:v>
                </c:pt>
              </c:numCache>
            </c:numRef>
          </c:xVal>
          <c:yVal>
            <c:numRef>
              <c:f>('[1]Calibration F. prausnitzii'!$L$23:$L$24,'[1]Calibration F. prausnitzii'!$L$26:$L$28,'[1]Calibration F. prausnitzii'!$L$31:$L$37)</c:f>
              <c:numCache>
                <c:formatCode>General</c:formatCode>
                <c:ptCount val="12"/>
                <c:pt idx="0">
                  <c:v>7.615938071690805</c:v>
                </c:pt>
                <c:pt idx="1">
                  <c:v>10.99721674549859</c:v>
                </c:pt>
                <c:pt idx="2">
                  <c:v>18.92516283619683</c:v>
                </c:pt>
                <c:pt idx="3">
                  <c:v>22.15071698455295</c:v>
                </c:pt>
                <c:pt idx="4">
                  <c:v>7.926772761510367</c:v>
                </c:pt>
                <c:pt idx="5">
                  <c:v>11.08311685737625</c:v>
                </c:pt>
                <c:pt idx="6">
                  <c:v>13.44173781888341</c:v>
                </c:pt>
                <c:pt idx="7">
                  <c:v>14.0348183395133</c:v>
                </c:pt>
                <c:pt idx="8">
                  <c:v>13.99912230985021</c:v>
                </c:pt>
                <c:pt idx="9">
                  <c:v>15.79201794481929</c:v>
                </c:pt>
                <c:pt idx="10">
                  <c:v>16.9694255274202</c:v>
                </c:pt>
                <c:pt idx="11">
                  <c:v>17.46778266446447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07304"/>
        <c:axId val="2097313512"/>
      </c:scatterChart>
      <c:valAx>
        <c:axId val="2097307304"/>
        <c:scaling>
          <c:orientation val="minMax"/>
          <c:max val="15.0"/>
          <c:min val="0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97313512"/>
        <c:crosses val="autoZero"/>
        <c:crossBetween val="midCat"/>
        <c:majorUnit val="2.0"/>
      </c:valAx>
      <c:valAx>
        <c:axId val="209731351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2097307304"/>
        <c:crosses val="autoZero"/>
        <c:crossBetween val="midCat"/>
        <c:minorUnit val="1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58719504324"/>
          <c:y val="0.0157103087009521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0.0339148586068372</c:v>
                  </c:pt>
                  <c:pt idx="1">
                    <c:v>0.0128186116605157</c:v>
                  </c:pt>
                  <c:pt idx="2">
                    <c:v>0.0256372233210313</c:v>
                  </c:pt>
                  <c:pt idx="3">
                    <c:v>0.0339392227293996</c:v>
                  </c:pt>
                  <c:pt idx="4">
                    <c:v>0.0339643257047911</c:v>
                  </c:pt>
                  <c:pt idx="5">
                    <c:v>0.046427228309625</c:v>
                  </c:pt>
                  <c:pt idx="6">
                    <c:v>0.0224438537841626</c:v>
                  </c:pt>
                  <c:pt idx="7">
                    <c:v>0.0</c:v>
                  </c:pt>
                  <c:pt idx="8">
                    <c:v>0.0262346814052727</c:v>
                  </c:pt>
                  <c:pt idx="9">
                    <c:v>0.0131620716172234</c:v>
                  </c:pt>
                  <c:pt idx="10">
                    <c:v>0.0527419666939271</c:v>
                  </c:pt>
                  <c:pt idx="11">
                    <c:v>0.0263709833469635</c:v>
                  </c:pt>
                  <c:pt idx="12">
                    <c:v>0.0131983430298887</c:v>
                  </c:pt>
                  <c:pt idx="13">
                    <c:v>0.0</c:v>
                  </c:pt>
                  <c:pt idx="14">
                    <c:v>0.0396379272793623</c:v>
                  </c:pt>
                  <c:pt idx="15">
                    <c:v>0.0660632121322705</c:v>
                  </c:pt>
                  <c:pt idx="16">
                    <c:v>0.0132126424264541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0.0339148586068372</c:v>
                  </c:pt>
                  <c:pt idx="1">
                    <c:v>0.0128186116605157</c:v>
                  </c:pt>
                  <c:pt idx="2">
                    <c:v>0.0256372233210313</c:v>
                  </c:pt>
                  <c:pt idx="3">
                    <c:v>0.0339392227293996</c:v>
                  </c:pt>
                  <c:pt idx="4">
                    <c:v>0.0339643257047911</c:v>
                  </c:pt>
                  <c:pt idx="5">
                    <c:v>0.046427228309625</c:v>
                  </c:pt>
                  <c:pt idx="6">
                    <c:v>0.0224438537841626</c:v>
                  </c:pt>
                  <c:pt idx="7">
                    <c:v>0.0</c:v>
                  </c:pt>
                  <c:pt idx="8">
                    <c:v>0.0262346814052727</c:v>
                  </c:pt>
                  <c:pt idx="9">
                    <c:v>0.0131620716172234</c:v>
                  </c:pt>
                  <c:pt idx="10">
                    <c:v>0.0527419666939271</c:v>
                  </c:pt>
                  <c:pt idx="11">
                    <c:v>0.0263709833469635</c:v>
                  </c:pt>
                  <c:pt idx="12">
                    <c:v>0.0131983430298887</c:v>
                  </c:pt>
                  <c:pt idx="13">
                    <c:v>0.0</c:v>
                  </c:pt>
                  <c:pt idx="14">
                    <c:v>0.0396379272793623</c:v>
                  </c:pt>
                  <c:pt idx="15">
                    <c:v>0.0660632121322705</c:v>
                  </c:pt>
                  <c:pt idx="16">
                    <c:v>0.0132126424264541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0.273830669034932</c:v>
                </c:pt>
                <c:pt idx="1">
                  <c:v>0.251628182356424</c:v>
                </c:pt>
                <c:pt idx="2">
                  <c:v>0.303433984606276</c:v>
                </c:pt>
                <c:pt idx="3">
                  <c:v>0.348088842272174</c:v>
                </c:pt>
                <c:pt idx="4">
                  <c:v>0.34093468093503</c:v>
                </c:pt>
                <c:pt idx="5">
                  <c:v>0.319675173286824</c:v>
                </c:pt>
                <c:pt idx="6">
                  <c:v>0.359101660546601</c:v>
                </c:pt>
                <c:pt idx="7">
                  <c:v>0.406602072193277</c:v>
                </c:pt>
                <c:pt idx="8">
                  <c:v>0.378665009285957</c:v>
                </c:pt>
                <c:pt idx="9">
                  <c:v>0.448348409886525</c:v>
                </c:pt>
                <c:pt idx="10">
                  <c:v>0.555723243197005</c:v>
                </c:pt>
                <c:pt idx="11">
                  <c:v>0.723201480872815</c:v>
                </c:pt>
                <c:pt idx="12">
                  <c:v>1.013468897854711</c:v>
                </c:pt>
                <c:pt idx="13">
                  <c:v>1.325891640802404</c:v>
                </c:pt>
                <c:pt idx="14">
                  <c:v>2.242726862516145</c:v>
                </c:pt>
                <c:pt idx="15">
                  <c:v>2.50208983301121</c:v>
                </c:pt>
                <c:pt idx="16">
                  <c:v>2.761452803506274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0.368374355215922</c:v>
                  </c:pt>
                  <c:pt idx="1">
                    <c:v>0.821462591559743</c:v>
                  </c:pt>
                  <c:pt idx="2">
                    <c:v>0.454634365349835</c:v>
                  </c:pt>
                  <c:pt idx="3">
                    <c:v>1.120056520170104</c:v>
                  </c:pt>
                  <c:pt idx="4">
                    <c:v>0.962080989585179</c:v>
                  </c:pt>
                  <c:pt idx="5">
                    <c:v>1.265306398100999</c:v>
                  </c:pt>
                  <c:pt idx="6">
                    <c:v>1.094587010745849</c:v>
                  </c:pt>
                  <c:pt idx="7">
                    <c:v>0.352690288585759</c:v>
                  </c:pt>
                  <c:pt idx="8">
                    <c:v>0.0681634851686509</c:v>
                  </c:pt>
                  <c:pt idx="9">
                    <c:v>0.265631089004962</c:v>
                  </c:pt>
                  <c:pt idx="10">
                    <c:v>0.360939000485939</c:v>
                  </c:pt>
                  <c:pt idx="11">
                    <c:v>0.684319270270431</c:v>
                  </c:pt>
                  <c:pt idx="12">
                    <c:v>0.456657498744466</c:v>
                  </c:pt>
                  <c:pt idx="13">
                    <c:v>0.311159635480968</c:v>
                  </c:pt>
                  <c:pt idx="14">
                    <c:v>0.453268868771442</c:v>
                  </c:pt>
                  <c:pt idx="15">
                    <c:v>0.129968849761724</c:v>
                  </c:pt>
                  <c:pt idx="16">
                    <c:v>0.21438676868672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0.368374355215922</c:v>
                  </c:pt>
                  <c:pt idx="1">
                    <c:v>0.821462591559743</c:v>
                  </c:pt>
                  <c:pt idx="2">
                    <c:v>0.454634365349835</c:v>
                  </c:pt>
                  <c:pt idx="3">
                    <c:v>1.120056520170104</c:v>
                  </c:pt>
                  <c:pt idx="4">
                    <c:v>0.962080989585179</c:v>
                  </c:pt>
                  <c:pt idx="5">
                    <c:v>1.265306398100999</c:v>
                  </c:pt>
                  <c:pt idx="6">
                    <c:v>1.094587010745849</c:v>
                  </c:pt>
                  <c:pt idx="7">
                    <c:v>0.352690288585759</c:v>
                  </c:pt>
                  <c:pt idx="8">
                    <c:v>0.0681634851686509</c:v>
                  </c:pt>
                  <c:pt idx="9">
                    <c:v>0.265631089004962</c:v>
                  </c:pt>
                  <c:pt idx="10">
                    <c:v>0.360939000485939</c:v>
                  </c:pt>
                  <c:pt idx="11">
                    <c:v>0.684319270270431</c:v>
                  </c:pt>
                  <c:pt idx="12">
                    <c:v>0.456657498744466</c:v>
                  </c:pt>
                  <c:pt idx="13">
                    <c:v>0.311159635480968</c:v>
                  </c:pt>
                  <c:pt idx="14">
                    <c:v>0.453268868771442</c:v>
                  </c:pt>
                  <c:pt idx="15">
                    <c:v>0.129968849761724</c:v>
                  </c:pt>
                  <c:pt idx="16">
                    <c:v>0.21438676868672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48.34859839023036</c:v>
                </c:pt>
                <c:pt idx="1">
                  <c:v>48.78157091312795</c:v>
                </c:pt>
                <c:pt idx="2">
                  <c:v>49.1368304190952</c:v>
                </c:pt>
                <c:pt idx="3">
                  <c:v>49.11658069105886</c:v>
                </c:pt>
                <c:pt idx="4">
                  <c:v>47.69644466260434</c:v>
                </c:pt>
                <c:pt idx="5">
                  <c:v>45.8461948900655</c:v>
                </c:pt>
                <c:pt idx="6">
                  <c:v>44.23929136427737</c:v>
                </c:pt>
                <c:pt idx="7">
                  <c:v>42.0404699714189</c:v>
                </c:pt>
                <c:pt idx="8">
                  <c:v>36.12664713938494</c:v>
                </c:pt>
                <c:pt idx="9">
                  <c:v>31.58751882389089</c:v>
                </c:pt>
                <c:pt idx="10">
                  <c:v>30.86719125994193</c:v>
                </c:pt>
                <c:pt idx="11">
                  <c:v>30.01072091421657</c:v>
                </c:pt>
                <c:pt idx="12">
                  <c:v>30.22286288679</c:v>
                </c:pt>
                <c:pt idx="13">
                  <c:v>30.44004684853319</c:v>
                </c:pt>
                <c:pt idx="14">
                  <c:v>29.74066668821367</c:v>
                </c:pt>
                <c:pt idx="15">
                  <c:v>29.71778044990031</c:v>
                </c:pt>
                <c:pt idx="16">
                  <c:v>29.76355292652703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0.164498757210523</c:v>
                  </c:pt>
                  <c:pt idx="1">
                    <c:v>0.10034330118438</c:v>
                  </c:pt>
                  <c:pt idx="2">
                    <c:v>0.195926558888677</c:v>
                  </c:pt>
                  <c:pt idx="3">
                    <c:v>0.18952988644188</c:v>
                  </c:pt>
                  <c:pt idx="4">
                    <c:v>0.0435132985934888</c:v>
                  </c:pt>
                  <c:pt idx="5">
                    <c:v>0.240386004936981</c:v>
                  </c:pt>
                  <c:pt idx="6">
                    <c:v>0.0670923843104377</c:v>
                  </c:pt>
                  <c:pt idx="7">
                    <c:v>0.192690935682837</c:v>
                  </c:pt>
                  <c:pt idx="8">
                    <c:v>0.260526445246177</c:v>
                  </c:pt>
                  <c:pt idx="9">
                    <c:v>0.160858478172119</c:v>
                  </c:pt>
                  <c:pt idx="10">
                    <c:v>0.518007746619735</c:v>
                  </c:pt>
                  <c:pt idx="11">
                    <c:v>0.254137994592724</c:v>
                  </c:pt>
                  <c:pt idx="12">
                    <c:v>0.338743552446071</c:v>
                  </c:pt>
                  <c:pt idx="13">
                    <c:v>0.44060894403022</c:v>
                  </c:pt>
                  <c:pt idx="14">
                    <c:v>0.390431193157349</c:v>
                  </c:pt>
                  <c:pt idx="15">
                    <c:v>0.169555277605726</c:v>
                  </c:pt>
                  <c:pt idx="16">
                    <c:v>0.323986497340692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0.164498757210523</c:v>
                  </c:pt>
                  <c:pt idx="1">
                    <c:v>0.10034330118438</c:v>
                  </c:pt>
                  <c:pt idx="2">
                    <c:v>0.195926558888677</c:v>
                  </c:pt>
                  <c:pt idx="3">
                    <c:v>0.18952988644188</c:v>
                  </c:pt>
                  <c:pt idx="4">
                    <c:v>0.0435132985934888</c:v>
                  </c:pt>
                  <c:pt idx="5">
                    <c:v>0.240386004936981</c:v>
                  </c:pt>
                  <c:pt idx="6">
                    <c:v>0.0670923843104377</c:v>
                  </c:pt>
                  <c:pt idx="7">
                    <c:v>0.192690935682837</c:v>
                  </c:pt>
                  <c:pt idx="8">
                    <c:v>0.260526445246177</c:v>
                  </c:pt>
                  <c:pt idx="9">
                    <c:v>0.160858478172119</c:v>
                  </c:pt>
                  <c:pt idx="10">
                    <c:v>0.518007746619735</c:v>
                  </c:pt>
                  <c:pt idx="11">
                    <c:v>0.254137994592724</c:v>
                  </c:pt>
                  <c:pt idx="12">
                    <c:v>0.338743552446071</c:v>
                  </c:pt>
                  <c:pt idx="13">
                    <c:v>0.44060894403022</c:v>
                  </c:pt>
                  <c:pt idx="14">
                    <c:v>0.390431193157349</c:v>
                  </c:pt>
                  <c:pt idx="15">
                    <c:v>0.169555277605726</c:v>
                  </c:pt>
                  <c:pt idx="16">
                    <c:v>0.323986497340692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4.316025780288218</c:v>
                </c:pt>
                <c:pt idx="1">
                  <c:v>4.707075095951915</c:v>
                </c:pt>
                <c:pt idx="2">
                  <c:v>4.851908175827359</c:v>
                </c:pt>
                <c:pt idx="3">
                  <c:v>5.174255420627727</c:v>
                </c:pt>
                <c:pt idx="4">
                  <c:v>6.135375101681999</c:v>
                </c:pt>
                <c:pt idx="5">
                  <c:v>8.758391365098404</c:v>
                </c:pt>
                <c:pt idx="6">
                  <c:v>14.12833200569669</c:v>
                </c:pt>
                <c:pt idx="7">
                  <c:v>20.64435724008564</c:v>
                </c:pt>
                <c:pt idx="8">
                  <c:v>25.55111376010854</c:v>
                </c:pt>
                <c:pt idx="9">
                  <c:v>29.66838627768313</c:v>
                </c:pt>
                <c:pt idx="10">
                  <c:v>32.11972812696112</c:v>
                </c:pt>
                <c:pt idx="11">
                  <c:v>32.81992628186243</c:v>
                </c:pt>
                <c:pt idx="12">
                  <c:v>33.5677074767374</c:v>
                </c:pt>
                <c:pt idx="13">
                  <c:v>34.2685880859807</c:v>
                </c:pt>
                <c:pt idx="14">
                  <c:v>34.66399971850692</c:v>
                </c:pt>
                <c:pt idx="15">
                  <c:v>34.54457164023473</c:v>
                </c:pt>
                <c:pt idx="16">
                  <c:v>34.4102150521785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0.0143358700691167</c:v>
                </c:pt>
                <c:pt idx="2">
                  <c:v>0.0445634556220499</c:v>
                </c:pt>
                <c:pt idx="3">
                  <c:v>0.0765512242919757</c:v>
                </c:pt>
                <c:pt idx="4">
                  <c:v>0.111034866577529</c:v>
                </c:pt>
                <c:pt idx="5">
                  <c:v>0.15127986396974</c:v>
                </c:pt>
                <c:pt idx="6">
                  <c:v>0.200035793429059</c:v>
                </c:pt>
                <c:pt idx="7">
                  <c:v>0.260273471384402</c:v>
                </c:pt>
                <c:pt idx="8">
                  <c:v>0.334665490511558</c:v>
                </c:pt>
                <c:pt idx="9">
                  <c:v>0.422104933534187</c:v>
                </c:pt>
                <c:pt idx="10">
                  <c:v>0.527482843300888</c:v>
                </c:pt>
                <c:pt idx="11">
                  <c:v>0.658643077998685</c:v>
                </c:pt>
                <c:pt idx="12">
                  <c:v>0.822404041111582</c:v>
                </c:pt>
                <c:pt idx="13">
                  <c:v>1.032381251738402</c:v>
                </c:pt>
                <c:pt idx="14">
                  <c:v>1.30611771657447</c:v>
                </c:pt>
                <c:pt idx="15">
                  <c:v>1.672081314907482</c:v>
                </c:pt>
                <c:pt idx="16">
                  <c:v>2.15913483913457</c:v>
                </c:pt>
                <c:pt idx="17">
                  <c:v>2.792682063136801</c:v>
                </c:pt>
                <c:pt idx="18">
                  <c:v>3.62351295736657</c:v>
                </c:pt>
                <c:pt idx="19">
                  <c:v>4.660238045684454</c:v>
                </c:pt>
                <c:pt idx="20">
                  <c:v>5.914420175944327</c:v>
                </c:pt>
                <c:pt idx="21">
                  <c:v>7.373342090828168</c:v>
                </c:pt>
                <c:pt idx="22">
                  <c:v>8.975516271027808</c:v>
                </c:pt>
                <c:pt idx="23">
                  <c:v>10.72610674390319</c:v>
                </c:pt>
                <c:pt idx="24">
                  <c:v>12.60824452101221</c:v>
                </c:pt>
                <c:pt idx="25">
                  <c:v>14.52383381131666</c:v>
                </c:pt>
                <c:pt idx="26">
                  <c:v>16.4526054749704</c:v>
                </c:pt>
                <c:pt idx="27">
                  <c:v>18.3168167188318</c:v>
                </c:pt>
                <c:pt idx="28">
                  <c:v>20.050438907859</c:v>
                </c:pt>
                <c:pt idx="29">
                  <c:v>21.6403911170993</c:v>
                </c:pt>
                <c:pt idx="30">
                  <c:v>23.01800522524578</c:v>
                </c:pt>
                <c:pt idx="31">
                  <c:v>24.24154955155505</c:v>
                </c:pt>
                <c:pt idx="32">
                  <c:v>25.32946670882045</c:v>
                </c:pt>
                <c:pt idx="33">
                  <c:v>26.25346492274493</c:v>
                </c:pt>
                <c:pt idx="34">
                  <c:v>27.05818652339962</c:v>
                </c:pt>
                <c:pt idx="35">
                  <c:v>27.77331572656673</c:v>
                </c:pt>
                <c:pt idx="36">
                  <c:v>28.41401173915427</c:v>
                </c:pt>
                <c:pt idx="37">
                  <c:v>28.97998733747263</c:v>
                </c:pt>
                <c:pt idx="38">
                  <c:v>29.46540154071281</c:v>
                </c:pt>
                <c:pt idx="39">
                  <c:v>29.87911582796821</c:v>
                </c:pt>
                <c:pt idx="40">
                  <c:v>30.22556559781761</c:v>
                </c:pt>
                <c:pt idx="41">
                  <c:v>30.52056722896998</c:v>
                </c:pt>
                <c:pt idx="42">
                  <c:v>30.77066614388452</c:v>
                </c:pt>
                <c:pt idx="43">
                  <c:v>30.98558781327785</c:v>
                </c:pt>
                <c:pt idx="44">
                  <c:v>31.17040799381024</c:v>
                </c:pt>
                <c:pt idx="45">
                  <c:v>31.32584780011992</c:v>
                </c:pt>
                <c:pt idx="46">
                  <c:v>31.4593974028461</c:v>
                </c:pt>
                <c:pt idx="47">
                  <c:v>31.57666731200245</c:v>
                </c:pt>
                <c:pt idx="48">
                  <c:v>31.68252612480141</c:v>
                </c:pt>
                <c:pt idx="49">
                  <c:v>31.77866218778716</c:v>
                </c:pt>
                <c:pt idx="50">
                  <c:v>31.86496523182578</c:v>
                </c:pt>
                <c:pt idx="51">
                  <c:v>31.940742868499</c:v>
                </c:pt>
                <c:pt idx="52">
                  <c:v>32.00530215768465</c:v>
                </c:pt>
                <c:pt idx="53">
                  <c:v>32.05973436973438</c:v>
                </c:pt>
                <c:pt idx="54">
                  <c:v>32.1035650392779</c:v>
                </c:pt>
                <c:pt idx="55">
                  <c:v>32.138530930252</c:v>
                </c:pt>
                <c:pt idx="56">
                  <c:v>32.16875106411545</c:v>
                </c:pt>
                <c:pt idx="57">
                  <c:v>32.19562070007922</c:v>
                </c:pt>
                <c:pt idx="58">
                  <c:v>32.2187602658471</c:v>
                </c:pt>
                <c:pt idx="59">
                  <c:v>32.23808424731163</c:v>
                </c:pt>
                <c:pt idx="60">
                  <c:v>32.24676861869954</c:v>
                </c:pt>
                <c:pt idx="61">
                  <c:v>32.24676861869954</c:v>
                </c:pt>
                <c:pt idx="62">
                  <c:v>32.24676861869954</c:v>
                </c:pt>
                <c:pt idx="63">
                  <c:v>32.24676861869954</c:v>
                </c:pt>
                <c:pt idx="64">
                  <c:v>32.24676861869954</c:v>
                </c:pt>
                <c:pt idx="65">
                  <c:v>32.24676861869954</c:v>
                </c:pt>
                <c:pt idx="66">
                  <c:v>32.24676861869954</c:v>
                </c:pt>
                <c:pt idx="67">
                  <c:v>32.24676861869954</c:v>
                </c:pt>
                <c:pt idx="68">
                  <c:v>32.24676861869954</c:v>
                </c:pt>
                <c:pt idx="69">
                  <c:v>32.24676861869954</c:v>
                </c:pt>
                <c:pt idx="70">
                  <c:v>32.24676861869954</c:v>
                </c:pt>
                <c:pt idx="71">
                  <c:v>32.24676861869954</c:v>
                </c:pt>
                <c:pt idx="72">
                  <c:v>32.24676861869954</c:v>
                </c:pt>
                <c:pt idx="73">
                  <c:v>32.24676861869954</c:v>
                </c:pt>
                <c:pt idx="74">
                  <c:v>32.24676861869954</c:v>
                </c:pt>
                <c:pt idx="75">
                  <c:v>32.24676861869954</c:v>
                </c:pt>
                <c:pt idx="76">
                  <c:v>32.24676861869954</c:v>
                </c:pt>
                <c:pt idx="77">
                  <c:v>32.24676861869954</c:v>
                </c:pt>
                <c:pt idx="78">
                  <c:v>32.24676861869954</c:v>
                </c:pt>
                <c:pt idx="79">
                  <c:v>32.24676861869954</c:v>
                </c:pt>
                <c:pt idx="80">
                  <c:v>32.24676861869954</c:v>
                </c:pt>
                <c:pt idx="81">
                  <c:v>32.24676861869954</c:v>
                </c:pt>
                <c:pt idx="82">
                  <c:v>32.24676861869954</c:v>
                </c:pt>
                <c:pt idx="83">
                  <c:v>32.24676861869954</c:v>
                </c:pt>
                <c:pt idx="84">
                  <c:v>32.24676861869954</c:v>
                </c:pt>
                <c:pt idx="85">
                  <c:v>32.24676861869954</c:v>
                </c:pt>
                <c:pt idx="86">
                  <c:v>32.24676861869954</c:v>
                </c:pt>
                <c:pt idx="87">
                  <c:v>32.24676861869954</c:v>
                </c:pt>
                <c:pt idx="88">
                  <c:v>32.24676861869954</c:v>
                </c:pt>
                <c:pt idx="89">
                  <c:v>32.24676861869954</c:v>
                </c:pt>
                <c:pt idx="90">
                  <c:v>32.24676861869954</c:v>
                </c:pt>
                <c:pt idx="91">
                  <c:v>32.24676861869954</c:v>
                </c:pt>
                <c:pt idx="92">
                  <c:v>32.24676861869954</c:v>
                </c:pt>
                <c:pt idx="93">
                  <c:v>32.24676861869954</c:v>
                </c:pt>
                <c:pt idx="94">
                  <c:v>32.24676861869954</c:v>
                </c:pt>
                <c:pt idx="95">
                  <c:v>32.24676861869954</c:v>
                </c:pt>
                <c:pt idx="96">
                  <c:v>32.24676861869954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0.755292570744854</c:v>
                  </c:pt>
                  <c:pt idx="1">
                    <c:v>0.534975508729129</c:v>
                  </c:pt>
                  <c:pt idx="2">
                    <c:v>0.58598723795512</c:v>
                  </c:pt>
                  <c:pt idx="3">
                    <c:v>1.427970361590889</c:v>
                  </c:pt>
                  <c:pt idx="4">
                    <c:v>0.906349434169991</c:v>
                  </c:pt>
                  <c:pt idx="5">
                    <c:v>1.092406750626898</c:v>
                  </c:pt>
                  <c:pt idx="6">
                    <c:v>0.509373303331749</c:v>
                  </c:pt>
                  <c:pt idx="7">
                    <c:v>0.358292746406844</c:v>
                  </c:pt>
                  <c:pt idx="8">
                    <c:v>0.277564293071123</c:v>
                  </c:pt>
                  <c:pt idx="9">
                    <c:v>0.0840210406220912</c:v>
                  </c:pt>
                  <c:pt idx="10">
                    <c:v>0.491192748678473</c:v>
                  </c:pt>
                  <c:pt idx="11">
                    <c:v>0.115514238880037</c:v>
                  </c:pt>
                  <c:pt idx="12">
                    <c:v>0.0659917151494434</c:v>
                  </c:pt>
                  <c:pt idx="13">
                    <c:v>0.226976966938854</c:v>
                  </c:pt>
                  <c:pt idx="14">
                    <c:v>0.325524759999645</c:v>
                  </c:pt>
                  <c:pt idx="15">
                    <c:v>0.0433205452275281</c:v>
                  </c:pt>
                  <c:pt idx="16">
                    <c:v>0.056444433188583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0.755292570744854</c:v>
                  </c:pt>
                  <c:pt idx="1">
                    <c:v>0.534975508729129</c:v>
                  </c:pt>
                  <c:pt idx="2">
                    <c:v>0.58598723795512</c:v>
                  </c:pt>
                  <c:pt idx="3">
                    <c:v>1.427970361590889</c:v>
                  </c:pt>
                  <c:pt idx="4">
                    <c:v>0.906349434169991</c:v>
                  </c:pt>
                  <c:pt idx="5">
                    <c:v>1.092406750626898</c:v>
                  </c:pt>
                  <c:pt idx="6">
                    <c:v>0.509373303331749</c:v>
                  </c:pt>
                  <c:pt idx="7">
                    <c:v>0.358292746406844</c:v>
                  </c:pt>
                  <c:pt idx="8">
                    <c:v>0.277564293071123</c:v>
                  </c:pt>
                  <c:pt idx="9">
                    <c:v>0.0840210406220912</c:v>
                  </c:pt>
                  <c:pt idx="10">
                    <c:v>0.491192748678473</c:v>
                  </c:pt>
                  <c:pt idx="11">
                    <c:v>0.115514238880037</c:v>
                  </c:pt>
                  <c:pt idx="12">
                    <c:v>0.0659917151494434</c:v>
                  </c:pt>
                  <c:pt idx="13">
                    <c:v>0.226976966938854</c:v>
                  </c:pt>
                  <c:pt idx="14">
                    <c:v>0.325524759999645</c:v>
                  </c:pt>
                  <c:pt idx="15">
                    <c:v>0.0433205452275281</c:v>
                  </c:pt>
                  <c:pt idx="16">
                    <c:v>0.056444433188583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48.27930728241562</c:v>
                </c:pt>
                <c:pt idx="1">
                  <c:v>48.34961515689757</c:v>
                </c:pt>
                <c:pt idx="2">
                  <c:v>48.23120189461219</c:v>
                </c:pt>
                <c:pt idx="3">
                  <c:v>48.69540719020301</c:v>
                </c:pt>
                <c:pt idx="4">
                  <c:v>47.07863246302848</c:v>
                </c:pt>
                <c:pt idx="5">
                  <c:v>44.66531258388928</c:v>
                </c:pt>
                <c:pt idx="6">
                  <c:v>41.94008143800512</c:v>
                </c:pt>
                <c:pt idx="7">
                  <c:v>37.27562145171881</c:v>
                </c:pt>
                <c:pt idx="8">
                  <c:v>30.03570853656212</c:v>
                </c:pt>
                <c:pt idx="9">
                  <c:v>25.06191620009764</c:v>
                </c:pt>
                <c:pt idx="10">
                  <c:v>23.64488210095752</c:v>
                </c:pt>
                <c:pt idx="11">
                  <c:v>21.93203648836401</c:v>
                </c:pt>
                <c:pt idx="12">
                  <c:v>21.06186491481521</c:v>
                </c:pt>
                <c:pt idx="13">
                  <c:v>20.23508765603899</c:v>
                </c:pt>
                <c:pt idx="14">
                  <c:v>18.64743474632897</c:v>
                </c:pt>
                <c:pt idx="15">
                  <c:v>18.49486829309658</c:v>
                </c:pt>
                <c:pt idx="16">
                  <c:v>18.15540793465451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0.0346731411111553</c:v>
                  </c:pt>
                  <c:pt idx="1">
                    <c:v>0.0262104310153047</c:v>
                  </c:pt>
                  <c:pt idx="2">
                    <c:v>0.107270812081548</c:v>
                  </c:pt>
                  <c:pt idx="3">
                    <c:v>0.114330695220449</c:v>
                  </c:pt>
                  <c:pt idx="4">
                    <c:v>0.305264137131028</c:v>
                  </c:pt>
                  <c:pt idx="5">
                    <c:v>0.331212037511573</c:v>
                  </c:pt>
                  <c:pt idx="6">
                    <c:v>0.140200315506046</c:v>
                  </c:pt>
                  <c:pt idx="7">
                    <c:v>0.358516196283133</c:v>
                  </c:pt>
                  <c:pt idx="8">
                    <c:v>0.375497462419902</c:v>
                  </c:pt>
                  <c:pt idx="9">
                    <c:v>0.295120898201343</c:v>
                  </c:pt>
                  <c:pt idx="10">
                    <c:v>0.609452623413117</c:v>
                  </c:pt>
                  <c:pt idx="11">
                    <c:v>0.432000974899539</c:v>
                  </c:pt>
                  <c:pt idx="12">
                    <c:v>0.0269868741376092</c:v>
                  </c:pt>
                  <c:pt idx="13">
                    <c:v>0.169072281870733</c:v>
                  </c:pt>
                  <c:pt idx="14">
                    <c:v>0.527333475602436</c:v>
                  </c:pt>
                  <c:pt idx="15">
                    <c:v>0.0714779146816358</c:v>
                  </c:pt>
                  <c:pt idx="16">
                    <c:v>0.141028246829775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0.0346731411111553</c:v>
                  </c:pt>
                  <c:pt idx="1">
                    <c:v>0.0262104310153047</c:v>
                  </c:pt>
                  <c:pt idx="2">
                    <c:v>0.107270812081548</c:v>
                  </c:pt>
                  <c:pt idx="3">
                    <c:v>0.114330695220449</c:v>
                  </c:pt>
                  <c:pt idx="4">
                    <c:v>0.305264137131028</c:v>
                  </c:pt>
                  <c:pt idx="5">
                    <c:v>0.331212037511573</c:v>
                  </c:pt>
                  <c:pt idx="6">
                    <c:v>0.140200315506046</c:v>
                  </c:pt>
                  <c:pt idx="7">
                    <c:v>0.358516196283133</c:v>
                  </c:pt>
                  <c:pt idx="8">
                    <c:v>0.375497462419902</c:v>
                  </c:pt>
                  <c:pt idx="9">
                    <c:v>0.295120898201343</c:v>
                  </c:pt>
                  <c:pt idx="10">
                    <c:v>0.609452623413117</c:v>
                  </c:pt>
                  <c:pt idx="11">
                    <c:v>0.432000974899539</c:v>
                  </c:pt>
                  <c:pt idx="12">
                    <c:v>0.0269868741376092</c:v>
                  </c:pt>
                  <c:pt idx="13">
                    <c:v>0.169072281870733</c:v>
                  </c:pt>
                  <c:pt idx="14">
                    <c:v>0.527333475602436</c:v>
                  </c:pt>
                  <c:pt idx="15">
                    <c:v>0.0714779146816358</c:v>
                  </c:pt>
                  <c:pt idx="16">
                    <c:v>0.141028246829775</c:v>
                  </c:pt>
                </c:numCache>
              </c:numRef>
            </c:minus>
          </c:errBars>
          <c:xVal>
            <c:numRef>
              <c:f>Metabolites!$E$25:$E$41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0.423712783263345</c:v>
                </c:pt>
                <c:pt idx="1">
                  <c:v>0.673400673400673</c:v>
                </c:pt>
                <c:pt idx="2">
                  <c:v>1.24087315098551</c:v>
                </c:pt>
                <c:pt idx="3">
                  <c:v>1.741499110090095</c:v>
                </c:pt>
                <c:pt idx="4">
                  <c:v>2.924851563665531</c:v>
                </c:pt>
                <c:pt idx="5">
                  <c:v>5.175957979109125</c:v>
                </c:pt>
                <c:pt idx="6">
                  <c:v>10.66208464546228</c:v>
                </c:pt>
                <c:pt idx="7">
                  <c:v>18.59071697237804</c:v>
                </c:pt>
                <c:pt idx="8">
                  <c:v>25.82166164150664</c:v>
                </c:pt>
                <c:pt idx="9">
                  <c:v>33.19706518825594</c:v>
                </c:pt>
                <c:pt idx="10">
                  <c:v>36.20583632599823</c:v>
                </c:pt>
                <c:pt idx="11">
                  <c:v>37.52892148838424</c:v>
                </c:pt>
                <c:pt idx="12">
                  <c:v>39.13137772888924</c:v>
                </c:pt>
                <c:pt idx="13">
                  <c:v>40.28436277843644</c:v>
                </c:pt>
                <c:pt idx="14">
                  <c:v>41.90338154230202</c:v>
                </c:pt>
                <c:pt idx="15">
                  <c:v>42.589682970875</c:v>
                </c:pt>
                <c:pt idx="16">
                  <c:v>43.15120232152562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3.09792228590694E-5</c:v>
                </c:pt>
                <c:pt idx="3">
                  <c:v>6.19584457181389E-5</c:v>
                </c:pt>
                <c:pt idx="4">
                  <c:v>0.000831630950933716</c:v>
                </c:pt>
                <c:pt idx="5">
                  <c:v>0.00163325212617711</c:v>
                </c:pt>
                <c:pt idx="6">
                  <c:v>0.00214636712965416</c:v>
                </c:pt>
                <c:pt idx="7">
                  <c:v>0.0026275334631034</c:v>
                </c:pt>
                <c:pt idx="8">
                  <c:v>0.0026275334631034</c:v>
                </c:pt>
                <c:pt idx="9">
                  <c:v>0.0028595647131034</c:v>
                </c:pt>
                <c:pt idx="10">
                  <c:v>0.00315995009015097</c:v>
                </c:pt>
                <c:pt idx="11">
                  <c:v>0.00326230953668452</c:v>
                </c:pt>
                <c:pt idx="12">
                  <c:v>0.0034022768539975</c:v>
                </c:pt>
                <c:pt idx="13">
                  <c:v>0.00354344099204221</c:v>
                </c:pt>
                <c:pt idx="14">
                  <c:v>0.0036138452724776</c:v>
                </c:pt>
                <c:pt idx="15">
                  <c:v>0.00364904741269529</c:v>
                </c:pt>
                <c:pt idx="16">
                  <c:v>0.00500297828077575</c:v>
                </c:pt>
                <c:pt idx="17">
                  <c:v>0.00785702183761327</c:v>
                </c:pt>
                <c:pt idx="18">
                  <c:v>0.00962107854694756</c:v>
                </c:pt>
                <c:pt idx="19">
                  <c:v>0.0102240541111972</c:v>
                </c:pt>
                <c:pt idx="20">
                  <c:v>0.0106408638895529</c:v>
                </c:pt>
                <c:pt idx="21">
                  <c:v>0.0116508084042329</c:v>
                </c:pt>
                <c:pt idx="22">
                  <c:v>0.0134373627295436</c:v>
                </c:pt>
                <c:pt idx="23">
                  <c:v>0.0143318299214807</c:v>
                </c:pt>
                <c:pt idx="24">
                  <c:v>0.014573114480951</c:v>
                </c:pt>
                <c:pt idx="25">
                  <c:v>0.0148949621735331</c:v>
                </c:pt>
                <c:pt idx="26">
                  <c:v>0.0152262973099593</c:v>
                </c:pt>
                <c:pt idx="27">
                  <c:v>0.0155213520951847</c:v>
                </c:pt>
                <c:pt idx="28">
                  <c:v>0.0169699979136819</c:v>
                </c:pt>
                <c:pt idx="29">
                  <c:v>0.0215463932407728</c:v>
                </c:pt>
                <c:pt idx="30">
                  <c:v>0.0253744471936225</c:v>
                </c:pt>
                <c:pt idx="31">
                  <c:v>0.0265914900391423</c:v>
                </c:pt>
                <c:pt idx="32">
                  <c:v>0.0271925903689405</c:v>
                </c:pt>
                <c:pt idx="33">
                  <c:v>0.0306600832156788</c:v>
                </c:pt>
                <c:pt idx="34">
                  <c:v>0.0349980459438426</c:v>
                </c:pt>
                <c:pt idx="35">
                  <c:v>0.0359166860422949</c:v>
                </c:pt>
                <c:pt idx="36">
                  <c:v>0.0377140639854878</c:v>
                </c:pt>
                <c:pt idx="37">
                  <c:v>0.0394632717116538</c:v>
                </c:pt>
                <c:pt idx="38">
                  <c:v>0.0396175374418691</c:v>
                </c:pt>
                <c:pt idx="39">
                  <c:v>0.0397718031720843</c:v>
                </c:pt>
                <c:pt idx="40">
                  <c:v>0.0409034303071536</c:v>
                </c:pt>
                <c:pt idx="41">
                  <c:v>0.0423435889026533</c:v>
                </c:pt>
                <c:pt idx="42">
                  <c:v>0.0427033697164105</c:v>
                </c:pt>
                <c:pt idx="43">
                  <c:v>0.0430631505301676</c:v>
                </c:pt>
                <c:pt idx="44">
                  <c:v>0.0433716819905982</c:v>
                </c:pt>
                <c:pt idx="45">
                  <c:v>0.0434746983674869</c:v>
                </c:pt>
                <c:pt idx="46">
                  <c:v>0.0436289640977022</c:v>
                </c:pt>
                <c:pt idx="47">
                  <c:v>0.0438344791812441</c:v>
                </c:pt>
                <c:pt idx="48">
                  <c:v>0.0439887449114594</c:v>
                </c:pt>
                <c:pt idx="49">
                  <c:v>0.0444819682149851</c:v>
                </c:pt>
                <c:pt idx="50">
                  <c:v>0.0454137961340621</c:v>
                </c:pt>
                <c:pt idx="51">
                  <c:v>0.0459070194375879</c:v>
                </c:pt>
                <c:pt idx="52">
                  <c:v>0.0464002427411136</c:v>
                </c:pt>
                <c:pt idx="53">
                  <c:v>0.0474418597400582</c:v>
                </c:pt>
                <c:pt idx="54">
                  <c:v>0.0488122922746867</c:v>
                </c:pt>
                <c:pt idx="55">
                  <c:v>0.0495797124259219</c:v>
                </c:pt>
                <c:pt idx="56">
                  <c:v>0.0498539092736313</c:v>
                </c:pt>
                <c:pt idx="57">
                  <c:v>0.0501281061213408</c:v>
                </c:pt>
                <c:pt idx="58">
                  <c:v>0.0501281061213408</c:v>
                </c:pt>
                <c:pt idx="59">
                  <c:v>0.0501281061213408</c:v>
                </c:pt>
                <c:pt idx="60">
                  <c:v>0.0508901269211524</c:v>
                </c:pt>
                <c:pt idx="61">
                  <c:v>0.0516521477209639</c:v>
                </c:pt>
                <c:pt idx="62">
                  <c:v>0.0516521477209639</c:v>
                </c:pt>
                <c:pt idx="63">
                  <c:v>0.0520036681518367</c:v>
                </c:pt>
                <c:pt idx="64">
                  <c:v>0.0526483188748971</c:v>
                </c:pt>
                <c:pt idx="65">
                  <c:v>0.0545822710440783</c:v>
                </c:pt>
                <c:pt idx="66">
                  <c:v>0.0562230929210719</c:v>
                </c:pt>
                <c:pt idx="67">
                  <c:v>0.0565746133519447</c:v>
                </c:pt>
                <c:pt idx="68">
                  <c:v>0.0576881545826291</c:v>
                </c:pt>
                <c:pt idx="69">
                  <c:v>0.0586843257365623</c:v>
                </c:pt>
                <c:pt idx="70">
                  <c:v>0.0589184760906839</c:v>
                </c:pt>
                <c:pt idx="71">
                  <c:v>0.0598562571059319</c:v>
                </c:pt>
                <c:pt idx="72">
                  <c:v>0.060911408197931</c:v>
                </c:pt>
                <c:pt idx="73">
                  <c:v>0.0619081691512449</c:v>
                </c:pt>
                <c:pt idx="74">
                  <c:v>0.0629049301045587</c:v>
                </c:pt>
                <c:pt idx="75">
                  <c:v>0.0630223001813099</c:v>
                </c:pt>
                <c:pt idx="76">
                  <c:v>0.063139670258061</c:v>
                </c:pt>
                <c:pt idx="77">
                  <c:v>0.0633744104115634</c:v>
                </c:pt>
                <c:pt idx="78">
                  <c:v>0.0660703833805561</c:v>
                </c:pt>
                <c:pt idx="79">
                  <c:v>0.0691762669191068</c:v>
                </c:pt>
                <c:pt idx="80">
                  <c:v>0.0697619377041013</c:v>
                </c:pt>
                <c:pt idx="81">
                  <c:v>0.0698203278427866</c:v>
                </c:pt>
                <c:pt idx="82">
                  <c:v>0.0709922592121562</c:v>
                </c:pt>
                <c:pt idx="83">
                  <c:v>0.0721641905815258</c:v>
                </c:pt>
                <c:pt idx="84">
                  <c:v>0.0725157110123986</c:v>
                </c:pt>
                <c:pt idx="85">
                  <c:v>0.0730429916587079</c:v>
                </c:pt>
                <c:pt idx="86">
                  <c:v>0.0739217927358899</c:v>
                </c:pt>
                <c:pt idx="87">
                  <c:v>0.0747422036743867</c:v>
                </c:pt>
                <c:pt idx="88">
                  <c:v>0.0753284642587619</c:v>
                </c:pt>
                <c:pt idx="89">
                  <c:v>0.0766177657048826</c:v>
                </c:pt>
                <c:pt idx="90">
                  <c:v>0.0776723269975011</c:v>
                </c:pt>
                <c:pt idx="91">
                  <c:v>0.077964867490308</c:v>
                </c:pt>
                <c:pt idx="92">
                  <c:v>0.0780816477676785</c:v>
                </c:pt>
                <c:pt idx="93">
                  <c:v>0.078198428045049</c:v>
                </c:pt>
                <c:pt idx="94">
                  <c:v>0.0802497502909813</c:v>
                </c:pt>
                <c:pt idx="95">
                  <c:v>0.0823010725369136</c:v>
                </c:pt>
                <c:pt idx="96">
                  <c:v>0.0824822847817217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486408"/>
        <c:axId val="2097492040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2910.0</c:v>
                </c:pt>
                <c:pt idx="1">
                  <c:v>5263.0</c:v>
                </c:pt>
                <c:pt idx="2">
                  <c:v>6185.0</c:v>
                </c:pt>
                <c:pt idx="3">
                  <c:v>8346.0</c:v>
                </c:pt>
                <c:pt idx="4">
                  <c:v>16089.0</c:v>
                </c:pt>
                <c:pt idx="5">
                  <c:v>25128.0</c:v>
                </c:pt>
                <c:pt idx="6">
                  <c:v>3842.0</c:v>
                </c:pt>
                <c:pt idx="7">
                  <c:v>4835.0</c:v>
                </c:pt>
                <c:pt idx="8">
                  <c:v>5194.0</c:v>
                </c:pt>
                <c:pt idx="9">
                  <c:v>4313.0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0.0441341782702074</c:v>
                  </c:pt>
                  <c:pt idx="1">
                    <c:v>0.0361136331890156</c:v>
                  </c:pt>
                  <c:pt idx="2">
                    <c:v>0.0384308553078947</c:v>
                  </c:pt>
                  <c:pt idx="3">
                    <c:v>0.0356020363725333</c:v>
                  </c:pt>
                  <c:pt idx="4">
                    <c:v>0.0423255446823451</c:v>
                  </c:pt>
                  <c:pt idx="5">
                    <c:v>0.0292608002928963</c:v>
                  </c:pt>
                  <c:pt idx="6">
                    <c:v>0.0224562186890478</c:v>
                  </c:pt>
                  <c:pt idx="7">
                    <c:v>0.0306733005852859</c:v>
                  </c:pt>
                  <c:pt idx="8">
                    <c:v>0.0234212890031894</c:v>
                  </c:pt>
                  <c:pt idx="9">
                    <c:v>0.0293066999183075</c:v>
                  </c:pt>
                  <c:pt idx="10">
                    <c:v>0.0727297052622863</c:v>
                  </c:pt>
                  <c:pt idx="11">
                    <c:v>0.0366256169713816</c:v>
                  </c:pt>
                  <c:pt idx="12">
                    <c:v>0.0863633984668356</c:v>
                  </c:pt>
                  <c:pt idx="13">
                    <c:v>0.00755867798681854</c:v>
                  </c:pt>
                  <c:pt idx="14">
                    <c:v>0.0315461533251506</c:v>
                  </c:pt>
                  <c:pt idx="15">
                    <c:v>0.0172880958060326</c:v>
                  </c:pt>
                  <c:pt idx="16">
                    <c:v>0.0235285003764314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0.0441341782702074</c:v>
                  </c:pt>
                  <c:pt idx="1">
                    <c:v>0.0361136331890156</c:v>
                  </c:pt>
                  <c:pt idx="2">
                    <c:v>0.0384308553078947</c:v>
                  </c:pt>
                  <c:pt idx="3">
                    <c:v>0.0356020363725333</c:v>
                  </c:pt>
                  <c:pt idx="4">
                    <c:v>0.0423255446823451</c:v>
                  </c:pt>
                  <c:pt idx="5">
                    <c:v>0.0292608002928963</c:v>
                  </c:pt>
                  <c:pt idx="6">
                    <c:v>0.0224562186890478</c:v>
                  </c:pt>
                  <c:pt idx="7">
                    <c:v>0.0306733005852859</c:v>
                  </c:pt>
                  <c:pt idx="8">
                    <c:v>0.0234212890031894</c:v>
                  </c:pt>
                  <c:pt idx="9">
                    <c:v>0.0293066999183075</c:v>
                  </c:pt>
                  <c:pt idx="10">
                    <c:v>0.0727297052622863</c:v>
                  </c:pt>
                  <c:pt idx="11">
                    <c:v>0.0366256169713816</c:v>
                  </c:pt>
                  <c:pt idx="12">
                    <c:v>0.0863633984668356</c:v>
                  </c:pt>
                  <c:pt idx="13">
                    <c:v>0.00755867798681854</c:v>
                  </c:pt>
                  <c:pt idx="14">
                    <c:v>0.0315461533251506</c:v>
                  </c:pt>
                  <c:pt idx="15">
                    <c:v>0.0172880958060326</c:v>
                  </c:pt>
                  <c:pt idx="16">
                    <c:v>0.0235285003764314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7.595615880396306</c:v>
                </c:pt>
                <c:pt idx="1">
                  <c:v>7.857404872813722</c:v>
                </c:pt>
                <c:pt idx="2">
                  <c:v>7.933346983586742</c:v>
                </c:pt>
                <c:pt idx="3">
                  <c:v>8.090807755683014</c:v>
                </c:pt>
                <c:pt idx="4">
                  <c:v>8.342642044272704</c:v>
                </c:pt>
                <c:pt idx="5">
                  <c:v>8.534869819539618</c:v>
                </c:pt>
                <c:pt idx="6">
                  <c:v>8.750640107498227</c:v>
                </c:pt>
                <c:pt idx="7">
                  <c:v>8.864548681715171</c:v>
                </c:pt>
                <c:pt idx="8">
                  <c:v>8.881559397406148</c:v>
                </c:pt>
                <c:pt idx="9">
                  <c:v>8.807071332096783</c:v>
                </c:pt>
                <c:pt idx="10">
                  <c:v>8.739159441504599</c:v>
                </c:pt>
                <c:pt idx="11">
                  <c:v>8.781134353564782</c:v>
                </c:pt>
                <c:pt idx="12">
                  <c:v>8.704325630853253</c:v>
                </c:pt>
                <c:pt idx="13">
                  <c:v>8.766702881088788</c:v>
                </c:pt>
                <c:pt idx="14">
                  <c:v>8.566041382337803</c:v>
                </c:pt>
                <c:pt idx="15">
                  <c:v>8.660542280845044</c:v>
                </c:pt>
                <c:pt idx="16">
                  <c:v>8.545563434335513</c:v>
                </c:pt>
              </c:numCache>
            </c:numRef>
          </c:yVal>
          <c:smooth val="0"/>
        </c:ser>
        <c:ser>
          <c:idx val="5"/>
          <c:order val="9"/>
          <c:tx>
            <c:v>qPCR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count'!$AE$4:$AE$20</c:f>
                <c:numCache>
                  <c:formatCode>General</c:formatCode>
                  <c:ptCount val="17"/>
                  <c:pt idx="0">
                    <c:v>0.123228367807982</c:v>
                  </c:pt>
                  <c:pt idx="1">
                    <c:v>0.164223828392516</c:v>
                  </c:pt>
                  <c:pt idx="2">
                    <c:v>0.0251762129089369</c:v>
                  </c:pt>
                  <c:pt idx="3">
                    <c:v>0.314883946569715</c:v>
                  </c:pt>
                  <c:pt idx="4">
                    <c:v>0.197471871991517</c:v>
                  </c:pt>
                  <c:pt idx="5">
                    <c:v>0.166955062686057</c:v>
                  </c:pt>
                  <c:pt idx="6">
                    <c:v>0.497128958205656</c:v>
                  </c:pt>
                  <c:pt idx="7">
                    <c:v>0.319004819735962</c:v>
                  </c:pt>
                  <c:pt idx="8">
                    <c:v>0.401038675905354</c:v>
                  </c:pt>
                  <c:pt idx="9">
                    <c:v>0.245653350414786</c:v>
                  </c:pt>
                  <c:pt idx="10">
                    <c:v>0.318067805804785</c:v>
                  </c:pt>
                  <c:pt idx="11">
                    <c:v>0.141615188369305</c:v>
                  </c:pt>
                  <c:pt idx="12">
                    <c:v>0.0796996965030608</c:v>
                  </c:pt>
                  <c:pt idx="13">
                    <c:v>0.164033024735774</c:v>
                  </c:pt>
                  <c:pt idx="14">
                    <c:v>0.133467590672157</c:v>
                  </c:pt>
                  <c:pt idx="15">
                    <c:v>0.226103747659091</c:v>
                  </c:pt>
                  <c:pt idx="16">
                    <c:v>0.0839547668302215</c:v>
                  </c:pt>
                </c:numCache>
              </c:numRef>
            </c:plus>
            <c:minus>
              <c:numRef>
                <c:f>'Determination cell count'!$AE$4:$AE$20</c:f>
                <c:numCache>
                  <c:formatCode>General</c:formatCode>
                  <c:ptCount val="17"/>
                  <c:pt idx="0">
                    <c:v>0.123228367807982</c:v>
                  </c:pt>
                  <c:pt idx="1">
                    <c:v>0.164223828392516</c:v>
                  </c:pt>
                  <c:pt idx="2">
                    <c:v>0.0251762129089369</c:v>
                  </c:pt>
                  <c:pt idx="3">
                    <c:v>0.314883946569715</c:v>
                  </c:pt>
                  <c:pt idx="4">
                    <c:v>0.197471871991517</c:v>
                  </c:pt>
                  <c:pt idx="5">
                    <c:v>0.166955062686057</c:v>
                  </c:pt>
                  <c:pt idx="6">
                    <c:v>0.497128958205656</c:v>
                  </c:pt>
                  <c:pt idx="7">
                    <c:v>0.319004819735962</c:v>
                  </c:pt>
                  <c:pt idx="8">
                    <c:v>0.401038675905354</c:v>
                  </c:pt>
                  <c:pt idx="9">
                    <c:v>0.245653350414786</c:v>
                  </c:pt>
                  <c:pt idx="10">
                    <c:v>0.318067805804785</c:v>
                  </c:pt>
                  <c:pt idx="11">
                    <c:v>0.141615188369305</c:v>
                  </c:pt>
                  <c:pt idx="12">
                    <c:v>0.0796996965030608</c:v>
                  </c:pt>
                  <c:pt idx="13">
                    <c:v>0.164033024735774</c:v>
                  </c:pt>
                  <c:pt idx="14">
                    <c:v>0.133467590672157</c:v>
                  </c:pt>
                  <c:pt idx="15">
                    <c:v>0.226103747659091</c:v>
                  </c:pt>
                  <c:pt idx="16">
                    <c:v>0.0839547668302215</c:v>
                  </c:pt>
                </c:numCache>
              </c:numRef>
            </c:minus>
          </c:errBars>
          <c:xVal>
            <c:numRef>
              <c:f>'Determination cell count'!$D$4:$D$20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count'!$Y$4:$Y$20</c:f>
              <c:numCache>
                <c:formatCode>0.00</c:formatCode>
                <c:ptCount val="17"/>
                <c:pt idx="0">
                  <c:v>6.94925399295102</c:v>
                </c:pt>
                <c:pt idx="1">
                  <c:v>6.888984470352997</c:v>
                </c:pt>
                <c:pt idx="2">
                  <c:v>7.049731530457398</c:v>
                </c:pt>
                <c:pt idx="3">
                  <c:v>7.103591526844546</c:v>
                </c:pt>
                <c:pt idx="4">
                  <c:v>7.407110016030972</c:v>
                </c:pt>
                <c:pt idx="5">
                  <c:v>7.721111937581637</c:v>
                </c:pt>
                <c:pt idx="6">
                  <c:v>7.924656030481903</c:v>
                </c:pt>
                <c:pt idx="7">
                  <c:v>8.16070997195019</c:v>
                </c:pt>
                <c:pt idx="8">
                  <c:v>8.122128302527285</c:v>
                </c:pt>
                <c:pt idx="9">
                  <c:v>8.433894210048288</c:v>
                </c:pt>
                <c:pt idx="10">
                  <c:v>8.836894454214386</c:v>
                </c:pt>
                <c:pt idx="11">
                  <c:v>9.133286420888637</c:v>
                </c:pt>
                <c:pt idx="12">
                  <c:v>9.278571669374193</c:v>
                </c:pt>
                <c:pt idx="13">
                  <c:v>9.255324790980351</c:v>
                </c:pt>
                <c:pt idx="14">
                  <c:v>8.987269705794054</c:v>
                </c:pt>
                <c:pt idx="15">
                  <c:v>8.543157421625025</c:v>
                </c:pt>
                <c:pt idx="16">
                  <c:v>8.209394174349865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03432"/>
        <c:axId val="2097497512"/>
      </c:scatterChart>
      <c:valAx>
        <c:axId val="2097486408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97492040"/>
        <c:crosses val="autoZero"/>
        <c:crossBetween val="midCat"/>
        <c:majorUnit val="6.0"/>
      </c:valAx>
      <c:valAx>
        <c:axId val="2097492040"/>
        <c:scaling>
          <c:orientation val="minMax"/>
          <c:max val="6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97486408"/>
        <c:crosses val="autoZero"/>
        <c:crossBetween val="midCat"/>
      </c:valAx>
      <c:valAx>
        <c:axId val="2097497512"/>
        <c:scaling>
          <c:orientation val="minMax"/>
          <c:max val="12.0"/>
          <c:min val="6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097503432"/>
        <c:crosses val="max"/>
        <c:crossBetween val="midCat"/>
        <c:majorUnit val="1.0"/>
        <c:minorUnit val="0.2"/>
      </c:valAx>
      <c:valAx>
        <c:axId val="2097503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9749751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0.0339148586068372</c:v>
                  </c:pt>
                  <c:pt idx="1">
                    <c:v>0.0128186116605157</c:v>
                  </c:pt>
                  <c:pt idx="2">
                    <c:v>0.0256372233210313</c:v>
                  </c:pt>
                  <c:pt idx="3">
                    <c:v>0.0339392227293996</c:v>
                  </c:pt>
                  <c:pt idx="4">
                    <c:v>0.0339643257047911</c:v>
                  </c:pt>
                  <c:pt idx="5">
                    <c:v>0.046427228309625</c:v>
                  </c:pt>
                  <c:pt idx="6">
                    <c:v>0.0224438537841626</c:v>
                  </c:pt>
                  <c:pt idx="7">
                    <c:v>0.0</c:v>
                  </c:pt>
                  <c:pt idx="8">
                    <c:v>0.0262346814052727</c:v>
                  </c:pt>
                  <c:pt idx="9">
                    <c:v>0.0131620716172234</c:v>
                  </c:pt>
                  <c:pt idx="10">
                    <c:v>0.0527419666939271</c:v>
                  </c:pt>
                  <c:pt idx="11">
                    <c:v>0.0263709833469635</c:v>
                  </c:pt>
                  <c:pt idx="12">
                    <c:v>0.0131983430298887</c:v>
                  </c:pt>
                  <c:pt idx="13">
                    <c:v>0.0</c:v>
                  </c:pt>
                  <c:pt idx="14">
                    <c:v>0.0396379272793623</c:v>
                  </c:pt>
                  <c:pt idx="15">
                    <c:v>0.0660632121322705</c:v>
                  </c:pt>
                  <c:pt idx="16">
                    <c:v>0.0132126424264541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0.0339148586068372</c:v>
                  </c:pt>
                  <c:pt idx="1">
                    <c:v>0.0128186116605157</c:v>
                  </c:pt>
                  <c:pt idx="2">
                    <c:v>0.0256372233210313</c:v>
                  </c:pt>
                  <c:pt idx="3">
                    <c:v>0.0339392227293996</c:v>
                  </c:pt>
                  <c:pt idx="4">
                    <c:v>0.0339643257047911</c:v>
                  </c:pt>
                  <c:pt idx="5">
                    <c:v>0.046427228309625</c:v>
                  </c:pt>
                  <c:pt idx="6">
                    <c:v>0.0224438537841626</c:v>
                  </c:pt>
                  <c:pt idx="7">
                    <c:v>0.0</c:v>
                  </c:pt>
                  <c:pt idx="8">
                    <c:v>0.0262346814052727</c:v>
                  </c:pt>
                  <c:pt idx="9">
                    <c:v>0.0131620716172234</c:v>
                  </c:pt>
                  <c:pt idx="10">
                    <c:v>0.0527419666939271</c:v>
                  </c:pt>
                  <c:pt idx="11">
                    <c:v>0.0263709833469635</c:v>
                  </c:pt>
                  <c:pt idx="12">
                    <c:v>0.0131983430298887</c:v>
                  </c:pt>
                  <c:pt idx="13">
                    <c:v>0.0</c:v>
                  </c:pt>
                  <c:pt idx="14">
                    <c:v>0.0396379272793623</c:v>
                  </c:pt>
                  <c:pt idx="15">
                    <c:v>0.0660632121322705</c:v>
                  </c:pt>
                  <c:pt idx="16">
                    <c:v>0.0132126424264541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0.273830669034932</c:v>
                </c:pt>
                <c:pt idx="1">
                  <c:v>0.251628182356424</c:v>
                </c:pt>
                <c:pt idx="2">
                  <c:v>0.303433984606276</c:v>
                </c:pt>
                <c:pt idx="3">
                  <c:v>0.348088842272174</c:v>
                </c:pt>
                <c:pt idx="4">
                  <c:v>0.34093468093503</c:v>
                </c:pt>
                <c:pt idx="5">
                  <c:v>0.319675173286824</c:v>
                </c:pt>
                <c:pt idx="6">
                  <c:v>0.359101660546601</c:v>
                </c:pt>
                <c:pt idx="7">
                  <c:v>0.406602072193277</c:v>
                </c:pt>
                <c:pt idx="8">
                  <c:v>0.378665009285957</c:v>
                </c:pt>
                <c:pt idx="9">
                  <c:v>0.448348409886525</c:v>
                </c:pt>
                <c:pt idx="10">
                  <c:v>0.555723243197005</c:v>
                </c:pt>
                <c:pt idx="11">
                  <c:v>0.723201480872815</c:v>
                </c:pt>
                <c:pt idx="12">
                  <c:v>1.013468897854711</c:v>
                </c:pt>
                <c:pt idx="13">
                  <c:v>1.325891640802404</c:v>
                </c:pt>
                <c:pt idx="14">
                  <c:v>2.242726862516145</c:v>
                </c:pt>
                <c:pt idx="15">
                  <c:v>2.50208983301121</c:v>
                </c:pt>
                <c:pt idx="16">
                  <c:v>2.761452803506274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0.368374355215922</c:v>
                  </c:pt>
                  <c:pt idx="1">
                    <c:v>0.821462591559743</c:v>
                  </c:pt>
                  <c:pt idx="2">
                    <c:v>0.454634365349835</c:v>
                  </c:pt>
                  <c:pt idx="3">
                    <c:v>1.120056520170104</c:v>
                  </c:pt>
                  <c:pt idx="4">
                    <c:v>0.962080989585179</c:v>
                  </c:pt>
                  <c:pt idx="5">
                    <c:v>1.265306398100999</c:v>
                  </c:pt>
                  <c:pt idx="6">
                    <c:v>1.094587010745849</c:v>
                  </c:pt>
                  <c:pt idx="7">
                    <c:v>0.352690288585759</c:v>
                  </c:pt>
                  <c:pt idx="8">
                    <c:v>0.0681634851686509</c:v>
                  </c:pt>
                  <c:pt idx="9">
                    <c:v>0.265631089004962</c:v>
                  </c:pt>
                  <c:pt idx="10">
                    <c:v>0.360939000485939</c:v>
                  </c:pt>
                  <c:pt idx="11">
                    <c:v>0.684319270270431</c:v>
                  </c:pt>
                  <c:pt idx="12">
                    <c:v>0.456657498744466</c:v>
                  </c:pt>
                  <c:pt idx="13">
                    <c:v>0.311159635480968</c:v>
                  </c:pt>
                  <c:pt idx="14">
                    <c:v>0.453268868771442</c:v>
                  </c:pt>
                  <c:pt idx="15">
                    <c:v>0.129968849761724</c:v>
                  </c:pt>
                  <c:pt idx="16">
                    <c:v>0.21438676868672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0.368374355215922</c:v>
                  </c:pt>
                  <c:pt idx="1">
                    <c:v>0.821462591559743</c:v>
                  </c:pt>
                  <c:pt idx="2">
                    <c:v>0.454634365349835</c:v>
                  </c:pt>
                  <c:pt idx="3">
                    <c:v>1.120056520170104</c:v>
                  </c:pt>
                  <c:pt idx="4">
                    <c:v>0.962080989585179</c:v>
                  </c:pt>
                  <c:pt idx="5">
                    <c:v>1.265306398100999</c:v>
                  </c:pt>
                  <c:pt idx="6">
                    <c:v>1.094587010745849</c:v>
                  </c:pt>
                  <c:pt idx="7">
                    <c:v>0.352690288585759</c:v>
                  </c:pt>
                  <c:pt idx="8">
                    <c:v>0.0681634851686509</c:v>
                  </c:pt>
                  <c:pt idx="9">
                    <c:v>0.265631089004962</c:v>
                  </c:pt>
                  <c:pt idx="10">
                    <c:v>0.360939000485939</c:v>
                  </c:pt>
                  <c:pt idx="11">
                    <c:v>0.684319270270431</c:v>
                  </c:pt>
                  <c:pt idx="12">
                    <c:v>0.456657498744466</c:v>
                  </c:pt>
                  <c:pt idx="13">
                    <c:v>0.311159635480968</c:v>
                  </c:pt>
                  <c:pt idx="14">
                    <c:v>0.453268868771442</c:v>
                  </c:pt>
                  <c:pt idx="15">
                    <c:v>0.129968849761724</c:v>
                  </c:pt>
                  <c:pt idx="16">
                    <c:v>0.21438676868672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48.34859839023036</c:v>
                </c:pt>
                <c:pt idx="1">
                  <c:v>48.78157091312795</c:v>
                </c:pt>
                <c:pt idx="2">
                  <c:v>49.1368304190952</c:v>
                </c:pt>
                <c:pt idx="3">
                  <c:v>49.11658069105886</c:v>
                </c:pt>
                <c:pt idx="4">
                  <c:v>47.69644466260434</c:v>
                </c:pt>
                <c:pt idx="5">
                  <c:v>45.8461948900655</c:v>
                </c:pt>
                <c:pt idx="6">
                  <c:v>44.23929136427737</c:v>
                </c:pt>
                <c:pt idx="7">
                  <c:v>42.0404699714189</c:v>
                </c:pt>
                <c:pt idx="8">
                  <c:v>36.12664713938494</c:v>
                </c:pt>
                <c:pt idx="9">
                  <c:v>31.58751882389089</c:v>
                </c:pt>
                <c:pt idx="10">
                  <c:v>30.86719125994193</c:v>
                </c:pt>
                <c:pt idx="11">
                  <c:v>30.01072091421657</c:v>
                </c:pt>
                <c:pt idx="12">
                  <c:v>30.22286288679</c:v>
                </c:pt>
                <c:pt idx="13">
                  <c:v>30.44004684853319</c:v>
                </c:pt>
                <c:pt idx="14">
                  <c:v>29.74066668821367</c:v>
                </c:pt>
                <c:pt idx="15">
                  <c:v>29.71778044990031</c:v>
                </c:pt>
                <c:pt idx="16">
                  <c:v>29.76355292652703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0.164498757210523</c:v>
                  </c:pt>
                  <c:pt idx="1">
                    <c:v>0.10034330118438</c:v>
                  </c:pt>
                  <c:pt idx="2">
                    <c:v>0.195926558888677</c:v>
                  </c:pt>
                  <c:pt idx="3">
                    <c:v>0.18952988644188</c:v>
                  </c:pt>
                  <c:pt idx="4">
                    <c:v>0.0435132985934888</c:v>
                  </c:pt>
                  <c:pt idx="5">
                    <c:v>0.240386004936981</c:v>
                  </c:pt>
                  <c:pt idx="6">
                    <c:v>0.0670923843104377</c:v>
                  </c:pt>
                  <c:pt idx="7">
                    <c:v>0.192690935682837</c:v>
                  </c:pt>
                  <c:pt idx="8">
                    <c:v>0.260526445246177</c:v>
                  </c:pt>
                  <c:pt idx="9">
                    <c:v>0.160858478172119</c:v>
                  </c:pt>
                  <c:pt idx="10">
                    <c:v>0.518007746619735</c:v>
                  </c:pt>
                  <c:pt idx="11">
                    <c:v>0.254137994592724</c:v>
                  </c:pt>
                  <c:pt idx="12">
                    <c:v>0.338743552446071</c:v>
                  </c:pt>
                  <c:pt idx="13">
                    <c:v>0.44060894403022</c:v>
                  </c:pt>
                  <c:pt idx="14">
                    <c:v>0.390431193157349</c:v>
                  </c:pt>
                  <c:pt idx="15">
                    <c:v>0.169555277605726</c:v>
                  </c:pt>
                  <c:pt idx="16">
                    <c:v>0.323986497340692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0.164498757210523</c:v>
                  </c:pt>
                  <c:pt idx="1">
                    <c:v>0.10034330118438</c:v>
                  </c:pt>
                  <c:pt idx="2">
                    <c:v>0.195926558888677</c:v>
                  </c:pt>
                  <c:pt idx="3">
                    <c:v>0.18952988644188</c:v>
                  </c:pt>
                  <c:pt idx="4">
                    <c:v>0.0435132985934888</c:v>
                  </c:pt>
                  <c:pt idx="5">
                    <c:v>0.240386004936981</c:v>
                  </c:pt>
                  <c:pt idx="6">
                    <c:v>0.0670923843104377</c:v>
                  </c:pt>
                  <c:pt idx="7">
                    <c:v>0.192690935682837</c:v>
                  </c:pt>
                  <c:pt idx="8">
                    <c:v>0.260526445246177</c:v>
                  </c:pt>
                  <c:pt idx="9">
                    <c:v>0.160858478172119</c:v>
                  </c:pt>
                  <c:pt idx="10">
                    <c:v>0.518007746619735</c:v>
                  </c:pt>
                  <c:pt idx="11">
                    <c:v>0.254137994592724</c:v>
                  </c:pt>
                  <c:pt idx="12">
                    <c:v>0.338743552446071</c:v>
                  </c:pt>
                  <c:pt idx="13">
                    <c:v>0.44060894403022</c:v>
                  </c:pt>
                  <c:pt idx="14">
                    <c:v>0.390431193157349</c:v>
                  </c:pt>
                  <c:pt idx="15">
                    <c:v>0.169555277605726</c:v>
                  </c:pt>
                  <c:pt idx="16">
                    <c:v>0.323986497340692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4.316025780288218</c:v>
                </c:pt>
                <c:pt idx="1">
                  <c:v>4.707075095951915</c:v>
                </c:pt>
                <c:pt idx="2">
                  <c:v>4.851908175827359</c:v>
                </c:pt>
                <c:pt idx="3">
                  <c:v>5.174255420627727</c:v>
                </c:pt>
                <c:pt idx="4">
                  <c:v>6.135375101681999</c:v>
                </c:pt>
                <c:pt idx="5">
                  <c:v>8.758391365098404</c:v>
                </c:pt>
                <c:pt idx="6">
                  <c:v>14.12833200569669</c:v>
                </c:pt>
                <c:pt idx="7">
                  <c:v>20.64435724008564</c:v>
                </c:pt>
                <c:pt idx="8">
                  <c:v>25.55111376010854</c:v>
                </c:pt>
                <c:pt idx="9">
                  <c:v>29.66838627768313</c:v>
                </c:pt>
                <c:pt idx="10">
                  <c:v>32.11972812696112</c:v>
                </c:pt>
                <c:pt idx="11">
                  <c:v>32.81992628186243</c:v>
                </c:pt>
                <c:pt idx="12">
                  <c:v>33.5677074767374</c:v>
                </c:pt>
                <c:pt idx="13">
                  <c:v>34.2685880859807</c:v>
                </c:pt>
                <c:pt idx="14">
                  <c:v>34.66399971850692</c:v>
                </c:pt>
                <c:pt idx="15">
                  <c:v>34.54457164023473</c:v>
                </c:pt>
                <c:pt idx="16">
                  <c:v>34.4102150521785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0.0143358700691167</c:v>
                </c:pt>
                <c:pt idx="2">
                  <c:v>0.0445634556220499</c:v>
                </c:pt>
                <c:pt idx="3">
                  <c:v>0.0765512242919757</c:v>
                </c:pt>
                <c:pt idx="4">
                  <c:v>0.111034866577529</c:v>
                </c:pt>
                <c:pt idx="5">
                  <c:v>0.15127986396974</c:v>
                </c:pt>
                <c:pt idx="6">
                  <c:v>0.200035793429059</c:v>
                </c:pt>
                <c:pt idx="7">
                  <c:v>0.260273471384402</c:v>
                </c:pt>
                <c:pt idx="8">
                  <c:v>0.334665490511558</c:v>
                </c:pt>
                <c:pt idx="9">
                  <c:v>0.422104933534187</c:v>
                </c:pt>
                <c:pt idx="10">
                  <c:v>0.527482843300888</c:v>
                </c:pt>
                <c:pt idx="11">
                  <c:v>0.658643077998685</c:v>
                </c:pt>
                <c:pt idx="12">
                  <c:v>0.822404041111582</c:v>
                </c:pt>
                <c:pt idx="13">
                  <c:v>1.032381251738402</c:v>
                </c:pt>
                <c:pt idx="14">
                  <c:v>1.30611771657447</c:v>
                </c:pt>
                <c:pt idx="15">
                  <c:v>1.672081314907482</c:v>
                </c:pt>
                <c:pt idx="16">
                  <c:v>2.15913483913457</c:v>
                </c:pt>
                <c:pt idx="17">
                  <c:v>2.792682063136801</c:v>
                </c:pt>
                <c:pt idx="18">
                  <c:v>3.62351295736657</c:v>
                </c:pt>
                <c:pt idx="19">
                  <c:v>4.660238045684454</c:v>
                </c:pt>
                <c:pt idx="20">
                  <c:v>5.914420175944327</c:v>
                </c:pt>
                <c:pt idx="21">
                  <c:v>7.373342090828168</c:v>
                </c:pt>
                <c:pt idx="22">
                  <c:v>8.975516271027808</c:v>
                </c:pt>
                <c:pt idx="23">
                  <c:v>10.72610674390319</c:v>
                </c:pt>
                <c:pt idx="24">
                  <c:v>12.60824452101221</c:v>
                </c:pt>
                <c:pt idx="25">
                  <c:v>14.52383381131666</c:v>
                </c:pt>
                <c:pt idx="26">
                  <c:v>16.4526054749704</c:v>
                </c:pt>
                <c:pt idx="27">
                  <c:v>18.3168167188318</c:v>
                </c:pt>
                <c:pt idx="28">
                  <c:v>20.050438907859</c:v>
                </c:pt>
                <c:pt idx="29">
                  <c:v>21.6403911170993</c:v>
                </c:pt>
                <c:pt idx="30">
                  <c:v>23.01800522524578</c:v>
                </c:pt>
                <c:pt idx="31">
                  <c:v>24.24154955155505</c:v>
                </c:pt>
                <c:pt idx="32">
                  <c:v>25.32946670882045</c:v>
                </c:pt>
                <c:pt idx="33">
                  <c:v>26.25346492274493</c:v>
                </c:pt>
                <c:pt idx="34">
                  <c:v>27.05818652339962</c:v>
                </c:pt>
                <c:pt idx="35">
                  <c:v>27.77331572656673</c:v>
                </c:pt>
                <c:pt idx="36">
                  <c:v>28.41401173915427</c:v>
                </c:pt>
                <c:pt idx="37">
                  <c:v>28.97998733747263</c:v>
                </c:pt>
                <c:pt idx="38">
                  <c:v>29.46540154071281</c:v>
                </c:pt>
                <c:pt idx="39">
                  <c:v>29.87911582796821</c:v>
                </c:pt>
                <c:pt idx="40">
                  <c:v>30.22556559781761</c:v>
                </c:pt>
                <c:pt idx="41">
                  <c:v>30.52056722896998</c:v>
                </c:pt>
                <c:pt idx="42">
                  <c:v>30.77066614388452</c:v>
                </c:pt>
                <c:pt idx="43">
                  <c:v>30.98558781327785</c:v>
                </c:pt>
                <c:pt idx="44">
                  <c:v>31.17040799381024</c:v>
                </c:pt>
                <c:pt idx="45">
                  <c:v>31.32584780011992</c:v>
                </c:pt>
                <c:pt idx="46">
                  <c:v>31.4593974028461</c:v>
                </c:pt>
                <c:pt idx="47">
                  <c:v>31.57666731200245</c:v>
                </c:pt>
                <c:pt idx="48">
                  <c:v>31.68252612480141</c:v>
                </c:pt>
                <c:pt idx="49">
                  <c:v>31.77866218778716</c:v>
                </c:pt>
                <c:pt idx="50">
                  <c:v>31.86496523182578</c:v>
                </c:pt>
                <c:pt idx="51">
                  <c:v>31.940742868499</c:v>
                </c:pt>
                <c:pt idx="52">
                  <c:v>32.00530215768465</c:v>
                </c:pt>
                <c:pt idx="53">
                  <c:v>32.05973436973438</c:v>
                </c:pt>
                <c:pt idx="54">
                  <c:v>32.1035650392779</c:v>
                </c:pt>
                <c:pt idx="55">
                  <c:v>32.138530930252</c:v>
                </c:pt>
                <c:pt idx="56">
                  <c:v>32.16875106411545</c:v>
                </c:pt>
                <c:pt idx="57">
                  <c:v>32.19562070007922</c:v>
                </c:pt>
                <c:pt idx="58">
                  <c:v>32.2187602658471</c:v>
                </c:pt>
                <c:pt idx="59">
                  <c:v>32.23808424731163</c:v>
                </c:pt>
                <c:pt idx="60">
                  <c:v>32.24676861869954</c:v>
                </c:pt>
                <c:pt idx="61">
                  <c:v>32.24676861869954</c:v>
                </c:pt>
                <c:pt idx="62">
                  <c:v>32.24676861869954</c:v>
                </c:pt>
                <c:pt idx="63">
                  <c:v>32.24676861869954</c:v>
                </c:pt>
                <c:pt idx="64">
                  <c:v>32.24676861869954</c:v>
                </c:pt>
                <c:pt idx="65">
                  <c:v>32.24676861869954</c:v>
                </c:pt>
                <c:pt idx="66">
                  <c:v>32.24676861869954</c:v>
                </c:pt>
                <c:pt idx="67">
                  <c:v>32.24676861869954</c:v>
                </c:pt>
                <c:pt idx="68">
                  <c:v>32.24676861869954</c:v>
                </c:pt>
                <c:pt idx="69">
                  <c:v>32.24676861869954</c:v>
                </c:pt>
                <c:pt idx="70">
                  <c:v>32.24676861869954</c:v>
                </c:pt>
                <c:pt idx="71">
                  <c:v>32.24676861869954</c:v>
                </c:pt>
                <c:pt idx="72">
                  <c:v>32.24676861869954</c:v>
                </c:pt>
                <c:pt idx="73">
                  <c:v>32.24676861869954</c:v>
                </c:pt>
                <c:pt idx="74">
                  <c:v>32.24676861869954</c:v>
                </c:pt>
                <c:pt idx="75">
                  <c:v>32.24676861869954</c:v>
                </c:pt>
                <c:pt idx="76">
                  <c:v>32.24676861869954</c:v>
                </c:pt>
                <c:pt idx="77">
                  <c:v>32.24676861869954</c:v>
                </c:pt>
                <c:pt idx="78">
                  <c:v>32.24676861869954</c:v>
                </c:pt>
                <c:pt idx="79">
                  <c:v>32.24676861869954</c:v>
                </c:pt>
                <c:pt idx="80">
                  <c:v>32.24676861869954</c:v>
                </c:pt>
                <c:pt idx="81">
                  <c:v>32.24676861869954</c:v>
                </c:pt>
                <c:pt idx="82">
                  <c:v>32.24676861869954</c:v>
                </c:pt>
                <c:pt idx="83">
                  <c:v>32.24676861869954</c:v>
                </c:pt>
                <c:pt idx="84">
                  <c:v>32.24676861869954</c:v>
                </c:pt>
                <c:pt idx="85">
                  <c:v>32.24676861869954</c:v>
                </c:pt>
                <c:pt idx="86">
                  <c:v>32.24676861869954</c:v>
                </c:pt>
                <c:pt idx="87">
                  <c:v>32.24676861869954</c:v>
                </c:pt>
                <c:pt idx="88">
                  <c:v>32.24676861869954</c:v>
                </c:pt>
                <c:pt idx="89">
                  <c:v>32.24676861869954</c:v>
                </c:pt>
                <c:pt idx="90">
                  <c:v>32.24676861869954</c:v>
                </c:pt>
                <c:pt idx="91">
                  <c:v>32.24676861869954</c:v>
                </c:pt>
                <c:pt idx="92">
                  <c:v>32.24676861869954</c:v>
                </c:pt>
                <c:pt idx="93">
                  <c:v>32.24676861869954</c:v>
                </c:pt>
                <c:pt idx="94">
                  <c:v>32.24676861869954</c:v>
                </c:pt>
                <c:pt idx="95">
                  <c:v>32.24676861869954</c:v>
                </c:pt>
                <c:pt idx="96">
                  <c:v>32.24676861869954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0.755292570744854</c:v>
                  </c:pt>
                  <c:pt idx="1">
                    <c:v>0.534975508729129</c:v>
                  </c:pt>
                  <c:pt idx="2">
                    <c:v>0.58598723795512</c:v>
                  </c:pt>
                  <c:pt idx="3">
                    <c:v>1.427970361590889</c:v>
                  </c:pt>
                  <c:pt idx="4">
                    <c:v>0.906349434169991</c:v>
                  </c:pt>
                  <c:pt idx="5">
                    <c:v>1.092406750626898</c:v>
                  </c:pt>
                  <c:pt idx="6">
                    <c:v>0.509373303331749</c:v>
                  </c:pt>
                  <c:pt idx="7">
                    <c:v>0.358292746406844</c:v>
                  </c:pt>
                  <c:pt idx="8">
                    <c:v>0.277564293071123</c:v>
                  </c:pt>
                  <c:pt idx="9">
                    <c:v>0.0840210406220912</c:v>
                  </c:pt>
                  <c:pt idx="10">
                    <c:v>0.491192748678473</c:v>
                  </c:pt>
                  <c:pt idx="11">
                    <c:v>0.115514238880037</c:v>
                  </c:pt>
                  <c:pt idx="12">
                    <c:v>0.0659917151494434</c:v>
                  </c:pt>
                  <c:pt idx="13">
                    <c:v>0.226976966938854</c:v>
                  </c:pt>
                  <c:pt idx="14">
                    <c:v>0.325524759999645</c:v>
                  </c:pt>
                  <c:pt idx="15">
                    <c:v>0.0433205452275281</c:v>
                  </c:pt>
                  <c:pt idx="16">
                    <c:v>0.056444433188583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0.755292570744854</c:v>
                  </c:pt>
                  <c:pt idx="1">
                    <c:v>0.534975508729129</c:v>
                  </c:pt>
                  <c:pt idx="2">
                    <c:v>0.58598723795512</c:v>
                  </c:pt>
                  <c:pt idx="3">
                    <c:v>1.427970361590889</c:v>
                  </c:pt>
                  <c:pt idx="4">
                    <c:v>0.906349434169991</c:v>
                  </c:pt>
                  <c:pt idx="5">
                    <c:v>1.092406750626898</c:v>
                  </c:pt>
                  <c:pt idx="6">
                    <c:v>0.509373303331749</c:v>
                  </c:pt>
                  <c:pt idx="7">
                    <c:v>0.358292746406844</c:v>
                  </c:pt>
                  <c:pt idx="8">
                    <c:v>0.277564293071123</c:v>
                  </c:pt>
                  <c:pt idx="9">
                    <c:v>0.0840210406220912</c:v>
                  </c:pt>
                  <c:pt idx="10">
                    <c:v>0.491192748678473</c:v>
                  </c:pt>
                  <c:pt idx="11">
                    <c:v>0.115514238880037</c:v>
                  </c:pt>
                  <c:pt idx="12">
                    <c:v>0.0659917151494434</c:v>
                  </c:pt>
                  <c:pt idx="13">
                    <c:v>0.226976966938854</c:v>
                  </c:pt>
                  <c:pt idx="14">
                    <c:v>0.325524759999645</c:v>
                  </c:pt>
                  <c:pt idx="15">
                    <c:v>0.0433205452275281</c:v>
                  </c:pt>
                  <c:pt idx="16">
                    <c:v>0.056444433188583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48.27930728241562</c:v>
                </c:pt>
                <c:pt idx="1">
                  <c:v>48.34961515689757</c:v>
                </c:pt>
                <c:pt idx="2">
                  <c:v>48.23120189461219</c:v>
                </c:pt>
                <c:pt idx="3">
                  <c:v>48.69540719020301</c:v>
                </c:pt>
                <c:pt idx="4">
                  <c:v>47.07863246302848</c:v>
                </c:pt>
                <c:pt idx="5">
                  <c:v>44.66531258388928</c:v>
                </c:pt>
                <c:pt idx="6">
                  <c:v>41.94008143800512</c:v>
                </c:pt>
                <c:pt idx="7">
                  <c:v>37.27562145171881</c:v>
                </c:pt>
                <c:pt idx="8">
                  <c:v>30.03570853656212</c:v>
                </c:pt>
                <c:pt idx="9">
                  <c:v>25.06191620009764</c:v>
                </c:pt>
                <c:pt idx="10">
                  <c:v>23.64488210095752</c:v>
                </c:pt>
                <c:pt idx="11">
                  <c:v>21.93203648836401</c:v>
                </c:pt>
                <c:pt idx="12">
                  <c:v>21.06186491481521</c:v>
                </c:pt>
                <c:pt idx="13">
                  <c:v>20.23508765603899</c:v>
                </c:pt>
                <c:pt idx="14">
                  <c:v>18.64743474632897</c:v>
                </c:pt>
                <c:pt idx="15">
                  <c:v>18.49486829309658</c:v>
                </c:pt>
                <c:pt idx="16">
                  <c:v>18.15540793465451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0.0346731411111553</c:v>
                  </c:pt>
                  <c:pt idx="1">
                    <c:v>0.0262104310153047</c:v>
                  </c:pt>
                  <c:pt idx="2">
                    <c:v>0.107270812081548</c:v>
                  </c:pt>
                  <c:pt idx="3">
                    <c:v>0.114330695220449</c:v>
                  </c:pt>
                  <c:pt idx="4">
                    <c:v>0.305264137131028</c:v>
                  </c:pt>
                  <c:pt idx="5">
                    <c:v>0.331212037511573</c:v>
                  </c:pt>
                  <c:pt idx="6">
                    <c:v>0.140200315506046</c:v>
                  </c:pt>
                  <c:pt idx="7">
                    <c:v>0.358516196283133</c:v>
                  </c:pt>
                  <c:pt idx="8">
                    <c:v>0.375497462419902</c:v>
                  </c:pt>
                  <c:pt idx="9">
                    <c:v>0.295120898201343</c:v>
                  </c:pt>
                  <c:pt idx="10">
                    <c:v>0.609452623413117</c:v>
                  </c:pt>
                  <c:pt idx="11">
                    <c:v>0.432000974899539</c:v>
                  </c:pt>
                  <c:pt idx="12">
                    <c:v>0.0269868741376092</c:v>
                  </c:pt>
                  <c:pt idx="13">
                    <c:v>0.169072281870733</c:v>
                  </c:pt>
                  <c:pt idx="14">
                    <c:v>0.527333475602436</c:v>
                  </c:pt>
                  <c:pt idx="15">
                    <c:v>0.0714779146816358</c:v>
                  </c:pt>
                  <c:pt idx="16">
                    <c:v>0.141028246829775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0.0346731411111553</c:v>
                  </c:pt>
                  <c:pt idx="1">
                    <c:v>0.0262104310153047</c:v>
                  </c:pt>
                  <c:pt idx="2">
                    <c:v>0.107270812081548</c:v>
                  </c:pt>
                  <c:pt idx="3">
                    <c:v>0.114330695220449</c:v>
                  </c:pt>
                  <c:pt idx="4">
                    <c:v>0.305264137131028</c:v>
                  </c:pt>
                  <c:pt idx="5">
                    <c:v>0.331212037511573</c:v>
                  </c:pt>
                  <c:pt idx="6">
                    <c:v>0.140200315506046</c:v>
                  </c:pt>
                  <c:pt idx="7">
                    <c:v>0.358516196283133</c:v>
                  </c:pt>
                  <c:pt idx="8">
                    <c:v>0.375497462419902</c:v>
                  </c:pt>
                  <c:pt idx="9">
                    <c:v>0.295120898201343</c:v>
                  </c:pt>
                  <c:pt idx="10">
                    <c:v>0.609452623413117</c:v>
                  </c:pt>
                  <c:pt idx="11">
                    <c:v>0.432000974899539</c:v>
                  </c:pt>
                  <c:pt idx="12">
                    <c:v>0.0269868741376092</c:v>
                  </c:pt>
                  <c:pt idx="13">
                    <c:v>0.169072281870733</c:v>
                  </c:pt>
                  <c:pt idx="14">
                    <c:v>0.527333475602436</c:v>
                  </c:pt>
                  <c:pt idx="15">
                    <c:v>0.0714779146816358</c:v>
                  </c:pt>
                  <c:pt idx="16">
                    <c:v>0.141028246829775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0.423712783263345</c:v>
                </c:pt>
                <c:pt idx="1">
                  <c:v>0.673400673400673</c:v>
                </c:pt>
                <c:pt idx="2">
                  <c:v>1.24087315098551</c:v>
                </c:pt>
                <c:pt idx="3">
                  <c:v>1.741499110090095</c:v>
                </c:pt>
                <c:pt idx="4">
                  <c:v>2.924851563665531</c:v>
                </c:pt>
                <c:pt idx="5">
                  <c:v>5.175957979109125</c:v>
                </c:pt>
                <c:pt idx="6">
                  <c:v>10.66208464546228</c:v>
                </c:pt>
                <c:pt idx="7">
                  <c:v>18.59071697237804</c:v>
                </c:pt>
                <c:pt idx="8">
                  <c:v>25.82166164150664</c:v>
                </c:pt>
                <c:pt idx="9">
                  <c:v>33.19706518825594</c:v>
                </c:pt>
                <c:pt idx="10">
                  <c:v>36.20583632599823</c:v>
                </c:pt>
                <c:pt idx="11">
                  <c:v>37.52892148838424</c:v>
                </c:pt>
                <c:pt idx="12">
                  <c:v>39.13137772888924</c:v>
                </c:pt>
                <c:pt idx="13">
                  <c:v>40.28436277843644</c:v>
                </c:pt>
                <c:pt idx="14">
                  <c:v>41.90338154230202</c:v>
                </c:pt>
                <c:pt idx="15">
                  <c:v>42.589682970875</c:v>
                </c:pt>
                <c:pt idx="16">
                  <c:v>43.15120232152562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3.09792228590694E-5</c:v>
                </c:pt>
                <c:pt idx="3">
                  <c:v>6.19584457181389E-5</c:v>
                </c:pt>
                <c:pt idx="4">
                  <c:v>0.000831630950933716</c:v>
                </c:pt>
                <c:pt idx="5">
                  <c:v>0.00163325212617711</c:v>
                </c:pt>
                <c:pt idx="6">
                  <c:v>0.00214636712965416</c:v>
                </c:pt>
                <c:pt idx="7">
                  <c:v>0.0026275334631034</c:v>
                </c:pt>
                <c:pt idx="8">
                  <c:v>0.0026275334631034</c:v>
                </c:pt>
                <c:pt idx="9">
                  <c:v>0.0028595647131034</c:v>
                </c:pt>
                <c:pt idx="10">
                  <c:v>0.00315995009015097</c:v>
                </c:pt>
                <c:pt idx="11">
                  <c:v>0.00326230953668452</c:v>
                </c:pt>
                <c:pt idx="12">
                  <c:v>0.0034022768539975</c:v>
                </c:pt>
                <c:pt idx="13">
                  <c:v>0.00354344099204221</c:v>
                </c:pt>
                <c:pt idx="14">
                  <c:v>0.0036138452724776</c:v>
                </c:pt>
                <c:pt idx="15">
                  <c:v>0.00364904741269529</c:v>
                </c:pt>
                <c:pt idx="16">
                  <c:v>0.00500297828077575</c:v>
                </c:pt>
                <c:pt idx="17">
                  <c:v>0.00785702183761327</c:v>
                </c:pt>
                <c:pt idx="18">
                  <c:v>0.00962107854694756</c:v>
                </c:pt>
                <c:pt idx="19">
                  <c:v>0.0102240541111972</c:v>
                </c:pt>
                <c:pt idx="20">
                  <c:v>0.0106408638895529</c:v>
                </c:pt>
                <c:pt idx="21">
                  <c:v>0.0116508084042329</c:v>
                </c:pt>
                <c:pt idx="22">
                  <c:v>0.0134373627295436</c:v>
                </c:pt>
                <c:pt idx="23">
                  <c:v>0.0143318299214807</c:v>
                </c:pt>
                <c:pt idx="24">
                  <c:v>0.014573114480951</c:v>
                </c:pt>
                <c:pt idx="25">
                  <c:v>0.0148949621735331</c:v>
                </c:pt>
                <c:pt idx="26">
                  <c:v>0.0152262973099593</c:v>
                </c:pt>
                <c:pt idx="27">
                  <c:v>0.0155213520951847</c:v>
                </c:pt>
                <c:pt idx="28">
                  <c:v>0.0169699979136819</c:v>
                </c:pt>
                <c:pt idx="29">
                  <c:v>0.0215463932407728</c:v>
                </c:pt>
                <c:pt idx="30">
                  <c:v>0.0253744471936225</c:v>
                </c:pt>
                <c:pt idx="31">
                  <c:v>0.0265914900391423</c:v>
                </c:pt>
                <c:pt idx="32">
                  <c:v>0.0271925903689405</c:v>
                </c:pt>
                <c:pt idx="33">
                  <c:v>0.0306600832156788</c:v>
                </c:pt>
                <c:pt idx="34">
                  <c:v>0.0349980459438426</c:v>
                </c:pt>
                <c:pt idx="35">
                  <c:v>0.0359166860422949</c:v>
                </c:pt>
                <c:pt idx="36">
                  <c:v>0.0377140639854878</c:v>
                </c:pt>
                <c:pt idx="37">
                  <c:v>0.0394632717116538</c:v>
                </c:pt>
                <c:pt idx="38">
                  <c:v>0.0396175374418691</c:v>
                </c:pt>
                <c:pt idx="39">
                  <c:v>0.0397718031720843</c:v>
                </c:pt>
                <c:pt idx="40">
                  <c:v>0.0409034303071536</c:v>
                </c:pt>
                <c:pt idx="41">
                  <c:v>0.0423435889026533</c:v>
                </c:pt>
                <c:pt idx="42">
                  <c:v>0.0427033697164105</c:v>
                </c:pt>
                <c:pt idx="43">
                  <c:v>0.0430631505301676</c:v>
                </c:pt>
                <c:pt idx="44">
                  <c:v>0.0433716819905982</c:v>
                </c:pt>
                <c:pt idx="45">
                  <c:v>0.0434746983674869</c:v>
                </c:pt>
                <c:pt idx="46">
                  <c:v>0.0436289640977022</c:v>
                </c:pt>
                <c:pt idx="47">
                  <c:v>0.0438344791812441</c:v>
                </c:pt>
                <c:pt idx="48">
                  <c:v>0.0439887449114594</c:v>
                </c:pt>
                <c:pt idx="49">
                  <c:v>0.0444819682149851</c:v>
                </c:pt>
                <c:pt idx="50">
                  <c:v>0.0454137961340621</c:v>
                </c:pt>
                <c:pt idx="51">
                  <c:v>0.0459070194375879</c:v>
                </c:pt>
                <c:pt idx="52">
                  <c:v>0.0464002427411136</c:v>
                </c:pt>
                <c:pt idx="53">
                  <c:v>0.0474418597400582</c:v>
                </c:pt>
                <c:pt idx="54">
                  <c:v>0.0488122922746867</c:v>
                </c:pt>
                <c:pt idx="55">
                  <c:v>0.0495797124259219</c:v>
                </c:pt>
                <c:pt idx="56">
                  <c:v>0.0498539092736313</c:v>
                </c:pt>
                <c:pt idx="57">
                  <c:v>0.0501281061213408</c:v>
                </c:pt>
                <c:pt idx="58">
                  <c:v>0.0501281061213408</c:v>
                </c:pt>
                <c:pt idx="59">
                  <c:v>0.0501281061213408</c:v>
                </c:pt>
                <c:pt idx="60">
                  <c:v>0.0508901269211524</c:v>
                </c:pt>
                <c:pt idx="61">
                  <c:v>0.0516521477209639</c:v>
                </c:pt>
                <c:pt idx="62">
                  <c:v>0.0516521477209639</c:v>
                </c:pt>
                <c:pt idx="63">
                  <c:v>0.0520036681518367</c:v>
                </c:pt>
                <c:pt idx="64">
                  <c:v>0.0526483188748971</c:v>
                </c:pt>
                <c:pt idx="65">
                  <c:v>0.0545822710440783</c:v>
                </c:pt>
                <c:pt idx="66">
                  <c:v>0.0562230929210719</c:v>
                </c:pt>
                <c:pt idx="67">
                  <c:v>0.0565746133519447</c:v>
                </c:pt>
                <c:pt idx="68">
                  <c:v>0.0576881545826291</c:v>
                </c:pt>
                <c:pt idx="69">
                  <c:v>0.0586843257365623</c:v>
                </c:pt>
                <c:pt idx="70">
                  <c:v>0.0589184760906839</c:v>
                </c:pt>
                <c:pt idx="71">
                  <c:v>0.0598562571059319</c:v>
                </c:pt>
                <c:pt idx="72">
                  <c:v>0.060911408197931</c:v>
                </c:pt>
                <c:pt idx="73">
                  <c:v>0.0619081691512449</c:v>
                </c:pt>
                <c:pt idx="74">
                  <c:v>0.0629049301045587</c:v>
                </c:pt>
                <c:pt idx="75">
                  <c:v>0.0630223001813099</c:v>
                </c:pt>
                <c:pt idx="76">
                  <c:v>0.063139670258061</c:v>
                </c:pt>
                <c:pt idx="77">
                  <c:v>0.0633744104115634</c:v>
                </c:pt>
                <c:pt idx="78">
                  <c:v>0.0660703833805561</c:v>
                </c:pt>
                <c:pt idx="79">
                  <c:v>0.0691762669191068</c:v>
                </c:pt>
                <c:pt idx="80">
                  <c:v>0.0697619377041013</c:v>
                </c:pt>
                <c:pt idx="81">
                  <c:v>0.0698203278427866</c:v>
                </c:pt>
                <c:pt idx="82">
                  <c:v>0.0709922592121562</c:v>
                </c:pt>
                <c:pt idx="83">
                  <c:v>0.0721641905815258</c:v>
                </c:pt>
                <c:pt idx="84">
                  <c:v>0.0725157110123986</c:v>
                </c:pt>
                <c:pt idx="85">
                  <c:v>0.0730429916587079</c:v>
                </c:pt>
                <c:pt idx="86">
                  <c:v>0.0739217927358899</c:v>
                </c:pt>
                <c:pt idx="87">
                  <c:v>0.0747422036743867</c:v>
                </c:pt>
                <c:pt idx="88">
                  <c:v>0.0753284642587619</c:v>
                </c:pt>
                <c:pt idx="89">
                  <c:v>0.0766177657048826</c:v>
                </c:pt>
                <c:pt idx="90">
                  <c:v>0.0776723269975011</c:v>
                </c:pt>
                <c:pt idx="91">
                  <c:v>0.077964867490308</c:v>
                </c:pt>
                <c:pt idx="92">
                  <c:v>0.0780816477676785</c:v>
                </c:pt>
                <c:pt idx="93">
                  <c:v>0.078198428045049</c:v>
                </c:pt>
                <c:pt idx="94">
                  <c:v>0.0802497502909813</c:v>
                </c:pt>
                <c:pt idx="95">
                  <c:v>0.0823010725369136</c:v>
                </c:pt>
                <c:pt idx="96">
                  <c:v>0.0824822847817217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94280"/>
        <c:axId val="2085215144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2910.0</c:v>
                </c:pt>
                <c:pt idx="1">
                  <c:v>5263.0</c:v>
                </c:pt>
                <c:pt idx="2">
                  <c:v>6185.0</c:v>
                </c:pt>
                <c:pt idx="3">
                  <c:v>8346.0</c:v>
                </c:pt>
                <c:pt idx="4">
                  <c:v>16089.0</c:v>
                </c:pt>
                <c:pt idx="5">
                  <c:v>25128.0</c:v>
                </c:pt>
                <c:pt idx="6">
                  <c:v>3842.0</c:v>
                </c:pt>
                <c:pt idx="7">
                  <c:v>4835.0</c:v>
                </c:pt>
                <c:pt idx="8">
                  <c:v>5194.0</c:v>
                </c:pt>
                <c:pt idx="9">
                  <c:v>4313.0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5.44133936696422E-17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0.0151292261458851</c:v>
                  </c:pt>
                  <c:pt idx="5">
                    <c:v>0.0756461307294256</c:v>
                  </c:pt>
                  <c:pt idx="6">
                    <c:v>0.121203047854966</c:v>
                  </c:pt>
                  <c:pt idx="7">
                    <c:v>0.195608771064422</c:v>
                  </c:pt>
                  <c:pt idx="8">
                    <c:v>0.197563821243499</c:v>
                  </c:pt>
                  <c:pt idx="9">
                    <c:v>0.115428118532704</c:v>
                  </c:pt>
                  <c:pt idx="10">
                    <c:v>0.112429473081276</c:v>
                  </c:pt>
                  <c:pt idx="11">
                    <c:v>0.463189957824361</c:v>
                  </c:pt>
                  <c:pt idx="12">
                    <c:v>0.176319363500817</c:v>
                  </c:pt>
                  <c:pt idx="13">
                    <c:v>0.560321218624936</c:v>
                  </c:pt>
                  <c:pt idx="14">
                    <c:v>0.195608771064422</c:v>
                  </c:pt>
                  <c:pt idx="15">
                    <c:v>0.121203047854967</c:v>
                  </c:pt>
                  <c:pt idx="16">
                    <c:v>0.027724937276755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5.44133936696422E-17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0.0151292261458851</c:v>
                  </c:pt>
                  <c:pt idx="5">
                    <c:v>0.0756461307294256</c:v>
                  </c:pt>
                  <c:pt idx="6">
                    <c:v>0.121203047854966</c:v>
                  </c:pt>
                  <c:pt idx="7">
                    <c:v>0.195608771064422</c:v>
                  </c:pt>
                  <c:pt idx="8">
                    <c:v>0.197563821243499</c:v>
                  </c:pt>
                  <c:pt idx="9">
                    <c:v>0.115428118532704</c:v>
                  </c:pt>
                  <c:pt idx="10">
                    <c:v>0.112429473081276</c:v>
                  </c:pt>
                  <c:pt idx="11">
                    <c:v>0.463189957824361</c:v>
                  </c:pt>
                  <c:pt idx="12">
                    <c:v>0.176319363500817</c:v>
                  </c:pt>
                  <c:pt idx="13">
                    <c:v>0.560321218624936</c:v>
                  </c:pt>
                  <c:pt idx="14">
                    <c:v>0.195608771064422</c:v>
                  </c:pt>
                  <c:pt idx="15">
                    <c:v>0.121203047854967</c:v>
                  </c:pt>
                  <c:pt idx="16">
                    <c:v>0.027724937276755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0.2331071</c:v>
                </c:pt>
                <c:pt idx="1">
                  <c:v>0.3051386</c:v>
                </c:pt>
                <c:pt idx="2">
                  <c:v>0.3675659</c:v>
                </c:pt>
                <c:pt idx="3">
                  <c:v>0.4620072</c:v>
                </c:pt>
                <c:pt idx="4">
                  <c:v>0.749004533333333</c:v>
                </c:pt>
                <c:pt idx="5">
                  <c:v>1.375986666666667</c:v>
                </c:pt>
                <c:pt idx="6">
                  <c:v>2.693896333333334</c:v>
                </c:pt>
                <c:pt idx="7">
                  <c:v>3.830393333333333</c:v>
                </c:pt>
                <c:pt idx="8">
                  <c:v>4.998904333333334</c:v>
                </c:pt>
                <c:pt idx="9">
                  <c:v>6.294855999999999</c:v>
                </c:pt>
                <c:pt idx="10">
                  <c:v>6.817751333333334</c:v>
                </c:pt>
                <c:pt idx="11">
                  <c:v>6.700366666666667</c:v>
                </c:pt>
                <c:pt idx="12">
                  <c:v>5.323764666666667</c:v>
                </c:pt>
                <c:pt idx="13">
                  <c:v>5.547862666666667</c:v>
                </c:pt>
                <c:pt idx="14">
                  <c:v>5.024967333333334</c:v>
                </c:pt>
                <c:pt idx="15">
                  <c:v>4.832883333333332</c:v>
                </c:pt>
                <c:pt idx="16">
                  <c:v>1.930896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26856"/>
        <c:axId val="2085220872"/>
      </c:scatterChart>
      <c:valAx>
        <c:axId val="208519428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85215144"/>
        <c:crosses val="autoZero"/>
        <c:crossBetween val="midCat"/>
        <c:majorUnit val="6.0"/>
      </c:valAx>
      <c:valAx>
        <c:axId val="2085215144"/>
        <c:scaling>
          <c:orientation val="minMax"/>
          <c:max val="6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85194280"/>
        <c:crosses val="autoZero"/>
        <c:crossBetween val="midCat"/>
      </c:valAx>
      <c:valAx>
        <c:axId val="2085220872"/>
        <c:scaling>
          <c:orientation val="minMax"/>
          <c:max val="8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085226856"/>
        <c:crosses val="max"/>
        <c:crossBetween val="midCat"/>
        <c:majorUnit val="1.0"/>
        <c:minorUnit val="0.2"/>
      </c:valAx>
      <c:valAx>
        <c:axId val="2085226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8522087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PhD/ELN/BATCH/Monocultures/Faecalibacterium%20prausnitzii/2014_10_29_Batch4_FP_Fructose%20%20%20/Batch_4_FP_Calcul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rmentation"/>
      <sheetName val="Calculation"/>
      <sheetName val="Plate Count"/>
      <sheetName val="Flow cytometer"/>
      <sheetName val="Calibration F. prausnitzii"/>
      <sheetName val="Determination cell count"/>
      <sheetName val="OD600nm"/>
      <sheetName val="CDM"/>
      <sheetName val="H2"/>
      <sheetName val="CO2"/>
      <sheetName val="Metabolites"/>
      <sheetName val="D-Fructose"/>
      <sheetName val="Formic acid"/>
      <sheetName val="Acetic acid"/>
      <sheetName val="Propionic acid"/>
      <sheetName val="Butyric acid"/>
      <sheetName val="Lactic acid"/>
      <sheetName val="Ethanol"/>
      <sheetName val="Graph"/>
      <sheetName val="Graph (2)"/>
      <sheetName val="Carbon recovery"/>
    </sheetNames>
    <sheetDataSet>
      <sheetData sheetId="0"/>
      <sheetData sheetId="1"/>
      <sheetData sheetId="2"/>
      <sheetData sheetId="3"/>
      <sheetData sheetId="4">
        <row r="4">
          <cell r="R4">
            <v>8.6158560019212569</v>
          </cell>
        </row>
        <row r="5">
          <cell r="R5">
            <v>7.5787871690098934</v>
          </cell>
        </row>
        <row r="7">
          <cell r="R7">
            <v>5.1662524519541604</v>
          </cell>
        </row>
        <row r="8">
          <cell r="R8">
            <v>4.3271429450900092</v>
          </cell>
        </row>
        <row r="9">
          <cell r="R9">
            <v>8.5970052819172</v>
          </cell>
        </row>
        <row r="12">
          <cell r="R12">
            <v>7.6386549561082937</v>
          </cell>
        </row>
        <row r="13">
          <cell r="R13">
            <v>7.3179159600467427</v>
          </cell>
        </row>
        <row r="14">
          <cell r="R14">
            <v>6.9795002471622967</v>
          </cell>
        </row>
        <row r="15">
          <cell r="R15">
            <v>6.7271414012566968</v>
          </cell>
        </row>
        <row r="16">
          <cell r="R16">
            <v>6.2583457855668376</v>
          </cell>
        </row>
        <row r="17">
          <cell r="R17">
            <v>5.8987549482286576</v>
          </cell>
        </row>
        <row r="18">
          <cell r="R18">
            <v>5.5136855181177333</v>
          </cell>
        </row>
        <row r="23">
          <cell r="L23">
            <v>7.6159380716908052</v>
          </cell>
        </row>
        <row r="24">
          <cell r="L24">
            <v>10.997216745498585</v>
          </cell>
        </row>
        <row r="26">
          <cell r="L26">
            <v>18.925162836196829</v>
          </cell>
        </row>
        <row r="27">
          <cell r="L27">
            <v>22.150716984552947</v>
          </cell>
        </row>
        <row r="28">
          <cell r="L28">
            <v>7.9267727615103674</v>
          </cell>
        </row>
        <row r="31">
          <cell r="L31">
            <v>11.083116857376252</v>
          </cell>
        </row>
        <row r="32">
          <cell r="L32">
            <v>13.441737818883412</v>
          </cell>
        </row>
        <row r="33">
          <cell r="L33">
            <v>14.034818339513295</v>
          </cell>
        </row>
        <row r="34">
          <cell r="L34">
            <v>13.999122309850209</v>
          </cell>
        </row>
        <row r="35">
          <cell r="L35">
            <v>15.792017944819285</v>
          </cell>
        </row>
        <row r="36">
          <cell r="L36">
            <v>16.969425527420196</v>
          </cell>
        </row>
        <row r="37">
          <cell r="L37">
            <v>17.467782664464469</v>
          </cell>
        </row>
        <row r="40">
          <cell r="C40">
            <v>14.390941619873047</v>
          </cell>
          <cell r="D40">
            <v>14.411395072937012</v>
          </cell>
          <cell r="E40">
            <v>14.301624298095703</v>
          </cell>
          <cell r="F40">
            <v>14.367986996968588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</sheetDataSet>
  </externalBook>
</externalLink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16" sqref="C16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38.6640625" style="2" customWidth="1"/>
    <col min="4" max="16384" width="8.83203125" style="2"/>
  </cols>
  <sheetData>
    <row r="1" spans="1:3">
      <c r="A1" s="110" t="s">
        <v>0</v>
      </c>
      <c r="B1" s="111"/>
      <c r="C1" s="33">
        <v>42232</v>
      </c>
    </row>
    <row r="2" spans="1:3" ht="16">
      <c r="A2" s="110" t="s">
        <v>1</v>
      </c>
      <c r="B2" s="112"/>
      <c r="C2" s="31" t="s">
        <v>128</v>
      </c>
    </row>
    <row r="3" spans="1:3">
      <c r="A3" s="11"/>
      <c r="B3" s="11"/>
      <c r="C3" s="10"/>
    </row>
    <row r="4" spans="1:3">
      <c r="A4" s="113" t="s">
        <v>49</v>
      </c>
      <c r="B4" s="113"/>
      <c r="C4" s="7" t="s">
        <v>106</v>
      </c>
    </row>
    <row r="6" spans="1:3">
      <c r="A6" s="40" t="s">
        <v>83</v>
      </c>
      <c r="B6" s="40" t="s">
        <v>84</v>
      </c>
      <c r="C6" s="40" t="s">
        <v>69</v>
      </c>
    </row>
    <row r="7" spans="1:3">
      <c r="A7" s="36" t="s">
        <v>85</v>
      </c>
      <c r="B7" s="36" t="s">
        <v>86</v>
      </c>
      <c r="C7" s="36" t="s">
        <v>100</v>
      </c>
    </row>
    <row r="8" spans="1:3">
      <c r="A8" s="36" t="s">
        <v>87</v>
      </c>
      <c r="B8" s="36" t="s">
        <v>88</v>
      </c>
      <c r="C8" s="36" t="s">
        <v>100</v>
      </c>
    </row>
    <row r="9" spans="1:3">
      <c r="A9" s="36" t="s">
        <v>89</v>
      </c>
      <c r="B9" s="36" t="s">
        <v>90</v>
      </c>
      <c r="C9" s="36" t="s">
        <v>100</v>
      </c>
    </row>
    <row r="10" spans="1:3">
      <c r="A10" s="108" t="s">
        <v>91</v>
      </c>
      <c r="B10" s="108" t="s">
        <v>245</v>
      </c>
      <c r="C10" s="108" t="s">
        <v>100</v>
      </c>
    </row>
    <row r="11" spans="1:3">
      <c r="A11" s="29" t="s">
        <v>241</v>
      </c>
      <c r="B11" s="29" t="s">
        <v>242</v>
      </c>
      <c r="C11" s="29" t="s">
        <v>100</v>
      </c>
    </row>
    <row r="12" spans="1:3">
      <c r="A12" s="36" t="s">
        <v>73</v>
      </c>
      <c r="B12" s="36" t="s">
        <v>92</v>
      </c>
      <c r="C12" s="36" t="s">
        <v>100</v>
      </c>
    </row>
    <row r="13" spans="1:3" ht="16">
      <c r="A13" s="39" t="s">
        <v>77</v>
      </c>
      <c r="B13" s="36" t="s">
        <v>93</v>
      </c>
      <c r="C13" s="36" t="s">
        <v>100</v>
      </c>
    </row>
    <row r="14" spans="1:3" ht="16">
      <c r="A14" s="10" t="s">
        <v>76</v>
      </c>
      <c r="B14" s="36" t="s">
        <v>93</v>
      </c>
      <c r="C14" s="36" t="s">
        <v>100</v>
      </c>
    </row>
    <row r="15" spans="1:3" ht="16">
      <c r="A15" s="36" t="s">
        <v>108</v>
      </c>
      <c r="B15" s="36" t="s">
        <v>94</v>
      </c>
      <c r="C15" s="36" t="s">
        <v>100</v>
      </c>
    </row>
    <row r="16" spans="1:3" ht="16">
      <c r="A16" s="36" t="s">
        <v>107</v>
      </c>
      <c r="B16" s="36" t="s">
        <v>93</v>
      </c>
      <c r="C16" s="36" t="s">
        <v>100</v>
      </c>
    </row>
    <row r="17" spans="1:3" ht="16">
      <c r="A17" s="36" t="s">
        <v>109</v>
      </c>
      <c r="B17" s="36" t="s">
        <v>93</v>
      </c>
      <c r="C17" s="36" t="s">
        <v>100</v>
      </c>
    </row>
    <row r="18" spans="1:3" ht="16">
      <c r="A18" s="36" t="s">
        <v>110</v>
      </c>
      <c r="B18" s="36" t="s">
        <v>147</v>
      </c>
      <c r="C18" s="36" t="s">
        <v>100</v>
      </c>
    </row>
    <row r="19" spans="1:3" ht="16">
      <c r="A19" s="36" t="s">
        <v>75</v>
      </c>
      <c r="B19" s="36" t="s">
        <v>148</v>
      </c>
      <c r="C19" s="36" t="s">
        <v>100</v>
      </c>
    </row>
    <row r="20" spans="1:3" ht="16">
      <c r="A20" s="36" t="s">
        <v>111</v>
      </c>
      <c r="B20" s="36" t="s">
        <v>95</v>
      </c>
      <c r="C20" s="36" t="s">
        <v>100</v>
      </c>
    </row>
    <row r="21" spans="1:3" ht="16">
      <c r="A21" s="36" t="s">
        <v>112</v>
      </c>
      <c r="B21" s="36" t="s">
        <v>96</v>
      </c>
      <c r="C21" s="36" t="s">
        <v>100</v>
      </c>
    </row>
    <row r="22" spans="1:3" ht="16">
      <c r="A22" s="36" t="s">
        <v>113</v>
      </c>
      <c r="B22" s="36" t="s">
        <v>97</v>
      </c>
      <c r="C22" s="36" t="s">
        <v>100</v>
      </c>
    </row>
    <row r="23" spans="1:3" ht="16">
      <c r="A23" s="36" t="s">
        <v>114</v>
      </c>
      <c r="B23" s="36" t="s">
        <v>97</v>
      </c>
      <c r="C23" s="36" t="s">
        <v>100</v>
      </c>
    </row>
    <row r="24" spans="1:3">
      <c r="A24" s="36" t="s">
        <v>98</v>
      </c>
      <c r="B24" s="36" t="s">
        <v>97</v>
      </c>
      <c r="C24" s="36" t="s">
        <v>100</v>
      </c>
    </row>
    <row r="25" spans="1:3">
      <c r="A25" s="36" t="s">
        <v>99</v>
      </c>
      <c r="B25" s="36" t="s">
        <v>97</v>
      </c>
      <c r="C25" s="36" t="s">
        <v>100</v>
      </c>
    </row>
    <row r="26" spans="1:3">
      <c r="A26" s="36" t="s">
        <v>74</v>
      </c>
      <c r="B26" s="36" t="s">
        <v>101</v>
      </c>
      <c r="C26" s="36" t="s">
        <v>102</v>
      </c>
    </row>
    <row r="27" spans="1:3">
      <c r="A27" s="36" t="s">
        <v>103</v>
      </c>
      <c r="B27" s="36" t="s">
        <v>100</v>
      </c>
      <c r="C27" s="36" t="s">
        <v>105</v>
      </c>
    </row>
    <row r="28" spans="1:3">
      <c r="A28" s="36" t="s">
        <v>104</v>
      </c>
      <c r="B28" s="36" t="s">
        <v>100</v>
      </c>
      <c r="C28" s="36" t="s">
        <v>105</v>
      </c>
    </row>
    <row r="29" spans="1:3" ht="16">
      <c r="A29" s="29" t="s">
        <v>243</v>
      </c>
      <c r="B29" s="29" t="s">
        <v>244</v>
      </c>
      <c r="C29" s="29" t="s">
        <v>144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zoomScale="98" zoomScaleNormal="98" zoomScalePageLayoutView="98" workbookViewId="0">
      <selection activeCell="F13" sqref="F13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69.3</v>
      </c>
      <c r="C1" s="9" t="s">
        <v>51</v>
      </c>
    </row>
    <row r="3" spans="1:12">
      <c r="A3" s="113" t="s">
        <v>5</v>
      </c>
      <c r="B3" s="113" t="s">
        <v>36</v>
      </c>
      <c r="C3" s="113"/>
      <c r="D3" s="113" t="s">
        <v>52</v>
      </c>
      <c r="E3" s="113"/>
      <c r="F3" s="113"/>
      <c r="G3" s="8" t="s">
        <v>53</v>
      </c>
    </row>
    <row r="4" spans="1:12">
      <c r="A4" s="113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4">
        <v>0</v>
      </c>
      <c r="B5" s="12">
        <v>0</v>
      </c>
      <c r="C5" s="35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</row>
    <row r="6" spans="1:12">
      <c r="A6" s="34">
        <v>0.5</v>
      </c>
      <c r="B6" s="12">
        <v>458.13</v>
      </c>
      <c r="C6" s="35">
        <f>B6/1000</f>
        <v>0.45812999999999998</v>
      </c>
      <c r="D6" s="12">
        <f>C6/1000*$B$1</f>
        <v>3.1748408999999998E-2</v>
      </c>
      <c r="E6" s="12">
        <f t="shared" ref="E6:E69" si="0">D6/22.4</f>
        <v>1.4173396875E-3</v>
      </c>
      <c r="F6" s="12">
        <f>E6/Calculation!K$4*1000</f>
        <v>9.5572467127444361E-4</v>
      </c>
      <c r="G6" s="12">
        <f>G5+(F6+F5)/2*30</f>
        <v>1.4335870069116654E-2</v>
      </c>
    </row>
    <row r="7" spans="1:12">
      <c r="A7" s="34">
        <v>1</v>
      </c>
      <c r="B7" s="12">
        <v>507.85</v>
      </c>
      <c r="C7" s="35">
        <f t="shared" ref="C7:C69" si="1">B7/1000</f>
        <v>0.50785000000000002</v>
      </c>
      <c r="D7" s="12">
        <f t="shared" ref="D7:D69" si="2">C7/1000*$B$1</f>
        <v>3.5194005E-2</v>
      </c>
      <c r="E7" s="12">
        <f t="shared" si="0"/>
        <v>1.5711609375000002E-3</v>
      </c>
      <c r="F7" s="12">
        <f>E7/Calculation!K$4*1000</f>
        <v>1.0594476989211059E-3</v>
      </c>
      <c r="G7" s="12">
        <f>G6+(F7+F6)/2*30</f>
        <v>4.45634556220499E-2</v>
      </c>
    </row>
    <row r="8" spans="1:12">
      <c r="A8" s="34">
        <v>1.5</v>
      </c>
      <c r="B8" s="12">
        <v>514.38</v>
      </c>
      <c r="C8" s="35">
        <f t="shared" si="1"/>
        <v>0.51437999999999995</v>
      </c>
      <c r="D8" s="12">
        <f t="shared" si="2"/>
        <v>3.5646533999999994E-2</v>
      </c>
      <c r="E8" s="12">
        <f t="shared" si="0"/>
        <v>1.5913631249999999E-3</v>
      </c>
      <c r="F8" s="12">
        <f>E8/Calculation!K$4*1000</f>
        <v>1.0730702124072825E-3</v>
      </c>
      <c r="G8" s="12">
        <f t="shared" ref="G8:G70" si="3">G7+(F8+F7)/2*30</f>
        <v>7.6551224291975722E-2</v>
      </c>
      <c r="K8" s="2">
        <f>0.001977/44.01</f>
        <v>4.492160872528971E-5</v>
      </c>
      <c r="L8" s="2">
        <f>1/K8</f>
        <v>22261.001517450681</v>
      </c>
    </row>
    <row r="9" spans="1:12">
      <c r="A9" s="34">
        <v>2</v>
      </c>
      <c r="B9" s="12">
        <v>569.78</v>
      </c>
      <c r="C9" s="35">
        <f t="shared" si="1"/>
        <v>0.56977999999999995</v>
      </c>
      <c r="D9" s="12">
        <f t="shared" si="2"/>
        <v>3.9485753999999998E-2</v>
      </c>
      <c r="E9" s="12">
        <f t="shared" si="0"/>
        <v>1.7627568750000001E-3</v>
      </c>
      <c r="F9" s="12">
        <f>E9/Calculation!K$5*1000</f>
        <v>1.2258392732962446E-3</v>
      </c>
      <c r="G9" s="12">
        <f t="shared" si="3"/>
        <v>0.11103486657752862</v>
      </c>
    </row>
    <row r="10" spans="1:12">
      <c r="A10" s="34">
        <v>2.5</v>
      </c>
      <c r="B10" s="12">
        <v>677.3</v>
      </c>
      <c r="C10" s="35">
        <f t="shared" si="1"/>
        <v>0.6772999999999999</v>
      </c>
      <c r="D10" s="12">
        <f t="shared" si="2"/>
        <v>4.6936889999999995E-2</v>
      </c>
      <c r="E10" s="12">
        <f t="shared" si="0"/>
        <v>2.0953968749999998E-3</v>
      </c>
      <c r="F10" s="12">
        <f>E10/Calculation!K$5*1000</f>
        <v>1.457160552851182E-3</v>
      </c>
      <c r="G10" s="12">
        <f t="shared" si="3"/>
        <v>0.15127986396974002</v>
      </c>
    </row>
    <row r="11" spans="1:12">
      <c r="A11" s="34">
        <v>3</v>
      </c>
      <c r="B11" s="12">
        <v>833.51</v>
      </c>
      <c r="C11" s="35">
        <f t="shared" si="1"/>
        <v>0.83350999999999997</v>
      </c>
      <c r="D11" s="12">
        <f t="shared" si="2"/>
        <v>5.7762242999999998E-2</v>
      </c>
      <c r="E11" s="12">
        <f t="shared" si="0"/>
        <v>2.5786715625E-3</v>
      </c>
      <c r="F11" s="12">
        <f>E11/Calculation!K$5*1000</f>
        <v>1.7932347444367177E-3</v>
      </c>
      <c r="G11" s="12">
        <f t="shared" si="3"/>
        <v>0.20003579342905853</v>
      </c>
    </row>
    <row r="12" spans="1:12">
      <c r="A12" s="34">
        <v>3.5</v>
      </c>
      <c r="B12" s="12">
        <v>1000.04</v>
      </c>
      <c r="C12" s="35">
        <f t="shared" si="1"/>
        <v>1.00004</v>
      </c>
      <c r="D12" s="12">
        <f t="shared" si="2"/>
        <v>6.9302771999999999E-2</v>
      </c>
      <c r="E12" s="12">
        <f t="shared" si="0"/>
        <v>3.0938737500000001E-3</v>
      </c>
      <c r="F12" s="12">
        <f>E12/Calculation!K$6*1000</f>
        <v>2.2226104525862067E-3</v>
      </c>
      <c r="G12" s="12">
        <f t="shared" si="3"/>
        <v>0.26027347138440238</v>
      </c>
    </row>
    <row r="13" spans="1:12">
      <c r="A13" s="34">
        <v>4</v>
      </c>
      <c r="B13" s="12">
        <v>1231.42</v>
      </c>
      <c r="C13" s="35">
        <f t="shared" si="1"/>
        <v>1.2314200000000002</v>
      </c>
      <c r="D13" s="12">
        <f t="shared" si="2"/>
        <v>8.5337406000000005E-2</v>
      </c>
      <c r="E13" s="12">
        <f t="shared" si="0"/>
        <v>3.8097056250000006E-3</v>
      </c>
      <c r="F13" s="12">
        <f>E13/Calculation!K$6*1000</f>
        <v>2.7368574892241383E-3</v>
      </c>
      <c r="G13" s="12">
        <f t="shared" si="3"/>
        <v>0.33466549051155758</v>
      </c>
    </row>
    <row r="14" spans="1:12">
      <c r="A14" s="34">
        <v>4.5</v>
      </c>
      <c r="B14" s="12">
        <v>1391.41</v>
      </c>
      <c r="C14" s="35">
        <f t="shared" si="1"/>
        <v>1.39141</v>
      </c>
      <c r="D14" s="12">
        <f t="shared" si="2"/>
        <v>9.6424712999999995E-2</v>
      </c>
      <c r="E14" s="12">
        <f t="shared" si="0"/>
        <v>4.3046746875000002E-3</v>
      </c>
      <c r="F14" s="12">
        <f>E14/Calculation!K$6*1000</f>
        <v>3.092438712284483E-3</v>
      </c>
      <c r="G14" s="12">
        <f t="shared" si="3"/>
        <v>0.42210493353418688</v>
      </c>
    </row>
    <row r="15" spans="1:12">
      <c r="A15" s="34">
        <v>5</v>
      </c>
      <c r="B15" s="12">
        <v>1717.42</v>
      </c>
      <c r="C15" s="35">
        <f t="shared" si="1"/>
        <v>1.7174200000000002</v>
      </c>
      <c r="D15" s="12">
        <f t="shared" si="2"/>
        <v>0.119017206</v>
      </c>
      <c r="E15" s="12">
        <f t="shared" si="0"/>
        <v>5.3132681250000003E-3</v>
      </c>
      <c r="F15" s="12">
        <f>E15/Calculation!K$7*1000</f>
        <v>3.9327552721622507E-3</v>
      </c>
      <c r="G15" s="12">
        <f t="shared" si="3"/>
        <v>0.5274828433008879</v>
      </c>
    </row>
    <row r="16" spans="1:12">
      <c r="A16" s="34">
        <v>5.5</v>
      </c>
      <c r="B16" s="12">
        <v>2101.06</v>
      </c>
      <c r="C16" s="35">
        <f t="shared" si="1"/>
        <v>2.1010599999999999</v>
      </c>
      <c r="D16" s="12">
        <f t="shared" si="2"/>
        <v>0.14560345799999999</v>
      </c>
      <c r="E16" s="12">
        <f t="shared" si="0"/>
        <v>6.500154375E-3</v>
      </c>
      <c r="F16" s="12">
        <f>E16/Calculation!K$7*1000</f>
        <v>4.811260374357593E-3</v>
      </c>
      <c r="G16" s="12">
        <f t="shared" si="3"/>
        <v>0.6586430779986856</v>
      </c>
    </row>
    <row r="17" spans="1:7">
      <c r="A17" s="34">
        <v>6</v>
      </c>
      <c r="B17" s="12">
        <v>2575.87</v>
      </c>
      <c r="C17" s="35">
        <f t="shared" si="1"/>
        <v>2.5758700000000001</v>
      </c>
      <c r="D17" s="12">
        <f t="shared" si="2"/>
        <v>0.178507791</v>
      </c>
      <c r="E17" s="12">
        <f t="shared" si="0"/>
        <v>7.9690978125000009E-3</v>
      </c>
      <c r="F17" s="12">
        <f>E17/Calculation!K$8*1000</f>
        <v>6.106137166502182E-3</v>
      </c>
      <c r="G17" s="12">
        <f t="shared" si="3"/>
        <v>0.82240404111158227</v>
      </c>
    </row>
    <row r="18" spans="1:7">
      <c r="A18" s="34">
        <v>6.5</v>
      </c>
      <c r="B18" s="12">
        <v>3329.38</v>
      </c>
      <c r="C18" s="35">
        <f t="shared" si="1"/>
        <v>3.32938</v>
      </c>
      <c r="D18" s="12">
        <f t="shared" si="2"/>
        <v>0.23072603399999997</v>
      </c>
      <c r="E18" s="12">
        <f t="shared" si="0"/>
        <v>1.0300269374999999E-2</v>
      </c>
      <c r="F18" s="12">
        <f>E18/Calculation!K$8*1000</f>
        <v>7.8923435419524408E-3</v>
      </c>
      <c r="G18" s="12">
        <f t="shared" si="3"/>
        <v>1.0323812517384017</v>
      </c>
    </row>
    <row r="19" spans="1:7">
      <c r="A19" s="34">
        <v>7</v>
      </c>
      <c r="B19" s="12">
        <v>4368.99</v>
      </c>
      <c r="C19" s="35">
        <f t="shared" si="1"/>
        <v>4.3689900000000002</v>
      </c>
      <c r="D19" s="12">
        <f t="shared" si="2"/>
        <v>0.30277100700000004</v>
      </c>
      <c r="E19" s="12">
        <f t="shared" si="0"/>
        <v>1.3516562812500002E-2</v>
      </c>
      <c r="F19" s="12">
        <f>E19/Calculation!K$8*1000</f>
        <v>1.035675411378539E-2</v>
      </c>
      <c r="G19" s="12">
        <f t="shared" si="3"/>
        <v>1.3061177165744691</v>
      </c>
    </row>
    <row r="20" spans="1:7">
      <c r="A20" s="34">
        <v>7.5</v>
      </c>
      <c r="B20" s="12">
        <v>5719.8</v>
      </c>
      <c r="C20" s="35">
        <f t="shared" si="1"/>
        <v>5.7198000000000002</v>
      </c>
      <c r="D20" s="12">
        <f t="shared" si="2"/>
        <v>0.39638214000000005</v>
      </c>
      <c r="E20" s="12">
        <f t="shared" si="0"/>
        <v>1.7695631250000003E-2</v>
      </c>
      <c r="F20" s="12">
        <f>E20/Calculation!K$9*1000</f>
        <v>1.4040819108415497E-2</v>
      </c>
      <c r="G20" s="12">
        <f t="shared" si="3"/>
        <v>1.6720813149074825</v>
      </c>
    </row>
    <row r="21" spans="1:7">
      <c r="A21" s="34">
        <v>8</v>
      </c>
      <c r="B21" s="12">
        <v>7507.58</v>
      </c>
      <c r="C21" s="35">
        <f t="shared" si="1"/>
        <v>7.5075799999999999</v>
      </c>
      <c r="D21" s="12">
        <f t="shared" si="2"/>
        <v>0.52027529399999994</v>
      </c>
      <c r="E21" s="12">
        <f t="shared" si="0"/>
        <v>2.3226575624999999E-2</v>
      </c>
      <c r="F21" s="12">
        <f>E21/Calculation!K$9*1000</f>
        <v>1.8429415840056994E-2</v>
      </c>
      <c r="G21" s="12">
        <f t="shared" si="3"/>
        <v>2.1591348391345697</v>
      </c>
    </row>
    <row r="22" spans="1:7">
      <c r="A22" s="34">
        <v>8.5</v>
      </c>
      <c r="B22" s="12">
        <v>9698.27</v>
      </c>
      <c r="C22" s="35">
        <f t="shared" si="1"/>
        <v>9.6982700000000008</v>
      </c>
      <c r="D22" s="12">
        <f t="shared" si="2"/>
        <v>0.67209011099999993</v>
      </c>
      <c r="E22" s="12">
        <f t="shared" si="0"/>
        <v>3.00040228125E-2</v>
      </c>
      <c r="F22" s="12">
        <f>E22/Calculation!K$9*1000</f>
        <v>2.3807065760091742E-2</v>
      </c>
      <c r="G22" s="12">
        <f t="shared" si="3"/>
        <v>2.7926820631368008</v>
      </c>
    </row>
    <row r="23" spans="1:7">
      <c r="A23" s="34">
        <v>9</v>
      </c>
      <c r="B23" s="12">
        <v>12491.76</v>
      </c>
      <c r="C23" s="35">
        <f t="shared" si="1"/>
        <v>12.491760000000001</v>
      </c>
      <c r="D23" s="12">
        <f t="shared" si="2"/>
        <v>0.86567896799999999</v>
      </c>
      <c r="E23" s="12">
        <f t="shared" si="0"/>
        <v>3.86463825E-2</v>
      </c>
      <c r="F23" s="12">
        <f>E23/Calculation!K$10*1000</f>
        <v>3.1581660521892908E-2</v>
      </c>
      <c r="G23" s="12">
        <f t="shared" si="3"/>
        <v>3.6235129573665708</v>
      </c>
    </row>
    <row r="24" spans="1:7">
      <c r="A24" s="34">
        <v>9.5</v>
      </c>
      <c r="B24" s="12">
        <v>14845.88</v>
      </c>
      <c r="C24" s="35">
        <f t="shared" si="1"/>
        <v>14.845879999999999</v>
      </c>
      <c r="D24" s="12">
        <f t="shared" si="2"/>
        <v>1.0288194839999998</v>
      </c>
      <c r="E24" s="12">
        <f t="shared" si="0"/>
        <v>4.5929441249999994E-2</v>
      </c>
      <c r="F24" s="12">
        <f>E24/Calculation!K$10*1000</f>
        <v>3.7533345365965996E-2</v>
      </c>
      <c r="G24" s="12">
        <f t="shared" si="3"/>
        <v>4.6602380456844541</v>
      </c>
    </row>
    <row r="25" spans="1:7">
      <c r="A25" s="34">
        <v>10</v>
      </c>
      <c r="B25" s="12">
        <v>17684.28</v>
      </c>
      <c r="C25" s="35">
        <f t="shared" si="1"/>
        <v>17.684279999999998</v>
      </c>
      <c r="D25" s="12">
        <f t="shared" si="2"/>
        <v>1.2255206039999997</v>
      </c>
      <c r="E25" s="12">
        <f t="shared" si="0"/>
        <v>5.4710741249999993E-2</v>
      </c>
      <c r="F25" s="12">
        <f>E25/Calculation!K$11*1000</f>
        <v>4.6078796651358854E-2</v>
      </c>
      <c r="G25" s="12">
        <f t="shared" si="3"/>
        <v>5.9144201759443273</v>
      </c>
    </row>
    <row r="26" spans="1:7">
      <c r="A26" s="34">
        <v>10.5</v>
      </c>
      <c r="B26" s="12">
        <v>19643.060000000001</v>
      </c>
      <c r="C26" s="35">
        <f t="shared" si="1"/>
        <v>19.643060000000002</v>
      </c>
      <c r="D26" s="12">
        <f t="shared" si="2"/>
        <v>1.3612640579999999</v>
      </c>
      <c r="E26" s="12">
        <f t="shared" si="0"/>
        <v>6.0770716874999998E-2</v>
      </c>
      <c r="F26" s="12">
        <f>E26/Calculation!K$11*1000</f>
        <v>5.1182664340897181E-2</v>
      </c>
      <c r="G26" s="12">
        <f t="shared" si="3"/>
        <v>7.3733420908281682</v>
      </c>
    </row>
    <row r="27" spans="1:7">
      <c r="A27" s="34">
        <v>11</v>
      </c>
      <c r="B27" s="12">
        <v>21349.47</v>
      </c>
      <c r="C27" s="35">
        <f t="shared" si="1"/>
        <v>21.34947</v>
      </c>
      <c r="D27" s="12">
        <f t="shared" si="2"/>
        <v>1.4795182709999999</v>
      </c>
      <c r="E27" s="12">
        <f t="shared" si="0"/>
        <v>6.6049922812499995E-2</v>
      </c>
      <c r="F27" s="12">
        <f>E27/Calculation!K$11*1000</f>
        <v>5.5628947672412242E-2</v>
      </c>
      <c r="G27" s="12">
        <f t="shared" si="3"/>
        <v>8.9755162710278089</v>
      </c>
    </row>
    <row r="28" spans="1:7">
      <c r="A28" s="34">
        <v>11.5</v>
      </c>
      <c r="B28" s="12">
        <v>22630.09</v>
      </c>
      <c r="C28" s="35">
        <f t="shared" si="1"/>
        <v>22.630089999999999</v>
      </c>
      <c r="D28" s="12">
        <f t="shared" si="2"/>
        <v>1.5682652369999999</v>
      </c>
      <c r="E28" s="12">
        <f t="shared" si="0"/>
        <v>7.00118409375E-2</v>
      </c>
      <c r="F28" s="12">
        <f>E28/Calculation!K$12*1000</f>
        <v>6.1077083852613366E-2</v>
      </c>
      <c r="G28" s="12">
        <f t="shared" si="3"/>
        <v>10.726106743903193</v>
      </c>
    </row>
    <row r="29" spans="1:7">
      <c r="A29" s="34">
        <v>12</v>
      </c>
      <c r="B29" s="12">
        <v>23860.83</v>
      </c>
      <c r="C29" s="35">
        <f t="shared" si="1"/>
        <v>23.86083</v>
      </c>
      <c r="D29" s="12">
        <f t="shared" si="2"/>
        <v>1.653555519</v>
      </c>
      <c r="E29" s="12">
        <f t="shared" si="0"/>
        <v>7.3819442812499997E-2</v>
      </c>
      <c r="F29" s="12">
        <f>E29/Calculation!K$12*1000</f>
        <v>6.4398767954654726E-2</v>
      </c>
      <c r="G29" s="12">
        <f t="shared" si="3"/>
        <v>12.608244521012214</v>
      </c>
    </row>
    <row r="30" spans="1:7">
      <c r="A30" s="34">
        <v>12.5</v>
      </c>
      <c r="B30" s="12">
        <v>23456.38</v>
      </c>
      <c r="C30" s="35">
        <f t="shared" si="1"/>
        <v>23.456379999999999</v>
      </c>
      <c r="D30" s="12">
        <f t="shared" si="2"/>
        <v>1.6255271339999999</v>
      </c>
      <c r="E30" s="12">
        <f t="shared" si="0"/>
        <v>7.2568175624999995E-2</v>
      </c>
      <c r="F30" s="12">
        <f>E30/Calculation!K$12*1000</f>
        <v>6.3307184732308314E-2</v>
      </c>
      <c r="G30" s="12">
        <f t="shared" si="3"/>
        <v>14.52383381131666</v>
      </c>
    </row>
    <row r="31" spans="1:7">
      <c r="A31" s="34">
        <v>13</v>
      </c>
      <c r="B31" s="12">
        <v>23097.34</v>
      </c>
      <c r="C31" s="35">
        <f t="shared" si="1"/>
        <v>23.097339999999999</v>
      </c>
      <c r="D31" s="12">
        <f t="shared" si="2"/>
        <v>1.6006456619999998</v>
      </c>
      <c r="E31" s="12">
        <f t="shared" si="0"/>
        <v>7.1457395624999989E-2</v>
      </c>
      <c r="F31" s="12">
        <f>E31/Calculation!K$13*1000</f>
        <v>6.5277592844607948E-2</v>
      </c>
      <c r="G31" s="12">
        <f t="shared" si="3"/>
        <v>16.452605474970404</v>
      </c>
    </row>
    <row r="32" spans="1:7">
      <c r="A32" s="34">
        <v>13.5</v>
      </c>
      <c r="B32" s="12">
        <v>20877.240000000002</v>
      </c>
      <c r="C32" s="35">
        <f t="shared" si="1"/>
        <v>20.87724</v>
      </c>
      <c r="D32" s="12">
        <f t="shared" si="2"/>
        <v>1.446792732</v>
      </c>
      <c r="E32" s="12">
        <f t="shared" si="0"/>
        <v>6.4588961250000007E-2</v>
      </c>
      <c r="F32" s="12">
        <f>E32/Calculation!K$13*1000</f>
        <v>5.9003156746151864E-2</v>
      </c>
      <c r="G32" s="12">
        <f t="shared" si="3"/>
        <v>18.316816718831802</v>
      </c>
    </row>
    <row r="33" spans="1:7">
      <c r="A33" s="34">
        <v>14</v>
      </c>
      <c r="B33" s="12">
        <v>19163.599999999999</v>
      </c>
      <c r="C33" s="35">
        <f t="shared" si="1"/>
        <v>19.163599999999999</v>
      </c>
      <c r="D33" s="12">
        <f t="shared" si="2"/>
        <v>1.3280374799999999</v>
      </c>
      <c r="E33" s="12">
        <f t="shared" si="0"/>
        <v>5.9287387499999997E-2</v>
      </c>
      <c r="F33" s="12">
        <f>E33/Calculation!K$14*1000</f>
        <v>5.6571655855661644E-2</v>
      </c>
      <c r="G33" s="12">
        <f t="shared" si="3"/>
        <v>20.050438907859004</v>
      </c>
    </row>
    <row r="34" spans="1:7">
      <c r="A34" s="34">
        <v>14.5</v>
      </c>
      <c r="B34" s="12">
        <v>16742.73</v>
      </c>
      <c r="C34" s="35">
        <f t="shared" si="1"/>
        <v>16.742729999999998</v>
      </c>
      <c r="D34" s="12">
        <f t="shared" si="2"/>
        <v>1.1602711889999997</v>
      </c>
      <c r="E34" s="12">
        <f t="shared" si="0"/>
        <v>5.1797820937499989E-2</v>
      </c>
      <c r="F34" s="12">
        <f>E34/Calculation!K$14*1000</f>
        <v>4.9425158093691253E-2</v>
      </c>
      <c r="G34" s="12">
        <f t="shared" si="3"/>
        <v>21.640391117099298</v>
      </c>
    </row>
    <row r="35" spans="1:7">
      <c r="A35" s="34">
        <v>15</v>
      </c>
      <c r="B35" s="12">
        <v>14368.31</v>
      </c>
      <c r="C35" s="35">
        <f t="shared" si="1"/>
        <v>14.368309999999999</v>
      </c>
      <c r="D35" s="12">
        <f t="shared" si="2"/>
        <v>0.99572388299999992</v>
      </c>
      <c r="E35" s="12">
        <f t="shared" si="0"/>
        <v>4.4451959062499997E-2</v>
      </c>
      <c r="F35" s="12">
        <f>E35/Calculation!K$14*1000</f>
        <v>4.2415782449407302E-2</v>
      </c>
      <c r="G35" s="12">
        <f t="shared" si="3"/>
        <v>23.018005225245776</v>
      </c>
    </row>
    <row r="36" spans="1:7">
      <c r="A36" s="34">
        <v>15.5</v>
      </c>
      <c r="B36" s="12">
        <v>12623.54</v>
      </c>
      <c r="C36" s="35">
        <f t="shared" si="1"/>
        <v>12.62354</v>
      </c>
      <c r="D36" s="12">
        <f t="shared" si="2"/>
        <v>0.874811322</v>
      </c>
      <c r="E36" s="12">
        <f t="shared" si="0"/>
        <v>3.9054076875000003E-2</v>
      </c>
      <c r="F36" s="12">
        <f>E36/Calculation!K$15*1000</f>
        <v>3.9153839304544157E-2</v>
      </c>
      <c r="G36" s="12">
        <f t="shared" si="3"/>
        <v>24.24154955155505</v>
      </c>
    </row>
    <row r="37" spans="1:7">
      <c r="A37" s="34">
        <v>16</v>
      </c>
      <c r="B37" s="12">
        <v>10760.06</v>
      </c>
      <c r="C37" s="35">
        <f t="shared" si="1"/>
        <v>10.760059999999999</v>
      </c>
      <c r="D37" s="12">
        <f t="shared" si="2"/>
        <v>0.74567215799999997</v>
      </c>
      <c r="E37" s="12">
        <f t="shared" si="0"/>
        <v>3.3288935625000002E-2</v>
      </c>
      <c r="F37" s="12">
        <f>E37/Calculation!K$15*1000</f>
        <v>3.3373971179815914E-2</v>
      </c>
      <c r="G37" s="12">
        <f t="shared" si="3"/>
        <v>25.329466708820451</v>
      </c>
    </row>
    <row r="38" spans="1:7">
      <c r="A38" s="34">
        <v>16.5</v>
      </c>
      <c r="B38" s="12">
        <v>9100.2800000000007</v>
      </c>
      <c r="C38" s="35">
        <f t="shared" si="1"/>
        <v>9.1002800000000015</v>
      </c>
      <c r="D38" s="12">
        <f t="shared" si="2"/>
        <v>0.63064940400000014</v>
      </c>
      <c r="E38" s="12">
        <f t="shared" si="0"/>
        <v>2.8153991250000007E-2</v>
      </c>
      <c r="F38" s="12">
        <f>E38/Calculation!K$15*1000</f>
        <v>2.822590974848237E-2</v>
      </c>
      <c r="G38" s="12">
        <f t="shared" si="3"/>
        <v>26.253464922744925</v>
      </c>
    </row>
    <row r="39" spans="1:7">
      <c r="A39" s="34">
        <v>17</v>
      </c>
      <c r="B39" s="12">
        <v>7837.2</v>
      </c>
      <c r="C39" s="35">
        <f t="shared" si="1"/>
        <v>7.8372000000000002</v>
      </c>
      <c r="D39" s="12">
        <f t="shared" si="2"/>
        <v>0.54311796000000001</v>
      </c>
      <c r="E39" s="12">
        <f t="shared" si="0"/>
        <v>2.4246337500000003E-2</v>
      </c>
      <c r="F39" s="12">
        <f>E39/Calculation!K$16*1000</f>
        <v>2.5422196961830658E-2</v>
      </c>
      <c r="G39" s="12">
        <f>G38+(F39+F38)/2*30</f>
        <v>27.05818652339962</v>
      </c>
    </row>
    <row r="40" spans="1:7">
      <c r="A40" s="34">
        <v>17.5</v>
      </c>
      <c r="B40" s="12">
        <v>6860.22</v>
      </c>
      <c r="C40" s="35">
        <f t="shared" si="1"/>
        <v>6.86022</v>
      </c>
      <c r="D40" s="12">
        <f t="shared" si="2"/>
        <v>0.47541324600000001</v>
      </c>
      <c r="E40" s="12">
        <f t="shared" si="0"/>
        <v>2.1223805625000002E-2</v>
      </c>
      <c r="F40" s="12">
        <f>E40/Calculation!K$16*1000</f>
        <v>2.2253083249309691E-2</v>
      </c>
      <c r="G40" s="12">
        <f t="shared" si="3"/>
        <v>27.773315726566725</v>
      </c>
    </row>
    <row r="41" spans="1:7">
      <c r="A41" s="34">
        <v>18</v>
      </c>
      <c r="B41" s="12">
        <v>5928.48</v>
      </c>
      <c r="C41" s="35">
        <f t="shared" si="1"/>
        <v>5.9284799999999995</v>
      </c>
      <c r="D41" s="12">
        <f t="shared" si="2"/>
        <v>0.410843664</v>
      </c>
      <c r="E41" s="12">
        <f t="shared" si="0"/>
        <v>1.8341235000000001E-2</v>
      </c>
      <c r="F41" s="12">
        <f>E41/Calculation!K$17*1000</f>
        <v>2.0459984256526724E-2</v>
      </c>
      <c r="G41" s="12">
        <f t="shared" si="3"/>
        <v>28.414011739154272</v>
      </c>
    </row>
    <row r="42" spans="1:7">
      <c r="A42" s="34">
        <v>18.5</v>
      </c>
      <c r="B42" s="12">
        <v>5004.6499999999996</v>
      </c>
      <c r="C42" s="35">
        <f t="shared" si="1"/>
        <v>5.0046499999999998</v>
      </c>
      <c r="D42" s="12">
        <f t="shared" si="2"/>
        <v>0.34682224500000003</v>
      </c>
      <c r="E42" s="12">
        <f t="shared" si="0"/>
        <v>1.5483135937500002E-2</v>
      </c>
      <c r="F42" s="12">
        <f>E42/Calculation!K$17*1000</f>
        <v>1.7271722298030267E-2</v>
      </c>
      <c r="G42" s="12">
        <f t="shared" si="3"/>
        <v>28.979987337472629</v>
      </c>
    </row>
    <row r="43" spans="1:7">
      <c r="A43" s="34">
        <v>19</v>
      </c>
      <c r="B43" s="12">
        <v>4372.25</v>
      </c>
      <c r="C43" s="35">
        <f t="shared" si="1"/>
        <v>4.3722500000000002</v>
      </c>
      <c r="D43" s="12">
        <f t="shared" si="2"/>
        <v>0.30299692500000003</v>
      </c>
      <c r="E43" s="12">
        <f t="shared" si="0"/>
        <v>1.3526648437500002E-2</v>
      </c>
      <c r="F43" s="12">
        <f>E43/Calculation!K$17*1000</f>
        <v>1.5089224584648842E-2</v>
      </c>
      <c r="G43" s="12">
        <f t="shared" si="3"/>
        <v>29.465401540712815</v>
      </c>
    </row>
    <row r="44" spans="1:7">
      <c r="A44" s="34">
        <v>19.5</v>
      </c>
      <c r="B44" s="12">
        <v>3619.6</v>
      </c>
      <c r="C44" s="35">
        <f t="shared" si="1"/>
        <v>3.6195999999999997</v>
      </c>
      <c r="D44" s="12">
        <f t="shared" si="2"/>
        <v>0.25083827999999997</v>
      </c>
      <c r="E44" s="12">
        <f t="shared" si="0"/>
        <v>1.11981375E-2</v>
      </c>
      <c r="F44" s="12">
        <f>E44/Calculation!K$17*1000</f>
        <v>1.2491727899043957E-2</v>
      </c>
      <c r="G44" s="12">
        <f t="shared" si="3"/>
        <v>29.879115827968207</v>
      </c>
    </row>
    <row r="45" spans="1:7">
      <c r="A45" s="34">
        <v>20</v>
      </c>
      <c r="B45" s="12">
        <v>3072.88</v>
      </c>
      <c r="C45" s="35">
        <f t="shared" si="1"/>
        <v>3.0728800000000001</v>
      </c>
      <c r="D45" s="12">
        <f t="shared" si="2"/>
        <v>0.212950584</v>
      </c>
      <c r="E45" s="12">
        <f t="shared" si="0"/>
        <v>9.5067225000000002E-3</v>
      </c>
      <c r="F45" s="12">
        <f>E45/Calculation!K$17*1000</f>
        <v>1.0604923424249695E-2</v>
      </c>
      <c r="G45" s="12">
        <f t="shared" si="3"/>
        <v>30.22556559781761</v>
      </c>
    </row>
    <row r="46" spans="1:7">
      <c r="A46" s="34">
        <v>20.5</v>
      </c>
      <c r="B46" s="12">
        <v>2625.76</v>
      </c>
      <c r="C46" s="35">
        <f t="shared" si="1"/>
        <v>2.6257600000000001</v>
      </c>
      <c r="D46" s="12">
        <f t="shared" si="2"/>
        <v>0.18196516799999998</v>
      </c>
      <c r="E46" s="12">
        <f t="shared" si="0"/>
        <v>8.123445E-3</v>
      </c>
      <c r="F46" s="12">
        <f>E46/Calculation!K$17*1000</f>
        <v>9.0618519859082952E-3</v>
      </c>
      <c r="G46" s="12">
        <f t="shared" si="3"/>
        <v>30.520567228969981</v>
      </c>
    </row>
    <row r="47" spans="1:7">
      <c r="A47" s="34">
        <v>21</v>
      </c>
      <c r="B47" s="12">
        <v>2205.48</v>
      </c>
      <c r="C47" s="35">
        <f t="shared" si="1"/>
        <v>2.2054800000000001</v>
      </c>
      <c r="D47" s="12">
        <f t="shared" si="2"/>
        <v>0.15283976399999999</v>
      </c>
      <c r="E47" s="12">
        <f t="shared" si="0"/>
        <v>6.8232037499999995E-3</v>
      </c>
      <c r="F47" s="12">
        <f>E47/Calculation!K$17*1000</f>
        <v>7.6114090083941504E-3</v>
      </c>
      <c r="G47" s="12">
        <f t="shared" si="3"/>
        <v>30.770666143884519</v>
      </c>
    </row>
    <row r="48" spans="1:7">
      <c r="A48" s="34">
        <v>21.5</v>
      </c>
      <c r="B48" s="12">
        <v>1946.23</v>
      </c>
      <c r="C48" s="35">
        <f t="shared" si="1"/>
        <v>1.9462300000000001</v>
      </c>
      <c r="D48" s="12">
        <f t="shared" si="2"/>
        <v>0.13487373900000002</v>
      </c>
      <c r="E48" s="12">
        <f t="shared" si="0"/>
        <v>6.0211490625000016E-3</v>
      </c>
      <c r="F48" s="12">
        <f>E48/Calculation!K$17*1000</f>
        <v>6.7167022844945093E-3</v>
      </c>
      <c r="G48" s="12">
        <f t="shared" si="3"/>
        <v>30.985587813277849</v>
      </c>
    </row>
    <row r="49" spans="1:7">
      <c r="A49" s="34">
        <v>22</v>
      </c>
      <c r="B49" s="12">
        <v>1624</v>
      </c>
      <c r="C49" s="35">
        <f t="shared" si="1"/>
        <v>1.6240000000000001</v>
      </c>
      <c r="D49" s="12">
        <f t="shared" si="2"/>
        <v>0.1125432</v>
      </c>
      <c r="E49" s="12">
        <f t="shared" si="0"/>
        <v>5.0242500000000001E-3</v>
      </c>
      <c r="F49" s="12">
        <f>E49/Calculation!K$17*1000</f>
        <v>5.6046430843318014E-3</v>
      </c>
      <c r="G49" s="12">
        <f t="shared" si="3"/>
        <v>31.170407993810244</v>
      </c>
    </row>
    <row r="50" spans="1:7">
      <c r="A50" s="34">
        <v>22.5</v>
      </c>
      <c r="B50" s="12">
        <v>1378.68</v>
      </c>
      <c r="C50" s="35">
        <f t="shared" si="1"/>
        <v>1.3786800000000001</v>
      </c>
      <c r="D50" s="12">
        <f t="shared" si="2"/>
        <v>9.5542524000000004E-2</v>
      </c>
      <c r="E50" s="12">
        <f t="shared" si="0"/>
        <v>4.2652912500000008E-3</v>
      </c>
      <c r="F50" s="12">
        <f>E50/Calculation!K$17*1000</f>
        <v>4.7580106696469013E-3</v>
      </c>
      <c r="G50" s="12">
        <f t="shared" si="3"/>
        <v>31.325847800119924</v>
      </c>
    </row>
    <row r="51" spans="1:7">
      <c r="A51" s="34">
        <v>23</v>
      </c>
      <c r="B51" s="12">
        <v>1201.1400000000001</v>
      </c>
      <c r="C51" s="35">
        <f t="shared" si="1"/>
        <v>1.2011400000000001</v>
      </c>
      <c r="D51" s="12">
        <f t="shared" si="2"/>
        <v>8.3239002000000006E-2</v>
      </c>
      <c r="E51" s="12">
        <f t="shared" si="0"/>
        <v>3.7160268750000007E-3</v>
      </c>
      <c r="F51" s="12">
        <f>E51/Calculation!K$17*1000</f>
        <v>4.1452961787649635E-3</v>
      </c>
      <c r="G51" s="12">
        <f t="shared" si="3"/>
        <v>31.459397402846101</v>
      </c>
    </row>
    <row r="52" spans="1:7">
      <c r="A52" s="34">
        <v>23.5</v>
      </c>
      <c r="B52" s="12">
        <v>1064.2</v>
      </c>
      <c r="C52" s="35">
        <f t="shared" si="1"/>
        <v>1.0642</v>
      </c>
      <c r="D52" s="12">
        <f t="shared" si="2"/>
        <v>7.3749059999999991E-2</v>
      </c>
      <c r="E52" s="12">
        <f t="shared" si="0"/>
        <v>3.29236875E-3</v>
      </c>
      <c r="F52" s="12">
        <f>E52/Calculation!K$17*1000</f>
        <v>3.6726977649913194E-3</v>
      </c>
      <c r="G52" s="12">
        <f t="shared" si="3"/>
        <v>31.576667312002446</v>
      </c>
    </row>
    <row r="53" spans="1:7">
      <c r="A53" s="34">
        <v>24</v>
      </c>
      <c r="B53" s="12">
        <v>920.21</v>
      </c>
      <c r="C53" s="35">
        <f t="shared" si="1"/>
        <v>0.92021000000000008</v>
      </c>
      <c r="D53" s="12">
        <f t="shared" si="2"/>
        <v>6.3770553000000008E-2</v>
      </c>
      <c r="E53" s="12">
        <f t="shared" si="0"/>
        <v>2.8468996875000005E-3</v>
      </c>
      <c r="F53" s="12">
        <f>E53/Calculation!K$18*1000</f>
        <v>3.3845564216061714E-3</v>
      </c>
      <c r="G53" s="12">
        <f t="shared" si="3"/>
        <v>31.682526124801409</v>
      </c>
    </row>
    <row r="54" spans="1:7">
      <c r="A54" s="34">
        <v>24.5</v>
      </c>
      <c r="B54" s="12">
        <v>822.32</v>
      </c>
      <c r="C54" s="35">
        <f t="shared" si="1"/>
        <v>0.82232000000000005</v>
      </c>
      <c r="D54" s="12">
        <f t="shared" si="2"/>
        <v>5.6986776000000003E-2</v>
      </c>
      <c r="E54" s="12">
        <f t="shared" si="0"/>
        <v>2.5440525000000004E-3</v>
      </c>
      <c r="F54" s="12">
        <f>E54/Calculation!K$18*1000</f>
        <v>3.0245144441107862E-3</v>
      </c>
      <c r="G54" s="12">
        <f t="shared" si="3"/>
        <v>31.778662187787162</v>
      </c>
    </row>
    <row r="55" spans="1:7">
      <c r="A55" s="34">
        <v>25</v>
      </c>
      <c r="B55" s="12">
        <v>741.98</v>
      </c>
      <c r="C55" s="35">
        <f t="shared" si="1"/>
        <v>0.74197999999999997</v>
      </c>
      <c r="D55" s="12">
        <f t="shared" si="2"/>
        <v>5.1419213999999991E-2</v>
      </c>
      <c r="E55" s="12">
        <f t="shared" si="0"/>
        <v>2.2955006249999999E-3</v>
      </c>
      <c r="F55" s="12">
        <f>E55/Calculation!K$18*1000</f>
        <v>2.7290218251305098E-3</v>
      </c>
      <c r="G55" s="12">
        <f t="shared" si="3"/>
        <v>31.864965231825781</v>
      </c>
    </row>
    <row r="56" spans="1:7">
      <c r="A56" s="34">
        <v>25.5</v>
      </c>
      <c r="B56" s="12">
        <v>631.54</v>
      </c>
      <c r="C56" s="35">
        <f t="shared" si="1"/>
        <v>0.63153999999999999</v>
      </c>
      <c r="D56" s="12">
        <f t="shared" si="2"/>
        <v>4.3765722E-2</v>
      </c>
      <c r="E56" s="12">
        <f t="shared" si="0"/>
        <v>1.9538268750000001E-3</v>
      </c>
      <c r="F56" s="12">
        <f>E56/Calculation!K$18*1000</f>
        <v>2.3228206197511013E-3</v>
      </c>
      <c r="G56" s="12">
        <f t="shared" si="3"/>
        <v>31.940742868499004</v>
      </c>
    </row>
    <row r="57" spans="1:7">
      <c r="A57" s="34">
        <v>26</v>
      </c>
      <c r="B57" s="12">
        <v>538.64</v>
      </c>
      <c r="C57" s="35">
        <f t="shared" si="1"/>
        <v>0.53864000000000001</v>
      </c>
      <c r="D57" s="12">
        <f t="shared" si="2"/>
        <v>3.7327752000000006E-2</v>
      </c>
      <c r="E57" s="12">
        <f t="shared" si="0"/>
        <v>1.6664175000000003E-3</v>
      </c>
      <c r="F57" s="12">
        <f>E57/Calculation!K$18*1000</f>
        <v>1.98113199262554E-3</v>
      </c>
      <c r="G57" s="12">
        <f t="shared" si="3"/>
        <v>32.005302157684653</v>
      </c>
    </row>
    <row r="58" spans="1:7">
      <c r="A58" s="34">
        <v>26.5</v>
      </c>
      <c r="B58" s="12">
        <v>447.98</v>
      </c>
      <c r="C58" s="35">
        <f t="shared" si="1"/>
        <v>0.44798000000000004</v>
      </c>
      <c r="D58" s="12">
        <f t="shared" si="2"/>
        <v>3.1045014000000003E-2</v>
      </c>
      <c r="E58" s="12">
        <f t="shared" si="0"/>
        <v>1.3859381250000001E-3</v>
      </c>
      <c r="F58" s="12">
        <f>E58/Calculation!K$18*1000</f>
        <v>1.6476821440227041E-3</v>
      </c>
      <c r="G58" s="12">
        <f t="shared" si="3"/>
        <v>32.059734369734379</v>
      </c>
    </row>
    <row r="59" spans="1:7">
      <c r="A59" s="34">
        <v>27</v>
      </c>
      <c r="B59" s="12">
        <v>346.48</v>
      </c>
      <c r="C59" s="35">
        <f t="shared" si="1"/>
        <v>0.34648000000000001</v>
      </c>
      <c r="D59" s="12">
        <f t="shared" si="2"/>
        <v>2.4011064000000002E-2</v>
      </c>
      <c r="E59" s="12">
        <f t="shared" si="0"/>
        <v>1.0719225000000001E-3</v>
      </c>
      <c r="F59" s="12">
        <f>E59/Calculation!K$18*1000</f>
        <v>1.2743624922116757E-3</v>
      </c>
      <c r="G59" s="12">
        <f t="shared" si="3"/>
        <v>32.103565039277896</v>
      </c>
    </row>
    <row r="60" spans="1:7">
      <c r="A60" s="34">
        <v>27.5</v>
      </c>
      <c r="B60" s="12">
        <v>287.3</v>
      </c>
      <c r="C60" s="35">
        <f t="shared" si="1"/>
        <v>0.2873</v>
      </c>
      <c r="D60" s="12">
        <f t="shared" si="2"/>
        <v>1.990989E-2</v>
      </c>
      <c r="E60" s="12">
        <f t="shared" si="0"/>
        <v>8.8883437500000004E-4</v>
      </c>
      <c r="F60" s="12">
        <f>E60/Calculation!K$18*1000</f>
        <v>1.0566969060621522E-3</v>
      </c>
      <c r="G60" s="12">
        <f t="shared" si="3"/>
        <v>32.138530930252003</v>
      </c>
    </row>
    <row r="61" spans="1:7">
      <c r="A61" s="34">
        <v>28</v>
      </c>
      <c r="B61" s="12">
        <v>260.45999999999998</v>
      </c>
      <c r="C61" s="35">
        <f t="shared" si="1"/>
        <v>0.26045999999999997</v>
      </c>
      <c r="D61" s="12">
        <f t="shared" si="2"/>
        <v>1.8049877999999995E-2</v>
      </c>
      <c r="E61" s="12">
        <f t="shared" si="0"/>
        <v>8.0579812499999987E-4</v>
      </c>
      <c r="F61" s="12">
        <f>E61/Calculation!K$18*1000</f>
        <v>9.5797868483448682E-4</v>
      </c>
      <c r="G61" s="12">
        <f t="shared" si="3"/>
        <v>32.168751064115455</v>
      </c>
    </row>
    <row r="62" spans="1:7">
      <c r="A62" s="34">
        <v>28.5</v>
      </c>
      <c r="B62" s="12">
        <v>226.57</v>
      </c>
      <c r="C62" s="35">
        <f t="shared" si="1"/>
        <v>0.22656999999999999</v>
      </c>
      <c r="D62" s="12">
        <f t="shared" si="2"/>
        <v>1.5701300999999997E-2</v>
      </c>
      <c r="E62" s="12">
        <f t="shared" si="0"/>
        <v>7.0095093749999993E-4</v>
      </c>
      <c r="F62" s="12">
        <f>E62/Calculation!K$18*1000</f>
        <v>8.3333037941699182E-4</v>
      </c>
      <c r="G62" s="12">
        <f t="shared" si="3"/>
        <v>32.195620700079225</v>
      </c>
    </row>
    <row r="63" spans="1:7">
      <c r="A63" s="34">
        <v>29</v>
      </c>
      <c r="B63" s="12">
        <v>192.85</v>
      </c>
      <c r="C63" s="35">
        <f t="shared" si="1"/>
        <v>0.19284999999999999</v>
      </c>
      <c r="D63" s="12">
        <f t="shared" si="2"/>
        <v>1.3364504999999999E-2</v>
      </c>
      <c r="E63" s="12">
        <f t="shared" si="0"/>
        <v>5.9662968749999996E-4</v>
      </c>
      <c r="F63" s="12">
        <f>E63/Calculation!K$18*1000</f>
        <v>7.0930733844095371E-4</v>
      </c>
      <c r="G63" s="12">
        <f t="shared" si="3"/>
        <v>32.218760265847095</v>
      </c>
    </row>
    <row r="64" spans="1:7">
      <c r="A64" s="34">
        <v>29.5</v>
      </c>
      <c r="B64" s="12">
        <v>157.41</v>
      </c>
      <c r="C64" s="35">
        <f t="shared" si="1"/>
        <v>0.15740999999999999</v>
      </c>
      <c r="D64" s="12">
        <f t="shared" si="2"/>
        <v>1.0908513E-2</v>
      </c>
      <c r="E64" s="12">
        <f t="shared" si="0"/>
        <v>4.8698718750000004E-4</v>
      </c>
      <c r="F64" s="12">
        <f>E64/Calculation!K$18*1000</f>
        <v>5.7895809252782229E-4</v>
      </c>
      <c r="G64" s="12">
        <f t="shared" si="3"/>
        <v>32.238084247311626</v>
      </c>
    </row>
    <row r="65" spans="1:7">
      <c r="A65" s="34">
        <v>30</v>
      </c>
      <c r="B65" s="12">
        <v>0</v>
      </c>
      <c r="C65" s="35">
        <f t="shared" si="1"/>
        <v>0</v>
      </c>
      <c r="D65" s="12">
        <f t="shared" si="2"/>
        <v>0</v>
      </c>
      <c r="E65" s="12">
        <f t="shared" si="0"/>
        <v>0</v>
      </c>
      <c r="F65" s="12">
        <f>E65/Calculation!K$19*1000</f>
        <v>0</v>
      </c>
      <c r="G65" s="12">
        <f t="shared" si="3"/>
        <v>32.246768618699541</v>
      </c>
    </row>
    <row r="66" spans="1:7">
      <c r="A66" s="34">
        <v>30.5</v>
      </c>
      <c r="B66" s="12">
        <v>0</v>
      </c>
      <c r="C66" s="35">
        <f t="shared" si="1"/>
        <v>0</v>
      </c>
      <c r="D66" s="12">
        <f t="shared" si="2"/>
        <v>0</v>
      </c>
      <c r="E66" s="12">
        <f t="shared" si="0"/>
        <v>0</v>
      </c>
      <c r="F66" s="12">
        <f>E66/Calculation!K$19*1000</f>
        <v>0</v>
      </c>
      <c r="G66" s="12">
        <f t="shared" si="3"/>
        <v>32.246768618699541</v>
      </c>
    </row>
    <row r="67" spans="1:7">
      <c r="A67" s="34">
        <v>31</v>
      </c>
      <c r="B67" s="12">
        <v>0</v>
      </c>
      <c r="C67" s="35">
        <f t="shared" si="1"/>
        <v>0</v>
      </c>
      <c r="D67" s="12">
        <f t="shared" si="2"/>
        <v>0</v>
      </c>
      <c r="E67" s="12">
        <f t="shared" si="0"/>
        <v>0</v>
      </c>
      <c r="F67" s="12">
        <f>E67/Calculation!K$19*1000</f>
        <v>0</v>
      </c>
      <c r="G67" s="12">
        <f t="shared" si="3"/>
        <v>32.246768618699541</v>
      </c>
    </row>
    <row r="68" spans="1:7">
      <c r="A68" s="34">
        <v>31.5</v>
      </c>
      <c r="B68" s="12">
        <v>0</v>
      </c>
      <c r="C68" s="35">
        <f t="shared" si="1"/>
        <v>0</v>
      </c>
      <c r="D68" s="12">
        <f t="shared" si="2"/>
        <v>0</v>
      </c>
      <c r="E68" s="12">
        <f t="shared" si="0"/>
        <v>0</v>
      </c>
      <c r="F68" s="12">
        <f>E68/Calculation!K$19*1000</f>
        <v>0</v>
      </c>
      <c r="G68" s="12">
        <f t="shared" si="3"/>
        <v>32.246768618699541</v>
      </c>
    </row>
    <row r="69" spans="1:7">
      <c r="A69" s="34">
        <v>32</v>
      </c>
      <c r="B69" s="12">
        <v>0</v>
      </c>
      <c r="C69" s="35">
        <f t="shared" si="1"/>
        <v>0</v>
      </c>
      <c r="D69" s="12">
        <f t="shared" si="2"/>
        <v>0</v>
      </c>
      <c r="E69" s="12">
        <f t="shared" si="0"/>
        <v>0</v>
      </c>
      <c r="F69" s="12">
        <f>E69/Calculation!K$19*1000</f>
        <v>0</v>
      </c>
      <c r="G69" s="12">
        <f t="shared" si="3"/>
        <v>32.246768618699541</v>
      </c>
    </row>
    <row r="70" spans="1:7">
      <c r="A70" s="34">
        <v>32.5</v>
      </c>
      <c r="B70" s="12">
        <v>0</v>
      </c>
      <c r="C70" s="35">
        <f t="shared" ref="C70:C101" si="4">B70/1000</f>
        <v>0</v>
      </c>
      <c r="D70" s="12">
        <f t="shared" ref="D70:D101" si="5">C70/1000*$B$1</f>
        <v>0</v>
      </c>
      <c r="E70" s="12">
        <f t="shared" ref="E70:E101" si="6">D70/22.4</f>
        <v>0</v>
      </c>
      <c r="F70" s="12">
        <f>E70/Calculation!K$19*1000</f>
        <v>0</v>
      </c>
      <c r="G70" s="12">
        <f t="shared" si="3"/>
        <v>32.246768618699541</v>
      </c>
    </row>
    <row r="71" spans="1:7">
      <c r="A71" s="34">
        <v>33</v>
      </c>
      <c r="B71" s="12">
        <v>0</v>
      </c>
      <c r="C71" s="35">
        <f t="shared" si="4"/>
        <v>0</v>
      </c>
      <c r="D71" s="12">
        <f t="shared" si="5"/>
        <v>0</v>
      </c>
      <c r="E71" s="12">
        <f t="shared" si="6"/>
        <v>0</v>
      </c>
      <c r="F71" s="12">
        <f>E71/Calculation!K$19*1000</f>
        <v>0</v>
      </c>
      <c r="G71" s="12">
        <f t="shared" ref="G71:G101" si="7">G70+(F71+F70)/2*30</f>
        <v>32.246768618699541</v>
      </c>
    </row>
    <row r="72" spans="1:7">
      <c r="A72" s="34">
        <v>33.5</v>
      </c>
      <c r="B72" s="12">
        <v>0</v>
      </c>
      <c r="C72" s="35">
        <f t="shared" si="4"/>
        <v>0</v>
      </c>
      <c r="D72" s="12">
        <f t="shared" si="5"/>
        <v>0</v>
      </c>
      <c r="E72" s="12">
        <f t="shared" si="6"/>
        <v>0</v>
      </c>
      <c r="F72" s="12">
        <f>E72/Calculation!K$19*1000</f>
        <v>0</v>
      </c>
      <c r="G72" s="12">
        <f t="shared" si="7"/>
        <v>32.246768618699541</v>
      </c>
    </row>
    <row r="73" spans="1:7">
      <c r="A73" s="34">
        <v>34</v>
      </c>
      <c r="B73" s="12">
        <v>0</v>
      </c>
      <c r="C73" s="35">
        <f t="shared" si="4"/>
        <v>0</v>
      </c>
      <c r="D73" s="12">
        <f t="shared" si="5"/>
        <v>0</v>
      </c>
      <c r="E73" s="12">
        <f t="shared" si="6"/>
        <v>0</v>
      </c>
      <c r="F73" s="12">
        <f>E73/Calculation!K$19*1000</f>
        <v>0</v>
      </c>
      <c r="G73" s="12">
        <f t="shared" si="7"/>
        <v>32.246768618699541</v>
      </c>
    </row>
    <row r="74" spans="1:7">
      <c r="A74" s="34">
        <v>34.5</v>
      </c>
      <c r="B74" s="12">
        <v>0</v>
      </c>
      <c r="C74" s="35">
        <f t="shared" si="4"/>
        <v>0</v>
      </c>
      <c r="D74" s="12">
        <f t="shared" si="5"/>
        <v>0</v>
      </c>
      <c r="E74" s="12">
        <f t="shared" si="6"/>
        <v>0</v>
      </c>
      <c r="F74" s="12">
        <f>E74/Calculation!K$19*1000</f>
        <v>0</v>
      </c>
      <c r="G74" s="12">
        <f t="shared" si="7"/>
        <v>32.246768618699541</v>
      </c>
    </row>
    <row r="75" spans="1:7">
      <c r="A75" s="34">
        <v>35</v>
      </c>
      <c r="B75" s="12">
        <v>0</v>
      </c>
      <c r="C75" s="35">
        <f t="shared" si="4"/>
        <v>0</v>
      </c>
      <c r="D75" s="12">
        <f t="shared" si="5"/>
        <v>0</v>
      </c>
      <c r="E75" s="12">
        <f t="shared" si="6"/>
        <v>0</v>
      </c>
      <c r="F75" s="12">
        <f>E75/Calculation!K$19*1000</f>
        <v>0</v>
      </c>
      <c r="G75" s="12">
        <f t="shared" si="7"/>
        <v>32.246768618699541</v>
      </c>
    </row>
    <row r="76" spans="1:7">
      <c r="A76" s="34">
        <v>35.5</v>
      </c>
      <c r="B76" s="12">
        <v>0</v>
      </c>
      <c r="C76" s="35">
        <f t="shared" si="4"/>
        <v>0</v>
      </c>
      <c r="D76" s="12">
        <f t="shared" si="5"/>
        <v>0</v>
      </c>
      <c r="E76" s="12">
        <f t="shared" si="6"/>
        <v>0</v>
      </c>
      <c r="F76" s="12">
        <f>E76/Calculation!K$19*1000</f>
        <v>0</v>
      </c>
      <c r="G76" s="12">
        <f t="shared" si="7"/>
        <v>32.246768618699541</v>
      </c>
    </row>
    <row r="77" spans="1:7">
      <c r="A77" s="34">
        <v>36</v>
      </c>
      <c r="B77" s="12">
        <v>0</v>
      </c>
      <c r="C77" s="35">
        <f t="shared" si="4"/>
        <v>0</v>
      </c>
      <c r="D77" s="12">
        <f t="shared" si="5"/>
        <v>0</v>
      </c>
      <c r="E77" s="12">
        <f t="shared" si="6"/>
        <v>0</v>
      </c>
      <c r="F77" s="12">
        <f>E77/Calculation!K$19*1000</f>
        <v>0</v>
      </c>
      <c r="G77" s="12">
        <f t="shared" si="7"/>
        <v>32.246768618699541</v>
      </c>
    </row>
    <row r="78" spans="1:7">
      <c r="A78" s="34">
        <v>36.5</v>
      </c>
      <c r="B78" s="12">
        <v>0</v>
      </c>
      <c r="C78" s="35">
        <f t="shared" si="4"/>
        <v>0</v>
      </c>
      <c r="D78" s="12">
        <f t="shared" si="5"/>
        <v>0</v>
      </c>
      <c r="E78" s="12">
        <f t="shared" si="6"/>
        <v>0</v>
      </c>
      <c r="F78" s="12">
        <f>E78/Calculation!K$19*1000</f>
        <v>0</v>
      </c>
      <c r="G78" s="12">
        <f t="shared" si="7"/>
        <v>32.246768618699541</v>
      </c>
    </row>
    <row r="79" spans="1:7">
      <c r="A79" s="34">
        <v>37</v>
      </c>
      <c r="B79" s="12">
        <v>0</v>
      </c>
      <c r="C79" s="35">
        <f t="shared" si="4"/>
        <v>0</v>
      </c>
      <c r="D79" s="12">
        <f t="shared" si="5"/>
        <v>0</v>
      </c>
      <c r="E79" s="12">
        <f t="shared" si="6"/>
        <v>0</v>
      </c>
      <c r="F79" s="12">
        <f>E79/Calculation!K$19*1000</f>
        <v>0</v>
      </c>
      <c r="G79" s="12">
        <f t="shared" si="7"/>
        <v>32.246768618699541</v>
      </c>
    </row>
    <row r="80" spans="1:7">
      <c r="A80" s="34">
        <v>37.5</v>
      </c>
      <c r="B80" s="12">
        <v>0</v>
      </c>
      <c r="C80" s="35">
        <f t="shared" si="4"/>
        <v>0</v>
      </c>
      <c r="D80" s="12">
        <f t="shared" si="5"/>
        <v>0</v>
      </c>
      <c r="E80" s="12">
        <f t="shared" si="6"/>
        <v>0</v>
      </c>
      <c r="F80" s="12">
        <f>E80/Calculation!K$19*1000</f>
        <v>0</v>
      </c>
      <c r="G80" s="12">
        <f t="shared" si="7"/>
        <v>32.246768618699541</v>
      </c>
    </row>
    <row r="81" spans="1:7">
      <c r="A81" s="34">
        <v>38</v>
      </c>
      <c r="B81" s="12">
        <v>0</v>
      </c>
      <c r="C81" s="35">
        <f t="shared" si="4"/>
        <v>0</v>
      </c>
      <c r="D81" s="12">
        <f t="shared" si="5"/>
        <v>0</v>
      </c>
      <c r="E81" s="12">
        <f t="shared" si="6"/>
        <v>0</v>
      </c>
      <c r="F81" s="12">
        <f>E81/Calculation!K$19*1000</f>
        <v>0</v>
      </c>
      <c r="G81" s="12">
        <f t="shared" si="7"/>
        <v>32.246768618699541</v>
      </c>
    </row>
    <row r="82" spans="1:7">
      <c r="A82" s="34">
        <v>38.5</v>
      </c>
      <c r="B82" s="12">
        <v>0</v>
      </c>
      <c r="C82" s="35">
        <f t="shared" si="4"/>
        <v>0</v>
      </c>
      <c r="D82" s="12">
        <f t="shared" si="5"/>
        <v>0</v>
      </c>
      <c r="E82" s="12">
        <f t="shared" si="6"/>
        <v>0</v>
      </c>
      <c r="F82" s="12">
        <f>E82/Calculation!K$19*1000</f>
        <v>0</v>
      </c>
      <c r="G82" s="12">
        <f t="shared" si="7"/>
        <v>32.246768618699541</v>
      </c>
    </row>
    <row r="83" spans="1:7">
      <c r="A83" s="34">
        <v>39</v>
      </c>
      <c r="B83" s="12">
        <v>0</v>
      </c>
      <c r="C83" s="35">
        <f t="shared" si="4"/>
        <v>0</v>
      </c>
      <c r="D83" s="12">
        <f t="shared" si="5"/>
        <v>0</v>
      </c>
      <c r="E83" s="12">
        <f t="shared" si="6"/>
        <v>0</v>
      </c>
      <c r="F83" s="12">
        <f>E83/Calculation!K$19*1000</f>
        <v>0</v>
      </c>
      <c r="G83" s="12">
        <f t="shared" si="7"/>
        <v>32.246768618699541</v>
      </c>
    </row>
    <row r="84" spans="1:7">
      <c r="A84" s="34">
        <v>39.5</v>
      </c>
      <c r="B84" s="12">
        <v>0</v>
      </c>
      <c r="C84" s="35">
        <f t="shared" si="4"/>
        <v>0</v>
      </c>
      <c r="D84" s="12">
        <f t="shared" si="5"/>
        <v>0</v>
      </c>
      <c r="E84" s="12">
        <f t="shared" si="6"/>
        <v>0</v>
      </c>
      <c r="F84" s="12">
        <f>E84/Calculation!K$19*1000</f>
        <v>0</v>
      </c>
      <c r="G84" s="12">
        <f t="shared" si="7"/>
        <v>32.246768618699541</v>
      </c>
    </row>
    <row r="85" spans="1:7">
      <c r="A85" s="34">
        <v>40</v>
      </c>
      <c r="B85" s="12">
        <v>0</v>
      </c>
      <c r="C85" s="35">
        <f t="shared" si="4"/>
        <v>0</v>
      </c>
      <c r="D85" s="12">
        <f t="shared" si="5"/>
        <v>0</v>
      </c>
      <c r="E85" s="12">
        <f t="shared" si="6"/>
        <v>0</v>
      </c>
      <c r="F85" s="12">
        <f>E85/Calculation!K$19*1000</f>
        <v>0</v>
      </c>
      <c r="G85" s="12">
        <f t="shared" si="7"/>
        <v>32.246768618699541</v>
      </c>
    </row>
    <row r="86" spans="1:7">
      <c r="A86" s="34">
        <v>40.5</v>
      </c>
      <c r="B86" s="12">
        <v>0</v>
      </c>
      <c r="C86" s="35">
        <f t="shared" si="4"/>
        <v>0</v>
      </c>
      <c r="D86" s="12">
        <f t="shared" si="5"/>
        <v>0</v>
      </c>
      <c r="E86" s="12">
        <f t="shared" si="6"/>
        <v>0</v>
      </c>
      <c r="F86" s="12">
        <f>E86/Calculation!K$19*1000</f>
        <v>0</v>
      </c>
      <c r="G86" s="12">
        <f t="shared" si="7"/>
        <v>32.246768618699541</v>
      </c>
    </row>
    <row r="87" spans="1:7">
      <c r="A87" s="34">
        <v>41</v>
      </c>
      <c r="B87" s="12">
        <v>0</v>
      </c>
      <c r="C87" s="35">
        <f t="shared" si="4"/>
        <v>0</v>
      </c>
      <c r="D87" s="12">
        <f t="shared" si="5"/>
        <v>0</v>
      </c>
      <c r="E87" s="12">
        <f t="shared" si="6"/>
        <v>0</v>
      </c>
      <c r="F87" s="12">
        <f>E87/Calculation!K$19*1000</f>
        <v>0</v>
      </c>
      <c r="G87" s="12">
        <f t="shared" si="7"/>
        <v>32.246768618699541</v>
      </c>
    </row>
    <row r="88" spans="1:7">
      <c r="A88" s="34">
        <v>41.5</v>
      </c>
      <c r="B88" s="12">
        <v>0</v>
      </c>
      <c r="C88" s="35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E88/Calculation!K$19*1000</f>
        <v>0</v>
      </c>
      <c r="G88" s="12">
        <f t="shared" si="7"/>
        <v>32.246768618699541</v>
      </c>
    </row>
    <row r="89" spans="1:7">
      <c r="A89" s="34">
        <v>42</v>
      </c>
      <c r="B89" s="12">
        <v>0</v>
      </c>
      <c r="C89" s="35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E89/Calculation!K$19*1000</f>
        <v>0</v>
      </c>
      <c r="G89" s="12">
        <f t="shared" si="7"/>
        <v>32.246768618699541</v>
      </c>
    </row>
    <row r="90" spans="1:7">
      <c r="A90" s="34">
        <v>42.5</v>
      </c>
      <c r="B90" s="12">
        <v>0</v>
      </c>
      <c r="C90" s="35">
        <f t="shared" si="4"/>
        <v>0</v>
      </c>
      <c r="D90" s="12">
        <f t="shared" si="5"/>
        <v>0</v>
      </c>
      <c r="E90" s="12">
        <f t="shared" si="6"/>
        <v>0</v>
      </c>
      <c r="F90" s="12">
        <f>E90/Calculation!K$19*1000</f>
        <v>0</v>
      </c>
      <c r="G90" s="12">
        <f t="shared" si="7"/>
        <v>32.246768618699541</v>
      </c>
    </row>
    <row r="91" spans="1:7">
      <c r="A91" s="34">
        <v>43</v>
      </c>
      <c r="B91" s="12">
        <v>0</v>
      </c>
      <c r="C91" s="35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E91/Calculation!K$19*1000</f>
        <v>0</v>
      </c>
      <c r="G91" s="12">
        <f t="shared" si="7"/>
        <v>32.246768618699541</v>
      </c>
    </row>
    <row r="92" spans="1:7">
      <c r="A92" s="34">
        <v>43.5</v>
      </c>
      <c r="B92" s="12">
        <v>0</v>
      </c>
      <c r="C92" s="35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E92/Calculation!K$19*1000</f>
        <v>0</v>
      </c>
      <c r="G92" s="12">
        <f t="shared" si="7"/>
        <v>32.246768618699541</v>
      </c>
    </row>
    <row r="93" spans="1:7">
      <c r="A93" s="34">
        <v>44</v>
      </c>
      <c r="B93" s="12">
        <v>0</v>
      </c>
      <c r="C93" s="35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E93/Calculation!K$19*1000</f>
        <v>0</v>
      </c>
      <c r="G93" s="12">
        <f t="shared" si="7"/>
        <v>32.246768618699541</v>
      </c>
    </row>
    <row r="94" spans="1:7">
      <c r="A94" s="34">
        <v>44.5</v>
      </c>
      <c r="B94" s="12">
        <v>0</v>
      </c>
      <c r="C94" s="35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E94/Calculation!K$19*1000</f>
        <v>0</v>
      </c>
      <c r="G94" s="12">
        <f t="shared" si="7"/>
        <v>32.246768618699541</v>
      </c>
    </row>
    <row r="95" spans="1:7">
      <c r="A95" s="34">
        <v>45</v>
      </c>
      <c r="B95" s="12">
        <v>0</v>
      </c>
      <c r="C95" s="35">
        <f t="shared" si="4"/>
        <v>0</v>
      </c>
      <c r="D95" s="12">
        <f t="shared" si="5"/>
        <v>0</v>
      </c>
      <c r="E95" s="12">
        <f t="shared" si="6"/>
        <v>0</v>
      </c>
      <c r="F95" s="12">
        <f>E95/Calculation!K$19*1000</f>
        <v>0</v>
      </c>
      <c r="G95" s="12">
        <f t="shared" si="7"/>
        <v>32.246768618699541</v>
      </c>
    </row>
    <row r="96" spans="1:7">
      <c r="A96" s="34">
        <v>45.5</v>
      </c>
      <c r="B96" s="12">
        <v>0</v>
      </c>
      <c r="C96" s="35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E96/Calculation!K$19*1000</f>
        <v>0</v>
      </c>
      <c r="G96" s="12">
        <f t="shared" si="7"/>
        <v>32.246768618699541</v>
      </c>
    </row>
    <row r="97" spans="1:7">
      <c r="A97" s="34">
        <v>46</v>
      </c>
      <c r="B97" s="12">
        <v>0</v>
      </c>
      <c r="C97" s="35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E97/Calculation!K$19*1000</f>
        <v>0</v>
      </c>
      <c r="G97" s="12">
        <f t="shared" si="7"/>
        <v>32.246768618699541</v>
      </c>
    </row>
    <row r="98" spans="1:7">
      <c r="A98" s="34">
        <v>46.5</v>
      </c>
      <c r="B98" s="12">
        <v>0</v>
      </c>
      <c r="C98" s="35">
        <f t="shared" si="4"/>
        <v>0</v>
      </c>
      <c r="D98" s="12">
        <f t="shared" si="5"/>
        <v>0</v>
      </c>
      <c r="E98" s="12">
        <f t="shared" si="6"/>
        <v>0</v>
      </c>
      <c r="F98" s="12">
        <f>E98/Calculation!K$19*1000</f>
        <v>0</v>
      </c>
      <c r="G98" s="12">
        <f t="shared" si="7"/>
        <v>32.246768618699541</v>
      </c>
    </row>
    <row r="99" spans="1:7">
      <c r="A99" s="34">
        <v>47</v>
      </c>
      <c r="B99" s="12">
        <v>0</v>
      </c>
      <c r="C99" s="35">
        <f t="shared" si="4"/>
        <v>0</v>
      </c>
      <c r="D99" s="12">
        <f t="shared" si="5"/>
        <v>0</v>
      </c>
      <c r="E99" s="12">
        <f t="shared" si="6"/>
        <v>0</v>
      </c>
      <c r="F99" s="12">
        <f>E99/Calculation!K$19*1000</f>
        <v>0</v>
      </c>
      <c r="G99" s="12">
        <f t="shared" si="7"/>
        <v>32.246768618699541</v>
      </c>
    </row>
    <row r="100" spans="1:7">
      <c r="A100" s="34">
        <v>47.5</v>
      </c>
      <c r="B100" s="12">
        <v>0</v>
      </c>
      <c r="C100" s="35">
        <f t="shared" si="4"/>
        <v>0</v>
      </c>
      <c r="D100" s="12">
        <f t="shared" si="5"/>
        <v>0</v>
      </c>
      <c r="E100" s="12">
        <f t="shared" si="6"/>
        <v>0</v>
      </c>
      <c r="F100" s="12">
        <f>E100/Calculation!K$19*1000</f>
        <v>0</v>
      </c>
      <c r="G100" s="12">
        <f t="shared" si="7"/>
        <v>32.246768618699541</v>
      </c>
    </row>
    <row r="101" spans="1:7">
      <c r="A101" s="34">
        <v>48</v>
      </c>
      <c r="B101" s="12">
        <v>0</v>
      </c>
      <c r="C101" s="35">
        <f t="shared" si="4"/>
        <v>0</v>
      </c>
      <c r="D101" s="12">
        <f t="shared" si="5"/>
        <v>0</v>
      </c>
      <c r="E101" s="12">
        <f t="shared" si="6"/>
        <v>0</v>
      </c>
      <c r="F101" s="12">
        <f>E101/Calculation!K$20*1000</f>
        <v>0</v>
      </c>
      <c r="G101" s="12">
        <f t="shared" si="7"/>
        <v>32.246768618699541</v>
      </c>
    </row>
    <row r="102" spans="1:7">
      <c r="A102" s="34">
        <v>48.5</v>
      </c>
      <c r="B102" s="12">
        <v>0</v>
      </c>
      <c r="C102" s="35">
        <f t="shared" ref="C102:C105" si="8">B102/1000</f>
        <v>0</v>
      </c>
      <c r="D102" s="12">
        <f t="shared" ref="D102:D105" si="9">C102/1000*$B$1</f>
        <v>0</v>
      </c>
      <c r="E102" s="12">
        <f t="shared" ref="E102:E105" si="10">D102/22.4</f>
        <v>0</v>
      </c>
      <c r="F102" s="12">
        <f>E102/Calculation!K$4*1000</f>
        <v>0</v>
      </c>
      <c r="G102" s="12">
        <f t="shared" ref="G102:G105" si="11">G101+(F102+F101)/2*30</f>
        <v>32.246768618699541</v>
      </c>
    </row>
    <row r="103" spans="1:7">
      <c r="A103" s="34">
        <v>49</v>
      </c>
      <c r="B103" s="12">
        <v>0</v>
      </c>
      <c r="C103" s="35">
        <f t="shared" si="8"/>
        <v>0</v>
      </c>
      <c r="D103" s="12">
        <f t="shared" si="9"/>
        <v>0</v>
      </c>
      <c r="E103" s="12">
        <f t="shared" si="10"/>
        <v>0</v>
      </c>
      <c r="F103" s="12">
        <f>E103/Calculation!K$4*1000</f>
        <v>0</v>
      </c>
      <c r="G103" s="12">
        <f t="shared" si="11"/>
        <v>32.246768618699541</v>
      </c>
    </row>
    <row r="104" spans="1:7">
      <c r="A104" s="34">
        <v>49.5</v>
      </c>
      <c r="B104" s="12">
        <v>0</v>
      </c>
      <c r="C104" s="35">
        <f t="shared" si="8"/>
        <v>0</v>
      </c>
      <c r="D104" s="12">
        <f t="shared" si="9"/>
        <v>0</v>
      </c>
      <c r="E104" s="12">
        <f t="shared" si="10"/>
        <v>0</v>
      </c>
      <c r="F104" s="12">
        <f>E104/Calculation!K$4*1000</f>
        <v>0</v>
      </c>
      <c r="G104" s="12">
        <f t="shared" si="11"/>
        <v>32.246768618699541</v>
      </c>
    </row>
    <row r="105" spans="1:7">
      <c r="A105" s="34">
        <v>50</v>
      </c>
      <c r="B105" s="12">
        <v>0</v>
      </c>
      <c r="C105" s="35">
        <f t="shared" si="8"/>
        <v>0</v>
      </c>
      <c r="D105" s="12">
        <f t="shared" si="9"/>
        <v>0</v>
      </c>
      <c r="E105" s="12">
        <f t="shared" si="10"/>
        <v>0</v>
      </c>
      <c r="F105" s="12">
        <f>E105/Calculation!K$4*1000</f>
        <v>0</v>
      </c>
      <c r="G105" s="12">
        <f t="shared" si="11"/>
        <v>32.246768618699541</v>
      </c>
    </row>
    <row r="106" spans="1:7">
      <c r="B106" s="2">
        <v>0</v>
      </c>
    </row>
    <row r="107" spans="1:7">
      <c r="B107" s="10">
        <v>0</v>
      </c>
    </row>
    <row r="108" spans="1:7">
      <c r="B108" s="10">
        <v>0</v>
      </c>
    </row>
    <row r="109" spans="1:7">
      <c r="B109" s="10">
        <v>0</v>
      </c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J3" sqref="J3:K20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13" t="s">
        <v>41</v>
      </c>
      <c r="B1" s="113"/>
      <c r="D1" s="140" t="s">
        <v>4</v>
      </c>
      <c r="E1" s="140" t="s">
        <v>5</v>
      </c>
      <c r="F1" s="113" t="s">
        <v>141</v>
      </c>
      <c r="G1" s="113"/>
      <c r="H1" s="113"/>
      <c r="I1" s="113"/>
      <c r="J1" s="113" t="s">
        <v>42</v>
      </c>
      <c r="K1" s="113"/>
      <c r="L1" s="113"/>
      <c r="M1" s="113"/>
      <c r="N1" s="138" t="s">
        <v>43</v>
      </c>
      <c r="O1" s="111"/>
      <c r="P1" s="111"/>
      <c r="Q1" s="139"/>
      <c r="R1" s="113" t="s">
        <v>65</v>
      </c>
      <c r="S1" s="113"/>
      <c r="T1" s="113"/>
      <c r="U1" s="113"/>
    </row>
    <row r="2" spans="1:21">
      <c r="A2" s="113" t="s">
        <v>34</v>
      </c>
      <c r="B2" s="113"/>
      <c r="D2" s="140"/>
      <c r="E2" s="140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13" t="s">
        <v>35</v>
      </c>
      <c r="B3" s="14" t="s">
        <v>38</v>
      </c>
      <c r="D3" s="16">
        <v>0</v>
      </c>
      <c r="E3" s="62">
        <v>-0.16666666666666666</v>
      </c>
      <c r="F3" s="51">
        <v>49.755772646536414</v>
      </c>
      <c r="G3" s="51">
        <v>1.4052174649220246</v>
      </c>
      <c r="H3" s="13">
        <f>F3*Calculation!I3/Calculation!F22</f>
        <v>49.755772646536407</v>
      </c>
      <c r="I3" s="13">
        <f>G3*Calculation!I3/Calculation!F22</f>
        <v>1.4052174649220246</v>
      </c>
      <c r="J3" s="13">
        <v>0.28863232682060391</v>
      </c>
      <c r="K3" s="13">
        <v>3.8455834981547025E-2</v>
      </c>
      <c r="L3" s="13">
        <f>J3*Calculation!I3/Calculation!F22</f>
        <v>0.28863232682060391</v>
      </c>
      <c r="M3" s="13">
        <f>K3*Calculation!I3/Calculation!F22</f>
        <v>3.8455834981547025E-2</v>
      </c>
      <c r="N3" s="13">
        <v>48.515126283652513</v>
      </c>
      <c r="O3" s="13">
        <v>1.2418709024084393</v>
      </c>
      <c r="P3" s="13">
        <f>N3*Calculation!I3/Calculation!F22</f>
        <v>48.515126283652521</v>
      </c>
      <c r="Q3" s="13">
        <f>O3*Calculation!I3/Calculation!F22</f>
        <v>1.2418709024084393</v>
      </c>
      <c r="R3" s="13">
        <v>3.8960098486494315</v>
      </c>
      <c r="S3" s="13">
        <v>6.6370855166280593E-2</v>
      </c>
      <c r="T3" s="13">
        <f>R3*Calculation!I3/Calculation!F22</f>
        <v>3.8960098486494315</v>
      </c>
      <c r="U3" s="13">
        <f>S3*Calculation!I3/Calculation!F22</f>
        <v>6.6370855166280593E-2</v>
      </c>
    </row>
    <row r="4" spans="1:21">
      <c r="A4" s="113"/>
      <c r="B4" s="14" t="s">
        <v>39</v>
      </c>
      <c r="D4" s="16">
        <v>0</v>
      </c>
      <c r="E4" s="63">
        <v>0.16666666666666666</v>
      </c>
      <c r="F4" s="51">
        <v>48.279307282415623</v>
      </c>
      <c r="G4" s="51">
        <v>0.75529257074485379</v>
      </c>
      <c r="H4" s="13">
        <f>F4*Calculation!I4/Calculation!K3</f>
        <v>48.279307282415623</v>
      </c>
      <c r="I4" s="13">
        <f>G4*Calculation!I4/Calculation!K3</f>
        <v>0.75529257074485379</v>
      </c>
      <c r="J4" s="13">
        <v>0.27383066903493197</v>
      </c>
      <c r="K4" s="13">
        <v>3.3914858606837191E-2</v>
      </c>
      <c r="L4" s="13">
        <f>J4*Calculation!I4/Calculation!K3</f>
        <v>0.27383066903493197</v>
      </c>
      <c r="M4" s="13">
        <f>K4*Calculation!I4/Calculation!K3</f>
        <v>3.3914858606837191E-2</v>
      </c>
      <c r="N4" s="13">
        <v>48.348598390230357</v>
      </c>
      <c r="O4" s="13">
        <v>0.36837435521592188</v>
      </c>
      <c r="P4" s="13">
        <f>N4*Calculation!I4/Calculation!K3</f>
        <v>48.348598390230357</v>
      </c>
      <c r="Q4" s="13">
        <f>O4*Calculation!I4/Calculation!K3</f>
        <v>0.36837435521592193</v>
      </c>
      <c r="R4" s="13">
        <v>4.3160257802882178</v>
      </c>
      <c r="S4" s="13">
        <v>0.16449875721052273</v>
      </c>
      <c r="T4" s="13">
        <f>R4*Calculation!I4/Calculation!K3</f>
        <v>4.3160257802882178</v>
      </c>
      <c r="U4" s="13">
        <f>S4*Calculation!I4/Calculation!K3</f>
        <v>0.16449875721052273</v>
      </c>
    </row>
    <row r="5" spans="1:21">
      <c r="A5" s="15" t="s">
        <v>37</v>
      </c>
      <c r="B5" s="15">
        <v>180.16</v>
      </c>
      <c r="D5" s="16">
        <v>1</v>
      </c>
      <c r="E5" s="63">
        <v>2</v>
      </c>
      <c r="F5" s="51">
        <v>48.349615156897571</v>
      </c>
      <c r="G5" s="51">
        <v>0.53497550872912925</v>
      </c>
      <c r="H5" s="13">
        <f>F5*Calculation!I5/Calculation!K4</f>
        <v>48.349615156897571</v>
      </c>
      <c r="I5" s="13">
        <f>G5*Calculation!I5/Calculation!K4</f>
        <v>0.53497550872912925</v>
      </c>
      <c r="J5" s="13">
        <v>0.25162818235642392</v>
      </c>
      <c r="K5" s="13">
        <v>1.2818611660515679E-2</v>
      </c>
      <c r="L5" s="13">
        <f>J5*Calculation!I5/Calculation!K4</f>
        <v>0.25162818235642392</v>
      </c>
      <c r="M5" s="13">
        <f>K5*Calculation!I5/Calculation!K4</f>
        <v>1.2818611660515679E-2</v>
      </c>
      <c r="N5" s="13">
        <v>48.78157091312795</v>
      </c>
      <c r="O5" s="13">
        <v>0.82146259155974333</v>
      </c>
      <c r="P5" s="13">
        <f>N5*Calculation!I5/Calculation!K4</f>
        <v>48.78157091312795</v>
      </c>
      <c r="Q5" s="13">
        <f>O5*Calculation!I5/Calculation!K4</f>
        <v>0.82146259155974333</v>
      </c>
      <c r="R5" s="13">
        <v>4.7070750959519154</v>
      </c>
      <c r="S5" s="13">
        <v>0.10034330118437995</v>
      </c>
      <c r="T5" s="13">
        <f>R5*Calculation!I5/Calculation!K4</f>
        <v>4.7070750959519154</v>
      </c>
      <c r="U5" s="13">
        <f>S5*Calculation!I5/Calculation!K4</f>
        <v>0.10034330118437995</v>
      </c>
    </row>
    <row r="6" spans="1:21">
      <c r="A6" s="15" t="s">
        <v>40</v>
      </c>
      <c r="B6" s="15">
        <v>180.16</v>
      </c>
      <c r="D6" s="16">
        <v>2</v>
      </c>
      <c r="E6" s="63">
        <v>3.3333333333333335</v>
      </c>
      <c r="F6" s="51">
        <v>48.231201894612191</v>
      </c>
      <c r="G6" s="51">
        <v>0.58598723795511998</v>
      </c>
      <c r="H6" s="13">
        <f>F6*Calculation!I6/Calculation!K5</f>
        <v>48.231201894612191</v>
      </c>
      <c r="I6" s="13">
        <f>G6*Calculation!I6/Calculation!K5</f>
        <v>0.58598723795511998</v>
      </c>
      <c r="J6" s="13">
        <v>0.30343398460627591</v>
      </c>
      <c r="K6" s="13">
        <v>2.5637223321031345E-2</v>
      </c>
      <c r="L6" s="13">
        <f>J6*Calculation!I6/Calculation!K5</f>
        <v>0.30343398460627591</v>
      </c>
      <c r="M6" s="13">
        <f>K6*Calculation!I6/Calculation!K5</f>
        <v>2.5637223321031345E-2</v>
      </c>
      <c r="N6" s="13">
        <v>49.136830419095205</v>
      </c>
      <c r="O6" s="13">
        <v>0.45463436534983515</v>
      </c>
      <c r="P6" s="13">
        <f>N6*Calculation!I6/Calculation!K5</f>
        <v>49.136830419095205</v>
      </c>
      <c r="Q6" s="13">
        <f>O6*Calculation!I6/Calculation!K5</f>
        <v>0.45463436534983515</v>
      </c>
      <c r="R6" s="13">
        <v>4.8519081758273588</v>
      </c>
      <c r="S6" s="13">
        <v>0.19592655888867688</v>
      </c>
      <c r="T6" s="13">
        <f>R6*Calculation!I6/Calculation!K5</f>
        <v>4.8519081758273588</v>
      </c>
      <c r="U6" s="13">
        <f>S6*Calculation!I6/Calculation!K5</f>
        <v>0.19592655888867688</v>
      </c>
    </row>
    <row r="7" spans="1:21">
      <c r="A7" s="31" t="s">
        <v>115</v>
      </c>
      <c r="B7" s="31">
        <v>46.03</v>
      </c>
      <c r="D7" s="16">
        <v>3</v>
      </c>
      <c r="E7" s="63">
        <v>4.666666666666667</v>
      </c>
      <c r="F7" s="51">
        <v>48.660449970396684</v>
      </c>
      <c r="G7" s="51">
        <v>1.4269452572394241</v>
      </c>
      <c r="H7" s="13">
        <f>F7*Calculation!I7/Calculation!K6</f>
        <v>48.695407190203007</v>
      </c>
      <c r="I7" s="13">
        <f>G7*Calculation!I7/Calculation!K6</f>
        <v>1.4279703615908892</v>
      </c>
      <c r="J7" s="13">
        <v>0.34783895796329189</v>
      </c>
      <c r="K7" s="13">
        <v>3.3914858606837198E-2</v>
      </c>
      <c r="L7" s="13">
        <f>J7*Calculation!I7/Calculation!K6</f>
        <v>0.34808884227217357</v>
      </c>
      <c r="M7" s="13">
        <f>K7*Calculation!I7/Calculation!K6</f>
        <v>3.393922272939958E-2</v>
      </c>
      <c r="N7" s="13">
        <v>49.081321121287822</v>
      </c>
      <c r="O7" s="13">
        <v>1.1192524594951792</v>
      </c>
      <c r="P7" s="13">
        <f>N7*Calculation!I7/Calculation!K6</f>
        <v>49.116580691058864</v>
      </c>
      <c r="Q7" s="13">
        <f>O7*Calculation!I7/Calculation!K6</f>
        <v>1.1200565201701038</v>
      </c>
      <c r="R7" s="13">
        <v>5.1705409515533347</v>
      </c>
      <c r="S7" s="13">
        <v>0.18939382765764368</v>
      </c>
      <c r="T7" s="13">
        <f>R7*Calculation!I7/Calculation!K6</f>
        <v>5.1742554206277269</v>
      </c>
      <c r="U7" s="13">
        <f>S7*Calculation!I7/Calculation!K6</f>
        <v>0.18952988644188049</v>
      </c>
    </row>
    <row r="8" spans="1:21">
      <c r="A8" s="15" t="s">
        <v>43</v>
      </c>
      <c r="B8" s="15">
        <v>60.05</v>
      </c>
      <c r="D8" s="16">
        <v>4</v>
      </c>
      <c r="E8" s="63">
        <v>6</v>
      </c>
      <c r="F8" s="51">
        <v>47.010065127294261</v>
      </c>
      <c r="G8" s="51">
        <v>0.90502938805365418</v>
      </c>
      <c r="H8" s="13">
        <f>F8*Calculation!I8/Calculation!K7</f>
        <v>47.078632463028477</v>
      </c>
      <c r="I8" s="13">
        <f>G8*Calculation!I8/Calculation!K7</f>
        <v>0.90634943416999059</v>
      </c>
      <c r="J8" s="13">
        <v>0.3404381290704559</v>
      </c>
      <c r="K8" s="13">
        <v>3.3914858606837198E-2</v>
      </c>
      <c r="L8" s="13">
        <f>J8*Calculation!I8/Calculation!K7</f>
        <v>0.34093468093502993</v>
      </c>
      <c r="M8" s="13">
        <f>K8*Calculation!I8/Calculation!K7</f>
        <v>3.3964325704791153E-2</v>
      </c>
      <c r="N8" s="13">
        <v>47.626977518734392</v>
      </c>
      <c r="O8" s="13">
        <v>0.96067977364569335</v>
      </c>
      <c r="P8" s="13">
        <f>N8*Calculation!I8/Calculation!K7</f>
        <v>47.696444662604335</v>
      </c>
      <c r="Q8" s="13">
        <f>O8*Calculation!I8/Calculation!K7</f>
        <v>0.9620809895851794</v>
      </c>
      <c r="R8" s="13">
        <v>6.1264392787312625</v>
      </c>
      <c r="S8" s="13">
        <v>4.3449923962632503E-2</v>
      </c>
      <c r="T8" s="13">
        <f>R8*Calculation!I8/Calculation!K7</f>
        <v>6.1353751016819986</v>
      </c>
      <c r="U8" s="13">
        <f>S8*Calculation!I8/Calculation!K7</f>
        <v>4.3513298593488785E-2</v>
      </c>
    </row>
    <row r="9" spans="1:21">
      <c r="A9" s="31" t="s">
        <v>67</v>
      </c>
      <c r="B9" s="31">
        <v>74.08</v>
      </c>
      <c r="D9" s="16">
        <v>5</v>
      </c>
      <c r="E9" s="63">
        <v>7.333333333333333</v>
      </c>
      <c r="F9" s="51">
        <v>44.464179988158676</v>
      </c>
      <c r="G9" s="51">
        <v>1.0874875282452214</v>
      </c>
      <c r="H9" s="13">
        <f>F9*Calculation!I9/Calculation!K8</f>
        <v>44.665312583889289</v>
      </c>
      <c r="I9" s="13">
        <f>G9*Calculation!I9/Calculation!K8</f>
        <v>1.0924067506268977</v>
      </c>
      <c r="J9" s="13">
        <v>0.3182356423919479</v>
      </c>
      <c r="K9" s="13">
        <v>4.6218161622249836E-2</v>
      </c>
      <c r="L9" s="13">
        <f>J9*Calculation!I9/Calculation!K8</f>
        <v>0.3196751732868241</v>
      </c>
      <c r="M9" s="13">
        <f>K9*Calculation!I9/Calculation!K8</f>
        <v>4.6427228309625056E-2</v>
      </c>
      <c r="N9" s="13">
        <v>45.639744657230082</v>
      </c>
      <c r="O9" s="13">
        <v>1.2596085904394805</v>
      </c>
      <c r="P9" s="13">
        <f>N9*Calculation!I9/Calculation!K8</f>
        <v>45.846194890065497</v>
      </c>
      <c r="Q9" s="13">
        <f>O9*Calculation!I9/Calculation!K8</f>
        <v>1.2653063981009991</v>
      </c>
      <c r="R9" s="13">
        <v>8.7189514085017006</v>
      </c>
      <c r="S9" s="13">
        <v>0.23930352149841813</v>
      </c>
      <c r="T9" s="13">
        <f>R9*Calculation!I9/Calculation!K8</f>
        <v>8.7583913650984044</v>
      </c>
      <c r="U9" s="13">
        <f>S9*Calculation!I9/Calculation!K8</f>
        <v>0.24038600493698081</v>
      </c>
    </row>
    <row r="10" spans="1:21">
      <c r="A10" s="31" t="s">
        <v>66</v>
      </c>
      <c r="B10" s="31">
        <v>88.11</v>
      </c>
      <c r="D10" s="16">
        <v>6</v>
      </c>
      <c r="E10" s="63">
        <v>8.6666666666666661</v>
      </c>
      <c r="F10" s="51">
        <v>41.489046773238606</v>
      </c>
      <c r="G10" s="51">
        <v>0.50389536887783382</v>
      </c>
      <c r="H10" s="13">
        <f>F10*Calculation!I10/Calculation!K9</f>
        <v>41.940081438005116</v>
      </c>
      <c r="I10" s="13">
        <f>G10*Calculation!I10/Calculation!K9</f>
        <v>0.50937330333174868</v>
      </c>
      <c r="J10" s="13">
        <v>0.35523978685612789</v>
      </c>
      <c r="K10" s="13">
        <v>2.2202486678508014E-2</v>
      </c>
      <c r="L10" s="13">
        <f>J10*Calculation!I10/Calculation!K9</f>
        <v>0.35910166054660103</v>
      </c>
      <c r="M10" s="13">
        <f>K10*Calculation!I10/Calculation!K9</f>
        <v>2.2443853784162585E-2</v>
      </c>
      <c r="N10" s="13">
        <v>43.763530391340552</v>
      </c>
      <c r="O10" s="13">
        <v>1.0828155341887689</v>
      </c>
      <c r="P10" s="13">
        <f>N10*Calculation!I10/Calculation!K9</f>
        <v>44.239291364277371</v>
      </c>
      <c r="Q10" s="13">
        <f>O10*Calculation!I10/Calculation!K9</f>
        <v>1.0945870107458495</v>
      </c>
      <c r="R10" s="13">
        <v>13.976392207980304</v>
      </c>
      <c r="S10" s="13">
        <v>6.6370855166280607E-2</v>
      </c>
      <c r="T10" s="13">
        <f>R10*Calculation!I10/Calculation!K9</f>
        <v>14.128332005696691</v>
      </c>
      <c r="U10" s="13">
        <f>S10*Calculation!I10/Calculation!K9</f>
        <v>6.7092384310437736E-2</v>
      </c>
    </row>
    <row r="11" spans="1:21">
      <c r="A11" s="15" t="s">
        <v>42</v>
      </c>
      <c r="B11" s="15">
        <v>90.08</v>
      </c>
      <c r="D11" s="16">
        <v>7</v>
      </c>
      <c r="E11" s="63">
        <v>10</v>
      </c>
      <c r="F11" s="51">
        <v>36.637803433984601</v>
      </c>
      <c r="G11" s="51">
        <v>0.35216204863758627</v>
      </c>
      <c r="H11" s="13">
        <f>F11*Calculation!I11/Calculation!K10</f>
        <v>37.275621451718806</v>
      </c>
      <c r="I11" s="13">
        <f>G11*Calculation!I11/Calculation!K10</f>
        <v>0.35829274640684422</v>
      </c>
      <c r="J11" s="13">
        <v>0.39964476021314388</v>
      </c>
      <c r="K11" s="13">
        <v>0</v>
      </c>
      <c r="L11" s="13">
        <f>J11*Calculation!I11/Calculation!K10</f>
        <v>0.40660207219327654</v>
      </c>
      <c r="M11" s="13">
        <f>K11*Calculation!I11/Calculation!K10</f>
        <v>0</v>
      </c>
      <c r="N11" s="13">
        <v>41.321121287815714</v>
      </c>
      <c r="O11" s="13">
        <v>0.34665545369960554</v>
      </c>
      <c r="P11" s="13">
        <f>N11*Calculation!I11/Calculation!K10</f>
        <v>42.040469971418901</v>
      </c>
      <c r="Q11" s="13">
        <f>O11*Calculation!I11/Calculation!K10</f>
        <v>0.35269028858575868</v>
      </c>
      <c r="R11" s="13">
        <v>20.291114490549642</v>
      </c>
      <c r="S11" s="13">
        <v>0.18939382765764265</v>
      </c>
      <c r="T11" s="13">
        <f>R11*Calculation!I11/Calculation!K10</f>
        <v>20.644357240085636</v>
      </c>
      <c r="U11" s="13">
        <f>S11*Calculation!I11/Calculation!K10</f>
        <v>0.19269093568283718</v>
      </c>
    </row>
    <row r="12" spans="1:21">
      <c r="A12" s="15" t="s">
        <v>44</v>
      </c>
      <c r="B12" s="15">
        <v>46.07</v>
      </c>
      <c r="D12" s="16">
        <v>8</v>
      </c>
      <c r="E12" s="63">
        <v>11.333333333333334</v>
      </c>
      <c r="F12" s="51">
        <v>29.351687388987568</v>
      </c>
      <c r="G12" s="51">
        <v>0.27124315548114053</v>
      </c>
      <c r="H12" s="13">
        <f>F12*Calculation!I12/Calculation!K11</f>
        <v>30.035708536562115</v>
      </c>
      <c r="I12" s="13">
        <f>G12*Calculation!I12/Calculation!K11</f>
        <v>0.27756429307112324</v>
      </c>
      <c r="J12" s="13">
        <v>0.37004144464179989</v>
      </c>
      <c r="K12" s="13">
        <v>2.563722332103132E-2</v>
      </c>
      <c r="L12" s="13">
        <f>J12*Calculation!I12/Calculation!K11</f>
        <v>0.37866500928595703</v>
      </c>
      <c r="M12" s="13">
        <f>K12*Calculation!I12/Calculation!K11</f>
        <v>2.6234681405272714E-2</v>
      </c>
      <c r="N12" s="13">
        <v>35.303913405495422</v>
      </c>
      <c r="O12" s="13">
        <v>6.661115736885935E-2</v>
      </c>
      <c r="P12" s="13">
        <f>N12*Calculation!I12/Calculation!K11</f>
        <v>36.126647139384936</v>
      </c>
      <c r="Q12" s="13">
        <f>O12*Calculation!I12/Calculation!K11</f>
        <v>6.8163485168650881E-2</v>
      </c>
      <c r="R12" s="13">
        <v>24.969222970526459</v>
      </c>
      <c r="S12" s="13">
        <v>0.25459332075091545</v>
      </c>
      <c r="T12" s="13">
        <f>R12*Calculation!I12/Calculation!K11</f>
        <v>25.551113760108539</v>
      </c>
      <c r="U12" s="13">
        <f>S12*Calculation!I12/Calculation!K11</f>
        <v>0.2605264452461768</v>
      </c>
    </row>
    <row r="13" spans="1:21">
      <c r="D13" s="16">
        <v>9</v>
      </c>
      <c r="E13" s="63">
        <v>12.666666666666666</v>
      </c>
      <c r="F13" s="51">
        <v>24.40793368857312</v>
      </c>
      <c r="G13" s="51">
        <v>8.1828539030104966E-2</v>
      </c>
      <c r="H13" s="13">
        <f>F13*Calculation!I13/Calculation!K12</f>
        <v>25.061916200097638</v>
      </c>
      <c r="I13" s="13">
        <f>G13*Calculation!I13/Calculation!K12</f>
        <v>8.4021040622091175E-2</v>
      </c>
      <c r="J13" s="13">
        <v>0.43664890467732381</v>
      </c>
      <c r="K13" s="13">
        <v>1.2818611660515679E-2</v>
      </c>
      <c r="L13" s="13">
        <f>J13*Calculation!I13/Calculation!K12</f>
        <v>0.44834840988652541</v>
      </c>
      <c r="M13" s="13">
        <f>K13*Calculation!I13/Calculation!K12</f>
        <v>1.3162071617223372E-2</v>
      </c>
      <c r="N13" s="13">
        <v>30.763252844851518</v>
      </c>
      <c r="O13" s="13">
        <v>0.25869953256133343</v>
      </c>
      <c r="P13" s="13">
        <f>N13*Calculation!I13/Calculation!K12</f>
        <v>31.587518823890893</v>
      </c>
      <c r="Q13" s="13">
        <f>O13*Calculation!I13/Calculation!K12</f>
        <v>0.26563108900496168</v>
      </c>
      <c r="R13" s="13">
        <v>28.894199435150988</v>
      </c>
      <c r="S13" s="13">
        <v>0.15666092876228516</v>
      </c>
      <c r="T13" s="13">
        <f>R13*Calculation!I13/Calculation!K12</f>
        <v>29.668386277683133</v>
      </c>
      <c r="U13" s="13">
        <f>S13*Calculation!I13/Calculation!K12</f>
        <v>0.16085847817211857</v>
      </c>
    </row>
    <row r="14" spans="1:21">
      <c r="D14" s="16">
        <v>10</v>
      </c>
      <c r="E14" s="63">
        <v>14</v>
      </c>
      <c r="F14" s="51">
        <v>22.986974541148612</v>
      </c>
      <c r="G14" s="51">
        <v>0.47752554487094007</v>
      </c>
      <c r="H14" s="13">
        <f>F14*Calculation!I14/Calculation!K13</f>
        <v>23.644882100957521</v>
      </c>
      <c r="I14" s="13">
        <f>G14*Calculation!I14/Calculation!K13</f>
        <v>0.49119274867847351</v>
      </c>
      <c r="J14" s="13">
        <v>0.54026050917702784</v>
      </c>
      <c r="K14" s="13">
        <v>5.1274446642062689E-2</v>
      </c>
      <c r="L14" s="13">
        <f>J14*Calculation!I14/Calculation!K13</f>
        <v>0.5557232431970055</v>
      </c>
      <c r="M14" s="13">
        <f>K14*Calculation!I14/Calculation!K13</f>
        <v>5.274196669392707E-2</v>
      </c>
      <c r="N14" s="13">
        <v>30.008326394671112</v>
      </c>
      <c r="O14" s="13">
        <v>0.35089604505754363</v>
      </c>
      <c r="P14" s="13">
        <f>N14*Calculation!I14/Calculation!K13</f>
        <v>30.867191259941929</v>
      </c>
      <c r="Q14" s="13">
        <f>O14*Calculation!I14/Calculation!K13</f>
        <v>0.36093900048593863</v>
      </c>
      <c r="R14" s="13">
        <v>31.226012021145621</v>
      </c>
      <c r="S14" s="13">
        <v>0.50359442829209144</v>
      </c>
      <c r="T14" s="13">
        <f>R14*Calculation!I14/Calculation!K13</f>
        <v>32.119728126961128</v>
      </c>
      <c r="U14" s="13">
        <f>S14*Calculation!I14/Calculation!K13</f>
        <v>0.51800774661973503</v>
      </c>
    </row>
    <row r="15" spans="1:21">
      <c r="D15" s="16">
        <v>11</v>
      </c>
      <c r="E15" s="63">
        <v>15.333333333333334</v>
      </c>
      <c r="F15" s="51">
        <v>21.321788040260511</v>
      </c>
      <c r="G15" s="51">
        <v>0.11230011031300685</v>
      </c>
      <c r="H15" s="13">
        <f>F15*Calculation!I15/Calculation!K14</f>
        <v>21.932036488364012</v>
      </c>
      <c r="I15" s="13">
        <f>G15*Calculation!I15/Calculation!K14</f>
        <v>0.11551423888003706</v>
      </c>
      <c r="J15" s="13">
        <v>0.70307874481941979</v>
      </c>
      <c r="K15" s="13">
        <v>2.5637223321031358E-2</v>
      </c>
      <c r="L15" s="13">
        <f>J15*Calculation!I15/Calculation!K14</f>
        <v>0.72320148087281533</v>
      </c>
      <c r="M15" s="13">
        <f>K15*Calculation!I15/Calculation!K14</f>
        <v>2.6370983346963549E-2</v>
      </c>
      <c r="N15" s="13">
        <v>29.175686927560367</v>
      </c>
      <c r="O15" s="13">
        <v>0.66527841317029812</v>
      </c>
      <c r="P15" s="13">
        <f>N15*Calculation!I15/Calculation!K14</f>
        <v>30.010720914216574</v>
      </c>
      <c r="Q15" s="13">
        <f>O15*Calculation!I15/Calculation!K14</f>
        <v>0.68431927027043149</v>
      </c>
      <c r="R15" s="13">
        <v>31.906727496560215</v>
      </c>
      <c r="S15" s="13">
        <v>0.24706672618193923</v>
      </c>
      <c r="T15" s="13">
        <f>R15*Calculation!I15/Calculation!K14</f>
        <v>32.819926281862429</v>
      </c>
      <c r="U15" s="13">
        <f>S15*Calculation!I15/Calculation!K14</f>
        <v>0.2541379945927239</v>
      </c>
    </row>
    <row r="16" spans="1:21">
      <c r="D16" s="16">
        <v>12</v>
      </c>
      <c r="E16" s="63">
        <v>16.666666666666668</v>
      </c>
      <c r="F16" s="51">
        <v>20.455891059798702</v>
      </c>
      <c r="G16" s="51">
        <v>6.4093058302578415E-2</v>
      </c>
      <c r="H16" s="13">
        <f>F16*Calculation!I16/Calculation!K15</f>
        <v>21.06186491481521</v>
      </c>
      <c r="I16" s="13">
        <f>G16*Calculation!I16/Calculation!K15</f>
        <v>6.5991715149443408E-2</v>
      </c>
      <c r="J16" s="13">
        <v>0.9843102427471877</v>
      </c>
      <c r="K16" s="13">
        <v>1.2818611660515681E-2</v>
      </c>
      <c r="L16" s="13">
        <f>J16*Calculation!I16/Calculation!K15</f>
        <v>1.0134688978547113</v>
      </c>
      <c r="M16" s="13">
        <f>K16*Calculation!I16/Calculation!K15</f>
        <v>1.319834302988868E-2</v>
      </c>
      <c r="N16" s="13">
        <v>29.353316680543994</v>
      </c>
      <c r="O16" s="13">
        <v>0.44351894211353199</v>
      </c>
      <c r="P16" s="13">
        <f>N16*Calculation!I16/Calculation!K15</f>
        <v>30.222862886790001</v>
      </c>
      <c r="Q16" s="13">
        <f>O16*Calculation!I16/Calculation!K15</f>
        <v>0.45665749874446587</v>
      </c>
      <c r="R16" s="13">
        <v>32.601926279962342</v>
      </c>
      <c r="S16" s="13">
        <v>0.32899751442104586</v>
      </c>
      <c r="T16" s="13">
        <f>R16*Calculation!I16/Calculation!K15</f>
        <v>33.567707476737404</v>
      </c>
      <c r="U16" s="13">
        <f>S16*Calculation!I16/Calculation!K15</f>
        <v>0.33874355244607096</v>
      </c>
    </row>
    <row r="17" spans="4:21">
      <c r="D17" s="16">
        <v>13</v>
      </c>
      <c r="E17" s="63">
        <v>18</v>
      </c>
      <c r="F17" s="51">
        <v>19.65290112492599</v>
      </c>
      <c r="G17" s="51">
        <v>0.22044658094444242</v>
      </c>
      <c r="H17" s="13">
        <f>F17*Calculation!I17/Calculation!K16</f>
        <v>20.235087656038989</v>
      </c>
      <c r="I17" s="13">
        <f>G17*Calculation!I17/Calculation!K16</f>
        <v>0.22697696693885366</v>
      </c>
      <c r="J17" s="13">
        <v>1.2877442273534636</v>
      </c>
      <c r="K17" s="13">
        <v>0</v>
      </c>
      <c r="L17" s="13">
        <f>J17*Calculation!I17/Calculation!K16</f>
        <v>1.3258916408024042</v>
      </c>
      <c r="M17" s="13">
        <f>K17*Calculation!I17/Calculation!K16</f>
        <v>0</v>
      </c>
      <c r="N17" s="13">
        <v>29.564252012212044</v>
      </c>
      <c r="O17" s="13">
        <v>0.30220721818076524</v>
      </c>
      <c r="P17" s="13">
        <f>N17*Calculation!I17/Calculation!K16</f>
        <v>30.440046848533193</v>
      </c>
      <c r="Q17" s="13">
        <f>O17*Calculation!I17/Calculation!K16</f>
        <v>0.31115963548096842</v>
      </c>
      <c r="R17" s="13">
        <v>33.282641755376929</v>
      </c>
      <c r="S17" s="13">
        <v>0.4279321226068265</v>
      </c>
      <c r="T17" s="13">
        <f>R17*Calculation!I17/Calculation!K16</f>
        <v>34.268588085980703</v>
      </c>
      <c r="U17" s="13">
        <f>S17*Calculation!I17/Calculation!K16</f>
        <v>0.44060894403021977</v>
      </c>
    </row>
    <row r="18" spans="4:21">
      <c r="D18" s="16">
        <v>14</v>
      </c>
      <c r="E18" s="63">
        <v>24</v>
      </c>
      <c r="F18" s="51">
        <v>18.091326228537593</v>
      </c>
      <c r="G18" s="51">
        <v>0.31581687823196991</v>
      </c>
      <c r="H18" s="13">
        <f>F18*Calculation!I18/Calculation!K17</f>
        <v>18.647434746328965</v>
      </c>
      <c r="I18" s="13">
        <f>G18*Calculation!I18/Calculation!K17</f>
        <v>0.32552475999964481</v>
      </c>
      <c r="J18" s="13">
        <v>2.1758436944937838</v>
      </c>
      <c r="K18" s="13">
        <v>3.8455834981547039E-2</v>
      </c>
      <c r="L18" s="13">
        <f>J18*Calculation!I18/Calculation!K17</f>
        <v>2.2427268625161454</v>
      </c>
      <c r="M18" s="13">
        <f>K18*Calculation!I18/Calculation!K17</f>
        <v>3.9637927279362314E-2</v>
      </c>
      <c r="N18" s="13">
        <v>28.853733000277547</v>
      </c>
      <c r="O18" s="13">
        <v>0.43975136986596453</v>
      </c>
      <c r="P18" s="13">
        <f>N18*Calculation!I18/Calculation!K17</f>
        <v>29.740666688213668</v>
      </c>
      <c r="Q18" s="13">
        <f>O18*Calculation!I18/Calculation!K17</f>
        <v>0.45326886877144168</v>
      </c>
      <c r="R18" s="13">
        <v>33.630241147077989</v>
      </c>
      <c r="S18" s="13">
        <v>0.37878765531528807</v>
      </c>
      <c r="T18" s="13">
        <f>R18*Calculation!I18/Calculation!K17</f>
        <v>34.663999718506929</v>
      </c>
      <c r="U18" s="13">
        <f>S18*Calculation!I18/Calculation!K17</f>
        <v>0.39043119315734937</v>
      </c>
    </row>
    <row r="19" spans="4:21">
      <c r="D19" s="16">
        <v>15</v>
      </c>
      <c r="E19" s="63">
        <v>30</v>
      </c>
      <c r="F19" s="51">
        <v>17.943309650680877</v>
      </c>
      <c r="G19" s="51">
        <v>4.2028628965365744E-2</v>
      </c>
      <c r="H19" s="13">
        <f>F19*Calculation!I19/Calculation!K18</f>
        <v>18.49486829309658</v>
      </c>
      <c r="I19" s="13">
        <f>G19*Calculation!I19/Calculation!K18</f>
        <v>4.3320545227528158E-2</v>
      </c>
      <c r="J19" s="13">
        <v>2.4274718768502073</v>
      </c>
      <c r="K19" s="13">
        <v>6.4093058302578415E-2</v>
      </c>
      <c r="L19" s="13">
        <f>J19*Calculation!I19/Calculation!K18</f>
        <v>2.5020898330112096</v>
      </c>
      <c r="M19" s="13">
        <f>K19*Calculation!I19/Calculation!K18</f>
        <v>6.6063212132270538E-2</v>
      </c>
      <c r="N19" s="13">
        <v>28.831529281154598</v>
      </c>
      <c r="O19" s="13">
        <v>0.12609288583514358</v>
      </c>
      <c r="P19" s="13">
        <f>N19*Calculation!I19/Calculation!K18</f>
        <v>29.71778044990031</v>
      </c>
      <c r="Q19" s="13">
        <f>O19*Calculation!I19/Calculation!K18</f>
        <v>0.12996884976172446</v>
      </c>
      <c r="R19" s="13">
        <v>33.514374683177635</v>
      </c>
      <c r="S19" s="13">
        <v>0.16449875721052293</v>
      </c>
      <c r="T19" s="13">
        <f>R19*Calculation!I19/Calculation!K18</f>
        <v>34.544571640234729</v>
      </c>
      <c r="U19" s="13">
        <f>S19*Calculation!I19/Calculation!K18</f>
        <v>0.16955527760572567</v>
      </c>
    </row>
    <row r="20" spans="4:21">
      <c r="D20" s="16">
        <v>16</v>
      </c>
      <c r="E20" s="63">
        <v>48</v>
      </c>
      <c r="F20" s="51">
        <v>17.613972764949676</v>
      </c>
      <c r="G20" s="51">
        <v>5.4761133018608889E-2</v>
      </c>
      <c r="H20" s="13">
        <f>F20*Calculation!I20/Calculation!K19</f>
        <v>18.155407934654509</v>
      </c>
      <c r="I20" s="13">
        <f>G20*Calculation!I20/Calculation!K19</f>
        <v>5.6444433188583013E-2</v>
      </c>
      <c r="J20" s="13">
        <v>2.6791000592066312</v>
      </c>
      <c r="K20" s="13">
        <v>1.2818611660515681E-2</v>
      </c>
      <c r="L20" s="13">
        <f>J20*Calculation!I20/Calculation!K19</f>
        <v>2.7614528035062738</v>
      </c>
      <c r="M20" s="13">
        <f>K20*Calculation!I20/Calculation!K19</f>
        <v>1.3212642426454105E-2</v>
      </c>
      <c r="N20" s="13">
        <v>28.875936719400499</v>
      </c>
      <c r="O20" s="13">
        <v>0.20799327221976366</v>
      </c>
      <c r="P20" s="13">
        <f>N20*Calculation!I20/Calculation!K19</f>
        <v>29.76355292652703</v>
      </c>
      <c r="Q20" s="13">
        <f>O20*Calculation!I20/Calculation!K19</f>
        <v>0.21438676868672002</v>
      </c>
      <c r="R20" s="13">
        <v>33.384024911289735</v>
      </c>
      <c r="S20" s="13">
        <v>0.31432449003129437</v>
      </c>
      <c r="T20" s="13">
        <f>R20*Calculation!I20/Calculation!K19</f>
        <v>34.410215052178501</v>
      </c>
      <c r="U20" s="13">
        <f>S20*Calculation!I20/Calculation!K19</f>
        <v>0.32398649734069224</v>
      </c>
    </row>
    <row r="22" spans="4:21">
      <c r="D22" s="140" t="s">
        <v>4</v>
      </c>
      <c r="E22" s="140" t="s">
        <v>60</v>
      </c>
      <c r="F22" s="113" t="s">
        <v>44</v>
      </c>
      <c r="G22" s="113"/>
      <c r="H22" s="113"/>
      <c r="I22" s="113"/>
      <c r="J22" s="113" t="s">
        <v>66</v>
      </c>
      <c r="K22" s="113"/>
      <c r="L22" s="113"/>
      <c r="M22" s="113"/>
      <c r="N22" s="138" t="s">
        <v>67</v>
      </c>
      <c r="O22" s="111"/>
      <c r="P22" s="111"/>
      <c r="Q22" s="139"/>
    </row>
    <row r="23" spans="4:21">
      <c r="D23" s="140"/>
      <c r="E23" s="140"/>
      <c r="F23" s="20" t="s">
        <v>48</v>
      </c>
      <c r="G23" s="20" t="s">
        <v>23</v>
      </c>
      <c r="H23" s="20" t="s">
        <v>48</v>
      </c>
      <c r="I23" s="20" t="s">
        <v>23</v>
      </c>
      <c r="J23" s="20" t="s">
        <v>48</v>
      </c>
      <c r="K23" s="20" t="s">
        <v>23</v>
      </c>
      <c r="L23" s="20" t="s">
        <v>48</v>
      </c>
      <c r="M23" s="20" t="s">
        <v>23</v>
      </c>
      <c r="N23" s="20" t="s">
        <v>48</v>
      </c>
      <c r="O23" s="20" t="s">
        <v>23</v>
      </c>
      <c r="P23" s="20" t="s">
        <v>48</v>
      </c>
      <c r="Q23" s="20" t="s">
        <v>23</v>
      </c>
    </row>
    <row r="24" spans="4:21">
      <c r="D24" s="16">
        <v>0</v>
      </c>
      <c r="E24" s="62">
        <v>-0.16666666666666666</v>
      </c>
      <c r="F24" s="13">
        <v>0</v>
      </c>
      <c r="G24" s="13">
        <v>0</v>
      </c>
      <c r="H24" s="13">
        <f>F24*Calculation!I3/Calculation!F22</f>
        <v>0</v>
      </c>
      <c r="I24" s="13">
        <f>G24*Calculation!I3/Calculation!F22</f>
        <v>0</v>
      </c>
      <c r="J24" s="13">
        <v>0.24212159043619716</v>
      </c>
      <c r="K24" s="13">
        <v>3.4673141111155305E-2</v>
      </c>
      <c r="L24" s="13">
        <f>J24*Calculation!I3/Calculation!F22</f>
        <v>0.24212159043619716</v>
      </c>
      <c r="M24" s="13">
        <f>K24*Calculation!I3/Calculation!F22</f>
        <v>3.4673141111155305E-2</v>
      </c>
      <c r="N24" s="13">
        <v>0</v>
      </c>
      <c r="O24" s="13">
        <v>0</v>
      </c>
      <c r="P24" s="13">
        <f>N24*Calculation!I3/Calculation!F22</f>
        <v>0</v>
      </c>
      <c r="Q24" s="13">
        <f>O24*Calculation!I3/Calculation!F22</f>
        <v>0</v>
      </c>
    </row>
    <row r="25" spans="4:21">
      <c r="D25" s="16">
        <v>0</v>
      </c>
      <c r="E25" s="63">
        <v>0.16666666666666666</v>
      </c>
      <c r="F25" s="13">
        <v>0</v>
      </c>
      <c r="G25" s="13">
        <v>0</v>
      </c>
      <c r="H25" s="13">
        <f>F25*Calculation!I4/Calculation!K3</f>
        <v>0</v>
      </c>
      <c r="I25" s="13">
        <f>G25*Calculation!I4/Calculation!K3</f>
        <v>0</v>
      </c>
      <c r="J25" s="13">
        <v>0.42371278326334511</v>
      </c>
      <c r="K25" s="13">
        <v>3.4673141111155284E-2</v>
      </c>
      <c r="L25" s="13">
        <f>J25*Calculation!I4/Calculation!K3</f>
        <v>0.42371278326334511</v>
      </c>
      <c r="M25" s="13">
        <f>K25*Calculation!I4/Calculation!K3</f>
        <v>3.4673141111155284E-2</v>
      </c>
      <c r="N25" s="13">
        <v>0</v>
      </c>
      <c r="O25" s="13">
        <v>0</v>
      </c>
      <c r="P25" s="13">
        <f>N25*Calculation!I4/Calculation!K3</f>
        <v>0</v>
      </c>
      <c r="Q25" s="13">
        <f>O25*Calculation!I4/Calculation!K3</f>
        <v>0</v>
      </c>
    </row>
    <row r="26" spans="4:21">
      <c r="D26" s="16">
        <v>1</v>
      </c>
      <c r="E26" s="63">
        <v>2</v>
      </c>
      <c r="F26" s="13">
        <v>0</v>
      </c>
      <c r="G26" s="13">
        <v>0</v>
      </c>
      <c r="H26" s="13">
        <f>F26*Calculation!I5/Calculation!K4</f>
        <v>0</v>
      </c>
      <c r="I26" s="13">
        <f>G26*Calculation!I5/Calculation!K4</f>
        <v>0</v>
      </c>
      <c r="J26" s="13">
        <v>0.67340067340067333</v>
      </c>
      <c r="K26" s="13">
        <v>2.621043101530475E-2</v>
      </c>
      <c r="L26" s="13">
        <f>J26*Calculation!I5/Calculation!K4</f>
        <v>0.67340067340067333</v>
      </c>
      <c r="M26" s="13">
        <f>K26*Calculation!I5/Calculation!K4</f>
        <v>2.621043101530475E-2</v>
      </c>
      <c r="N26" s="13">
        <v>0</v>
      </c>
      <c r="O26" s="13">
        <v>0</v>
      </c>
      <c r="P26" s="13">
        <f>N26*Calculation!I5/Calculation!K4</f>
        <v>0</v>
      </c>
      <c r="Q26" s="13">
        <f>O26*Calculation!I5/Calculation!K4</f>
        <v>0</v>
      </c>
    </row>
    <row r="27" spans="4:21">
      <c r="D27" s="16">
        <v>2</v>
      </c>
      <c r="E27" s="63">
        <v>3.3333333333333335</v>
      </c>
      <c r="F27" s="13">
        <v>0</v>
      </c>
      <c r="G27" s="13">
        <v>0</v>
      </c>
      <c r="H27" s="13">
        <f>F27*Calculation!I6/Calculation!K5</f>
        <v>0</v>
      </c>
      <c r="I27" s="13">
        <f>G27*Calculation!I6/Calculation!K5</f>
        <v>0</v>
      </c>
      <c r="J27" s="13">
        <v>1.2408731509855104</v>
      </c>
      <c r="K27" s="13">
        <v>0.10727081208154826</v>
      </c>
      <c r="L27" s="13">
        <f>J27*Calculation!I6/Calculation!K5</f>
        <v>1.2408731509855104</v>
      </c>
      <c r="M27" s="13">
        <f>K27*Calculation!I6/Calculation!K5</f>
        <v>0.10727081208154826</v>
      </c>
      <c r="N27" s="13">
        <v>0</v>
      </c>
      <c r="O27" s="13">
        <v>0</v>
      </c>
      <c r="P27" s="13">
        <f>N27*Calculation!I6/Calculation!K5</f>
        <v>0</v>
      </c>
      <c r="Q27" s="13">
        <f>O27*Calculation!I6/Calculation!K5</f>
        <v>0</v>
      </c>
    </row>
    <row r="28" spans="4:21">
      <c r="D28" s="16">
        <v>3</v>
      </c>
      <c r="E28" s="63">
        <v>4.666666666666667</v>
      </c>
      <c r="F28" s="13">
        <v>0</v>
      </c>
      <c r="G28" s="13">
        <v>0</v>
      </c>
      <c r="H28" s="13">
        <f>F28*Calculation!I7/Calculation!K6</f>
        <v>0</v>
      </c>
      <c r="I28" s="13">
        <f>G28*Calculation!I7/Calculation!K6</f>
        <v>0</v>
      </c>
      <c r="J28" s="13">
        <v>1.740248931260167</v>
      </c>
      <c r="K28" s="13">
        <v>0.11424862006235777</v>
      </c>
      <c r="L28" s="13">
        <f>J28*Calculation!I7/Calculation!K6</f>
        <v>1.7414991100900952</v>
      </c>
      <c r="M28" s="13">
        <f>K28*Calculation!I7/Calculation!K6</f>
        <v>0.11433069522044854</v>
      </c>
      <c r="N28" s="13">
        <v>0</v>
      </c>
      <c r="O28" s="13">
        <v>0</v>
      </c>
      <c r="P28" s="13">
        <f>N28*Calculation!I7/Calculation!K6</f>
        <v>0</v>
      </c>
      <c r="Q28" s="13">
        <f>O28*Calculation!I7/Calculation!K6</f>
        <v>0</v>
      </c>
    </row>
    <row r="29" spans="4:21">
      <c r="D29" s="16">
        <v>4</v>
      </c>
      <c r="E29" s="63">
        <v>6</v>
      </c>
      <c r="F29" s="13">
        <v>0</v>
      </c>
      <c r="G29" s="13">
        <v>0</v>
      </c>
      <c r="H29" s="13">
        <f>F29*Calculation!I8/Calculation!K7</f>
        <v>0</v>
      </c>
      <c r="I29" s="13">
        <f>G29*Calculation!I8/Calculation!K7</f>
        <v>0</v>
      </c>
      <c r="J29" s="13">
        <v>2.9205916846366291</v>
      </c>
      <c r="K29" s="13">
        <v>0.30481953737349038</v>
      </c>
      <c r="L29" s="13">
        <f>J29*Calculation!I8/Calculation!K7</f>
        <v>2.9248515636655306</v>
      </c>
      <c r="M29" s="13">
        <f>K29*Calculation!I8/Calculation!K7</f>
        <v>0.30526413713102829</v>
      </c>
      <c r="N29" s="13">
        <v>0</v>
      </c>
      <c r="O29" s="13">
        <v>0</v>
      </c>
      <c r="P29" s="13">
        <f>N29*Calculation!I8/Calculation!K7</f>
        <v>0</v>
      </c>
      <c r="Q29" s="13">
        <f>O29*Calculation!I8/Calculation!K7</f>
        <v>0</v>
      </c>
    </row>
    <row r="30" spans="4:21">
      <c r="D30" s="16">
        <v>5</v>
      </c>
      <c r="E30" s="63">
        <v>7.333333333333333</v>
      </c>
      <c r="F30" s="13">
        <v>0</v>
      </c>
      <c r="G30" s="13">
        <v>0</v>
      </c>
      <c r="H30" s="13">
        <f>F30*Calculation!I9/Calculation!K8</f>
        <v>0</v>
      </c>
      <c r="I30" s="13">
        <f>G30*Calculation!I9/Calculation!K8</f>
        <v>0</v>
      </c>
      <c r="J30" s="13">
        <v>5.152650096470321</v>
      </c>
      <c r="K30" s="13">
        <v>0.32972055490486779</v>
      </c>
      <c r="L30" s="13">
        <f>J30*Calculation!I9/Calculation!K8</f>
        <v>5.1759579791091248</v>
      </c>
      <c r="M30" s="13">
        <f>K30*Calculation!I9/Calculation!K8</f>
        <v>0.33121203751157313</v>
      </c>
      <c r="N30" s="13">
        <v>0</v>
      </c>
      <c r="O30" s="13">
        <v>0</v>
      </c>
      <c r="P30" s="13">
        <f>N30*Calculation!I9/Calculation!K8</f>
        <v>0</v>
      </c>
      <c r="Q30" s="13">
        <f>O30*Calculation!I9/Calculation!K8</f>
        <v>0</v>
      </c>
    </row>
    <row r="31" spans="4:21">
      <c r="D31" s="16">
        <v>6</v>
      </c>
      <c r="E31" s="63">
        <v>8.6666666666666661</v>
      </c>
      <c r="F31" s="13">
        <v>0</v>
      </c>
      <c r="G31" s="13">
        <v>0</v>
      </c>
      <c r="H31" s="13">
        <f>F31*Calculation!I10/Calculation!K9</f>
        <v>0</v>
      </c>
      <c r="I31" s="13">
        <f>G31*Calculation!I10/Calculation!K9</f>
        <v>0</v>
      </c>
      <c r="J31" s="13">
        <v>10.547421783376839</v>
      </c>
      <c r="K31" s="13">
        <v>0.13869256444462078</v>
      </c>
      <c r="L31" s="13">
        <f>J31*Calculation!I10/Calculation!K9</f>
        <v>10.662084645462283</v>
      </c>
      <c r="M31" s="13">
        <f>K31*Calculation!I10/Calculation!K9</f>
        <v>0.14020031550604639</v>
      </c>
      <c r="N31" s="13">
        <v>0</v>
      </c>
      <c r="O31" s="13">
        <v>0</v>
      </c>
      <c r="P31" s="13">
        <f>N31*Calculation!I10/Calculation!K9</f>
        <v>0</v>
      </c>
      <c r="Q31" s="13">
        <f>O31*Calculation!I10/Calculation!K9</f>
        <v>0</v>
      </c>
    </row>
    <row r="32" spans="4:21">
      <c r="D32" s="16">
        <v>7</v>
      </c>
      <c r="E32" s="63">
        <v>10</v>
      </c>
      <c r="F32" s="13">
        <v>0</v>
      </c>
      <c r="G32" s="13">
        <v>0</v>
      </c>
      <c r="H32" s="13">
        <f>F32*Calculation!I11/Calculation!K10</f>
        <v>0</v>
      </c>
      <c r="I32" s="13">
        <f>G32*Calculation!I11/Calculation!K10</f>
        <v>0</v>
      </c>
      <c r="J32" s="13">
        <v>18.272613778231754</v>
      </c>
      <c r="K32" s="13">
        <v>0.35238167509385948</v>
      </c>
      <c r="L32" s="13">
        <f>J32*Calculation!I11/Calculation!K10</f>
        <v>18.590716972378043</v>
      </c>
      <c r="M32" s="13">
        <f>K32*Calculation!I11/Calculation!K10</f>
        <v>0.35851619628313314</v>
      </c>
      <c r="N32" s="13">
        <v>0</v>
      </c>
      <c r="O32" s="13">
        <v>0</v>
      </c>
      <c r="P32" s="13">
        <f>N32*Calculation!I11/Calculation!K10</f>
        <v>0</v>
      </c>
      <c r="Q32" s="13">
        <f>O32*Calculation!I11/Calculation!K10</f>
        <v>0</v>
      </c>
    </row>
    <row r="33" spans="4:17">
      <c r="D33" s="16">
        <v>8</v>
      </c>
      <c r="E33" s="63">
        <v>11.333333333333334</v>
      </c>
      <c r="F33" s="13">
        <v>0</v>
      </c>
      <c r="G33" s="13">
        <v>0</v>
      </c>
      <c r="H33" s="13">
        <f>F33*Calculation!I12/Calculation!K11</f>
        <v>0</v>
      </c>
      <c r="I33" s="13">
        <f>G33*Calculation!I12/Calculation!K11</f>
        <v>0</v>
      </c>
      <c r="J33" s="13">
        <v>25.233609503272422</v>
      </c>
      <c r="K33" s="13">
        <v>0.36694603421426703</v>
      </c>
      <c r="L33" s="13">
        <f>J33*Calculation!I12/Calculation!K11</f>
        <v>25.821661641506637</v>
      </c>
      <c r="M33" s="13">
        <f>K33*Calculation!I12/Calculation!K11</f>
        <v>0.37549746241990212</v>
      </c>
      <c r="N33" s="13">
        <v>0</v>
      </c>
      <c r="O33" s="13">
        <v>0</v>
      </c>
      <c r="P33" s="13">
        <f>N33*Calculation!I12/Calculation!K11</f>
        <v>0</v>
      </c>
      <c r="Q33" s="13">
        <f>O33*Calculation!I12/Calculation!K11</f>
        <v>0</v>
      </c>
    </row>
    <row r="34" spans="4:17">
      <c r="D34" s="16">
        <v>9</v>
      </c>
      <c r="E34" s="63">
        <v>12.666666666666666</v>
      </c>
      <c r="F34" s="13">
        <v>0</v>
      </c>
      <c r="G34" s="13">
        <v>0</v>
      </c>
      <c r="H34" s="13">
        <f>F34*Calculation!I13/Calculation!K12</f>
        <v>0</v>
      </c>
      <c r="I34" s="13">
        <f>G34*Calculation!I13/Calculation!K12</f>
        <v>0</v>
      </c>
      <c r="J34" s="13">
        <v>32.33079862293345</v>
      </c>
      <c r="K34" s="13">
        <v>0.28741981482575002</v>
      </c>
      <c r="L34" s="13">
        <f>J34*Calculation!I13/Calculation!K12</f>
        <v>33.197065188255948</v>
      </c>
      <c r="M34" s="13">
        <f>K34*Calculation!I13/Calculation!K12</f>
        <v>0.29512089820134341</v>
      </c>
      <c r="N34" s="13">
        <v>0</v>
      </c>
      <c r="O34" s="13">
        <v>0</v>
      </c>
      <c r="P34" s="13">
        <f>N34*Calculation!I13/Calculation!K12</f>
        <v>0</v>
      </c>
      <c r="Q34" s="13">
        <f>O34*Calculation!I13/Calculation!K12</f>
        <v>0</v>
      </c>
    </row>
    <row r="35" spans="4:17">
      <c r="D35" s="16">
        <v>10</v>
      </c>
      <c r="E35" s="63">
        <v>14</v>
      </c>
      <c r="F35" s="13">
        <v>0</v>
      </c>
      <c r="G35" s="13">
        <v>0</v>
      </c>
      <c r="H35" s="13">
        <f>F35*Calculation!I14/Calculation!K13</f>
        <v>0</v>
      </c>
      <c r="I35" s="13">
        <f>G35*Calculation!I14/Calculation!K13</f>
        <v>0</v>
      </c>
      <c r="J35" s="13">
        <v>35.198426209662166</v>
      </c>
      <c r="K35" s="13">
        <v>0.59249489503126884</v>
      </c>
      <c r="L35" s="13">
        <f>J35*Calculation!I14/Calculation!K13</f>
        <v>36.205836325998234</v>
      </c>
      <c r="M35" s="13">
        <f>K35*Calculation!I14/Calculation!K13</f>
        <v>0.60945262341311701</v>
      </c>
      <c r="N35" s="13">
        <v>0</v>
      </c>
      <c r="O35" s="13">
        <v>0</v>
      </c>
      <c r="P35" s="13">
        <f>N35*Calculation!I14/Calculation!K13</f>
        <v>0</v>
      </c>
      <c r="Q35" s="13">
        <f>O35*Calculation!I14/Calculation!K13</f>
        <v>0</v>
      </c>
    </row>
    <row r="36" spans="4:17">
      <c r="D36" s="16">
        <v>11</v>
      </c>
      <c r="E36" s="63">
        <v>15.333333333333334</v>
      </c>
      <c r="F36" s="13">
        <v>0</v>
      </c>
      <c r="G36" s="13">
        <v>0</v>
      </c>
      <c r="H36" s="13">
        <f>F36*Calculation!I15/Calculation!K14</f>
        <v>0</v>
      </c>
      <c r="I36" s="13">
        <f>G36*Calculation!I15/Calculation!K14</f>
        <v>0</v>
      </c>
      <c r="J36" s="13">
        <v>36.484697158854459</v>
      </c>
      <c r="K36" s="13">
        <v>0.4199807539478041</v>
      </c>
      <c r="L36" s="13">
        <f>J36*Calculation!I15/Calculation!K14</f>
        <v>37.528921488384242</v>
      </c>
      <c r="M36" s="13">
        <f>K36*Calculation!I15/Calculation!K14</f>
        <v>0.43200097489953881</v>
      </c>
      <c r="N36" s="13">
        <v>0</v>
      </c>
      <c r="O36" s="13">
        <v>0</v>
      </c>
      <c r="P36" s="13">
        <f>N36*Calculation!I15/Calculation!K14</f>
        <v>0</v>
      </c>
      <c r="Q36" s="13">
        <f>O36*Calculation!I15/Calculation!K14</f>
        <v>0</v>
      </c>
    </row>
    <row r="37" spans="4:17">
      <c r="D37" s="16">
        <v>12</v>
      </c>
      <c r="E37" s="63">
        <v>16.666666666666668</v>
      </c>
      <c r="F37" s="13">
        <v>0</v>
      </c>
      <c r="G37" s="13">
        <v>0</v>
      </c>
      <c r="H37" s="13">
        <f>F37*Calculation!I16/Calculation!K15</f>
        <v>0</v>
      </c>
      <c r="I37" s="13">
        <f>G37*Calculation!I16/Calculation!K15</f>
        <v>0</v>
      </c>
      <c r="J37" s="13">
        <v>38.005523398781826</v>
      </c>
      <c r="K37" s="13">
        <v>2.6210431015304791E-2</v>
      </c>
      <c r="L37" s="13">
        <f>J37*Calculation!I16/Calculation!K15</f>
        <v>39.131377728889241</v>
      </c>
      <c r="M37" s="13">
        <f>K37*Calculation!I16/Calculation!K15</f>
        <v>2.6986874137609178E-2</v>
      </c>
      <c r="N37" s="13">
        <v>0</v>
      </c>
      <c r="O37" s="13">
        <v>0</v>
      </c>
      <c r="P37" s="13">
        <f>N37*Calculation!I16/Calculation!K15</f>
        <v>0</v>
      </c>
      <c r="Q37" s="13">
        <f>O37*Calculation!I16/Calculation!K15</f>
        <v>0</v>
      </c>
    </row>
    <row r="38" spans="4:17">
      <c r="D38" s="16">
        <v>13</v>
      </c>
      <c r="E38" s="63">
        <v>18</v>
      </c>
      <c r="F38" s="13">
        <v>0</v>
      </c>
      <c r="G38" s="13">
        <v>0</v>
      </c>
      <c r="H38" s="13">
        <f>F38*Calculation!I17/Calculation!K16</f>
        <v>0</v>
      </c>
      <c r="I38" s="13">
        <f>G38*Calculation!I17/Calculation!K16</f>
        <v>0</v>
      </c>
      <c r="J38" s="13">
        <v>39.125335754549241</v>
      </c>
      <c r="K38" s="13">
        <v>0.16420787965203054</v>
      </c>
      <c r="L38" s="13">
        <f>J38*Calculation!I17/Calculation!K16</f>
        <v>40.284362778436439</v>
      </c>
      <c r="M38" s="13">
        <f>K38*Calculation!I17/Calculation!K16</f>
        <v>0.16907228187073334</v>
      </c>
      <c r="N38" s="13">
        <v>0</v>
      </c>
      <c r="O38" s="13">
        <v>0</v>
      </c>
      <c r="P38" s="13">
        <f>N38*Calculation!I17/Calculation!K16</f>
        <v>0</v>
      </c>
      <c r="Q38" s="13">
        <f>O38*Calculation!I17/Calculation!K16</f>
        <v>0</v>
      </c>
    </row>
    <row r="39" spans="4:17">
      <c r="D39" s="16">
        <v>14</v>
      </c>
      <c r="E39" s="63">
        <v>24</v>
      </c>
      <c r="F39" s="13">
        <v>0</v>
      </c>
      <c r="G39" s="13">
        <v>0</v>
      </c>
      <c r="H39" s="13">
        <f>F39*Calculation!I18/Calculation!K17</f>
        <v>0</v>
      </c>
      <c r="I39" s="13">
        <f>G39*Calculation!I18/Calculation!K17</f>
        <v>0</v>
      </c>
      <c r="J39" s="13">
        <v>40.653728294177725</v>
      </c>
      <c r="K39" s="13">
        <v>0.51160720324978559</v>
      </c>
      <c r="L39" s="13">
        <f>J39*Calculation!I18/Calculation!K17</f>
        <v>41.903381542302022</v>
      </c>
      <c r="M39" s="13">
        <f>K39*Calculation!I18/Calculation!K17</f>
        <v>0.52733347560243582</v>
      </c>
      <c r="N39" s="13">
        <v>0</v>
      </c>
      <c r="O39" s="13">
        <v>0</v>
      </c>
      <c r="P39" s="13">
        <f>N39*Calculation!I18/Calculation!K17</f>
        <v>0</v>
      </c>
      <c r="Q39" s="13">
        <f>O39*Calculation!I18/Calculation!K17</f>
        <v>0</v>
      </c>
    </row>
    <row r="40" spans="4:17">
      <c r="D40" s="16">
        <v>15</v>
      </c>
      <c r="E40" s="63">
        <v>30</v>
      </c>
      <c r="F40" s="13">
        <v>0</v>
      </c>
      <c r="G40" s="13">
        <v>0</v>
      </c>
      <c r="H40" s="13">
        <f>F40*Calculation!I19/Calculation!K18</f>
        <v>0</v>
      </c>
      <c r="I40" s="13">
        <f>G40*Calculation!I19/Calculation!K18</f>
        <v>0</v>
      </c>
      <c r="J40" s="13">
        <v>41.319562667877271</v>
      </c>
      <c r="K40" s="13">
        <v>6.9346282222310665E-2</v>
      </c>
      <c r="L40" s="13">
        <f>J40*Calculation!I19/Calculation!K18</f>
        <v>42.589682970875003</v>
      </c>
      <c r="M40" s="13">
        <f>K40*Calculation!I19/Calculation!K18</f>
        <v>7.1477914681635821E-2</v>
      </c>
      <c r="N40" s="13">
        <v>0</v>
      </c>
      <c r="O40" s="13">
        <v>0</v>
      </c>
      <c r="P40" s="13">
        <f>N40*Calculation!I19/Calculation!K18</f>
        <v>0</v>
      </c>
      <c r="Q40" s="13">
        <f>O40*Calculation!I19/Calculation!K18</f>
        <v>0</v>
      </c>
    </row>
    <row r="41" spans="4:17">
      <c r="D41" s="16">
        <v>16</v>
      </c>
      <c r="E41" s="63">
        <v>48</v>
      </c>
      <c r="F41" s="13">
        <v>0</v>
      </c>
      <c r="G41" s="13">
        <v>0</v>
      </c>
      <c r="H41" s="13">
        <f>F41*Calculation!I20/Calculation!K19</f>
        <v>0</v>
      </c>
      <c r="I41" s="13">
        <f>G41*Calculation!I20/Calculation!K19</f>
        <v>0</v>
      </c>
      <c r="J41" s="13">
        <v>41.864336246358725</v>
      </c>
      <c r="K41" s="13">
        <v>0.13682246676521864</v>
      </c>
      <c r="L41" s="13">
        <f>J41*Calculation!I20/Calculation!K19</f>
        <v>43.151202321525624</v>
      </c>
      <c r="M41" s="13">
        <f>K41*Calculation!I20/Calculation!K19</f>
        <v>0.14102824682977477</v>
      </c>
      <c r="N41" s="13">
        <v>0</v>
      </c>
      <c r="O41" s="13">
        <v>0</v>
      </c>
      <c r="P41" s="13">
        <f>N41*Calculation!I20/Calculation!K19</f>
        <v>0</v>
      </c>
      <c r="Q41" s="13">
        <f>O41*Calculation!I20/Calculation!K19</f>
        <v>0</v>
      </c>
    </row>
  </sheetData>
  <mergeCells count="14">
    <mergeCell ref="R1:U1"/>
    <mergeCell ref="D1:D2"/>
    <mergeCell ref="E1:E2"/>
    <mergeCell ref="F1:I1"/>
    <mergeCell ref="J1:M1"/>
    <mergeCell ref="F22:I22"/>
    <mergeCell ref="J22:M22"/>
    <mergeCell ref="N22:Q22"/>
    <mergeCell ref="N1:Q1"/>
    <mergeCell ref="A1:B1"/>
    <mergeCell ref="A2:B2"/>
    <mergeCell ref="A3:A4"/>
    <mergeCell ref="D22:D23"/>
    <mergeCell ref="E22:E2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2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141</v>
      </c>
      <c r="B2" s="17">
        <v>180.16</v>
      </c>
    </row>
    <row r="4" spans="1:8">
      <c r="A4" s="141" t="s">
        <v>142</v>
      </c>
      <c r="B4" s="142"/>
      <c r="C4" s="142"/>
      <c r="D4" s="142"/>
      <c r="E4" s="142"/>
      <c r="F4" s="142"/>
      <c r="G4" s="142"/>
      <c r="H4" s="143"/>
    </row>
    <row r="5" spans="1:8">
      <c r="A5" s="144" t="s">
        <v>62</v>
      </c>
      <c r="B5" s="142"/>
      <c r="C5" s="143"/>
      <c r="D5" s="145" t="s">
        <v>45</v>
      </c>
      <c r="E5" s="145" t="s">
        <v>46</v>
      </c>
      <c r="F5" s="145" t="s">
        <v>47</v>
      </c>
      <c r="G5" s="147" t="s">
        <v>63</v>
      </c>
      <c r="H5" s="147" t="s">
        <v>64</v>
      </c>
    </row>
    <row r="6" spans="1:8">
      <c r="A6" s="28" t="s">
        <v>4</v>
      </c>
      <c r="B6" s="28" t="s">
        <v>5</v>
      </c>
      <c r="C6" s="28" t="s">
        <v>19</v>
      </c>
      <c r="D6" s="146"/>
      <c r="E6" s="146"/>
      <c r="F6" s="146"/>
      <c r="G6" s="148"/>
      <c r="H6" s="148"/>
    </row>
    <row r="7" spans="1:8">
      <c r="A7" s="16">
        <v>0</v>
      </c>
      <c r="B7" s="62">
        <v>-0.16666666666666666</v>
      </c>
      <c r="C7" s="16">
        <v>2</v>
      </c>
      <c r="D7" s="19">
        <v>4.5830000000000002</v>
      </c>
      <c r="E7" s="19">
        <v>4.5229999999999997</v>
      </c>
      <c r="F7" s="19">
        <v>4.34</v>
      </c>
      <c r="G7" s="19">
        <f>(C7*1000*AVERAGE(D7:F7)/$B$2)</f>
        <v>49.755772646536414</v>
      </c>
      <c r="H7" s="19">
        <f>(C7*1000*STDEV(D7:F7))/$B$2</f>
        <v>1.4052174649220246</v>
      </c>
    </row>
    <row r="8" spans="1:8">
      <c r="A8" s="16">
        <v>0</v>
      </c>
      <c r="B8" s="63">
        <v>0.16666666666666666</v>
      </c>
      <c r="C8" s="16">
        <v>2</v>
      </c>
      <c r="D8" s="19">
        <v>4.4260000000000002</v>
      </c>
      <c r="E8" s="19">
        <v>4.2969999999999997</v>
      </c>
      <c r="F8" s="19">
        <v>4.3239999999999998</v>
      </c>
      <c r="G8" s="19">
        <f t="shared" ref="G8:G17" si="0">(C8*1000*AVERAGE(D8:F8))/$B$2</f>
        <v>48.279307282415623</v>
      </c>
      <c r="H8" s="19">
        <f t="shared" ref="H8:H17" si="1">(C8*1000*STDEV(D8:F8))/$B$2</f>
        <v>0.75529257074485379</v>
      </c>
    </row>
    <row r="9" spans="1:8">
      <c r="A9" s="16">
        <v>1</v>
      </c>
      <c r="B9" s="63">
        <v>2</v>
      </c>
      <c r="C9" s="16">
        <v>2</v>
      </c>
      <c r="D9" s="19">
        <v>4.41</v>
      </c>
      <c r="E9" s="19">
        <v>4.3369999999999997</v>
      </c>
      <c r="F9" s="19">
        <v>4.319</v>
      </c>
      <c r="G9" s="19">
        <f t="shared" si="0"/>
        <v>48.349615156897571</v>
      </c>
      <c r="H9" s="19">
        <f t="shared" si="1"/>
        <v>0.53497550872912925</v>
      </c>
    </row>
    <row r="10" spans="1:8">
      <c r="A10" s="16">
        <v>2</v>
      </c>
      <c r="B10" s="63">
        <v>3.3333333333333335</v>
      </c>
      <c r="C10" s="16">
        <v>2</v>
      </c>
      <c r="D10" s="19">
        <v>4.4050000000000002</v>
      </c>
      <c r="E10" s="19">
        <v>4.3070000000000004</v>
      </c>
      <c r="F10" s="19">
        <v>4.3220000000000001</v>
      </c>
      <c r="G10" s="19">
        <f t="shared" si="0"/>
        <v>48.231201894612191</v>
      </c>
      <c r="H10" s="19">
        <f t="shared" si="1"/>
        <v>0.58598723795511998</v>
      </c>
    </row>
    <row r="11" spans="1:8">
      <c r="A11" s="16">
        <v>3</v>
      </c>
      <c r="B11" s="63">
        <v>4.666666666666667</v>
      </c>
      <c r="C11" s="16">
        <v>2</v>
      </c>
      <c r="D11" s="19">
        <v>4.51</v>
      </c>
      <c r="E11" s="19">
        <v>4.3869999999999996</v>
      </c>
      <c r="F11" s="19">
        <v>4.2530000000000001</v>
      </c>
      <c r="G11" s="19">
        <f t="shared" si="0"/>
        <v>48.660449970396684</v>
      </c>
      <c r="H11" s="19">
        <f t="shared" si="1"/>
        <v>1.4269452572394241</v>
      </c>
    </row>
    <row r="12" spans="1:8">
      <c r="A12" s="16">
        <v>4</v>
      </c>
      <c r="B12" s="63">
        <v>6</v>
      </c>
      <c r="C12" s="16">
        <v>2</v>
      </c>
      <c r="D12" s="19">
        <v>4.3150000000000004</v>
      </c>
      <c r="E12" s="19">
        <v>4.1520000000000001</v>
      </c>
      <c r="F12" s="19">
        <v>4.2370000000000001</v>
      </c>
      <c r="G12" s="19">
        <f t="shared" si="0"/>
        <v>47.010065127294261</v>
      </c>
      <c r="H12" s="19">
        <f t="shared" si="1"/>
        <v>0.90502938805365418</v>
      </c>
    </row>
    <row r="13" spans="1:8">
      <c r="A13" s="16">
        <v>5</v>
      </c>
      <c r="B13" s="63">
        <v>7.333333333333333</v>
      </c>
      <c r="C13" s="16">
        <v>2</v>
      </c>
      <c r="D13" s="19">
        <v>3.8929999999999998</v>
      </c>
      <c r="E13" s="19">
        <v>4.05</v>
      </c>
      <c r="F13" s="19">
        <v>4.0730000000000004</v>
      </c>
      <c r="G13" s="19">
        <f t="shared" si="0"/>
        <v>44.464179988158676</v>
      </c>
      <c r="H13" s="19">
        <f t="shared" si="1"/>
        <v>1.0874875282452214</v>
      </c>
    </row>
    <row r="14" spans="1:8">
      <c r="A14" s="16">
        <v>6</v>
      </c>
      <c r="B14" s="63">
        <v>8.6666666666666661</v>
      </c>
      <c r="C14" s="16">
        <v>2</v>
      </c>
      <c r="D14" s="19">
        <v>3.766</v>
      </c>
      <c r="E14" s="19">
        <v>3.7610000000000001</v>
      </c>
      <c r="F14" s="19">
        <v>3.6850000000000001</v>
      </c>
      <c r="G14" s="19">
        <f t="shared" si="0"/>
        <v>41.489046773238606</v>
      </c>
      <c r="H14" s="19">
        <f t="shared" si="1"/>
        <v>0.50389536887783382</v>
      </c>
    </row>
    <row r="15" spans="1:8">
      <c r="A15" s="16">
        <v>7</v>
      </c>
      <c r="B15" s="63">
        <v>10</v>
      </c>
      <c r="C15" s="16">
        <v>2</v>
      </c>
      <c r="D15" s="19">
        <v>3.3340000000000001</v>
      </c>
      <c r="E15" s="19">
        <v>3.2709999999999999</v>
      </c>
      <c r="F15" s="19">
        <v>3.2959999999999998</v>
      </c>
      <c r="G15" s="19">
        <f t="shared" si="0"/>
        <v>36.637803433984601</v>
      </c>
      <c r="H15" s="19">
        <f t="shared" si="1"/>
        <v>0.35216204863758627</v>
      </c>
    </row>
    <row r="16" spans="1:8">
      <c r="A16" s="16">
        <v>8</v>
      </c>
      <c r="B16" s="63">
        <v>11.333333333333334</v>
      </c>
      <c r="C16" s="16">
        <v>2</v>
      </c>
      <c r="D16" s="19">
        <v>2.661</v>
      </c>
      <c r="E16" s="19">
        <v>2.6160000000000001</v>
      </c>
      <c r="F16" s="19">
        <v>2.6549999999999998</v>
      </c>
      <c r="G16" s="19">
        <f t="shared" si="0"/>
        <v>29.351687388987568</v>
      </c>
      <c r="H16" s="19">
        <f t="shared" si="1"/>
        <v>0.27124315548114053</v>
      </c>
    </row>
    <row r="17" spans="1:8">
      <c r="A17" s="16">
        <v>9</v>
      </c>
      <c r="B17" s="63">
        <v>12.666666666666666</v>
      </c>
      <c r="C17" s="16">
        <v>2</v>
      </c>
      <c r="D17" s="19">
        <v>2.2069999999999999</v>
      </c>
      <c r="E17" s="19">
        <v>2.1960000000000002</v>
      </c>
      <c r="F17" s="19">
        <v>2.1930000000000001</v>
      </c>
      <c r="G17" s="19">
        <f t="shared" si="0"/>
        <v>24.40793368857312</v>
      </c>
      <c r="H17" s="19">
        <f t="shared" si="1"/>
        <v>8.1828539030104966E-2</v>
      </c>
    </row>
    <row r="18" spans="1:8">
      <c r="A18" s="16">
        <v>10</v>
      </c>
      <c r="B18" s="63">
        <v>14</v>
      </c>
      <c r="C18" s="16">
        <v>2</v>
      </c>
      <c r="D18" s="19">
        <v>2.032</v>
      </c>
      <c r="E18" s="19">
        <v>2.0630000000000002</v>
      </c>
      <c r="F18" s="19">
        <v>2.117</v>
      </c>
      <c r="G18" s="19">
        <f t="shared" ref="G18:G23" si="2">(C18*1000*AVERAGE(D18:F18))/$B$2</f>
        <v>22.986974541148612</v>
      </c>
      <c r="H18" s="19">
        <f t="shared" ref="H18:H23" si="3">(C18*1000*STDEV(D18:F18))/$B$2</f>
        <v>0.47752554487094007</v>
      </c>
    </row>
    <row r="19" spans="1:8">
      <c r="A19" s="16">
        <v>11</v>
      </c>
      <c r="B19" s="63">
        <v>15.333333333333334</v>
      </c>
      <c r="C19" s="16">
        <v>2</v>
      </c>
      <c r="D19" s="19">
        <v>1.909</v>
      </c>
      <c r="E19" s="19">
        <v>1.9259999999999999</v>
      </c>
      <c r="F19" s="19">
        <v>1.927</v>
      </c>
      <c r="G19" s="19">
        <f t="shared" si="2"/>
        <v>21.321788040260511</v>
      </c>
      <c r="H19" s="19">
        <f t="shared" si="3"/>
        <v>0.11230011031300685</v>
      </c>
    </row>
    <row r="20" spans="1:8">
      <c r="A20" s="16">
        <v>12</v>
      </c>
      <c r="B20" s="63">
        <v>16.666666666666668</v>
      </c>
      <c r="C20" s="16">
        <v>2</v>
      </c>
      <c r="D20" s="19">
        <v>1.8460000000000001</v>
      </c>
      <c r="E20" s="19">
        <v>1.8460000000000001</v>
      </c>
      <c r="F20" s="19">
        <v>1.8360000000000001</v>
      </c>
      <c r="G20" s="19">
        <f t="shared" si="2"/>
        <v>20.455891059798702</v>
      </c>
      <c r="H20" s="19">
        <f t="shared" si="3"/>
        <v>6.4093058302578415E-2</v>
      </c>
    </row>
    <row r="21" spans="1:8">
      <c r="A21" s="16">
        <v>13</v>
      </c>
      <c r="B21" s="63">
        <v>18</v>
      </c>
      <c r="C21" s="16">
        <v>2</v>
      </c>
      <c r="D21" s="19">
        <v>1.792</v>
      </c>
      <c r="E21" s="19">
        <v>1.766</v>
      </c>
      <c r="F21" s="19">
        <v>1.7529999999999999</v>
      </c>
      <c r="G21" s="19">
        <f t="shared" si="2"/>
        <v>19.65290112492599</v>
      </c>
      <c r="H21" s="19">
        <f t="shared" si="3"/>
        <v>0.22044658094444242</v>
      </c>
    </row>
    <row r="22" spans="1:8">
      <c r="A22" s="16">
        <v>14</v>
      </c>
      <c r="B22" s="63">
        <v>24</v>
      </c>
      <c r="C22" s="16">
        <v>2</v>
      </c>
      <c r="D22" s="19">
        <v>1.649</v>
      </c>
      <c r="E22" s="19">
        <v>1.643</v>
      </c>
      <c r="F22" s="19">
        <v>1.597</v>
      </c>
      <c r="G22" s="19">
        <f t="shared" si="2"/>
        <v>18.091326228537593</v>
      </c>
      <c r="H22" s="19">
        <f t="shared" si="3"/>
        <v>0.31581687823196991</v>
      </c>
    </row>
    <row r="23" spans="1:8">
      <c r="A23" s="16">
        <v>15</v>
      </c>
      <c r="B23" s="63">
        <v>30</v>
      </c>
      <c r="C23" s="16">
        <v>2</v>
      </c>
      <c r="D23" s="19">
        <v>1.6120000000000001</v>
      </c>
      <c r="E23" s="19">
        <v>1.619</v>
      </c>
      <c r="F23" s="19">
        <v>1.6180000000000001</v>
      </c>
      <c r="G23" s="19">
        <f t="shared" si="2"/>
        <v>17.943309650680877</v>
      </c>
      <c r="H23" s="19">
        <f t="shared" si="3"/>
        <v>4.2028628965365744E-2</v>
      </c>
    </row>
    <row r="24" spans="1:8">
      <c r="A24" s="16">
        <v>16</v>
      </c>
      <c r="B24" s="63">
        <v>48</v>
      </c>
      <c r="C24" s="16">
        <v>2</v>
      </c>
      <c r="D24" s="109">
        <v>1.59</v>
      </c>
      <c r="E24" s="109">
        <v>1.589</v>
      </c>
      <c r="F24" s="109">
        <v>1.581</v>
      </c>
      <c r="G24" s="19">
        <f t="shared" ref="G24" si="4">(C24*1000*AVERAGE(D24:F24))/$B$2</f>
        <v>17.613972764949676</v>
      </c>
      <c r="H24" s="19">
        <f t="shared" ref="H24" si="5">(C24*1000*STDEV(D24:F24))/$B$2</f>
        <v>5.4761133018608889E-2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65</v>
      </c>
      <c r="B2" s="17">
        <v>46.03</v>
      </c>
    </row>
    <row r="4" spans="1:8">
      <c r="A4" s="141" t="s">
        <v>65</v>
      </c>
      <c r="B4" s="142"/>
      <c r="C4" s="142"/>
      <c r="D4" s="142"/>
      <c r="E4" s="142"/>
      <c r="F4" s="142"/>
      <c r="G4" s="142"/>
      <c r="H4" s="143"/>
    </row>
    <row r="5" spans="1:8">
      <c r="A5" s="144" t="s">
        <v>62</v>
      </c>
      <c r="B5" s="142"/>
      <c r="C5" s="143"/>
      <c r="D5" s="145" t="s">
        <v>45</v>
      </c>
      <c r="E5" s="145" t="s">
        <v>46</v>
      </c>
      <c r="F5" s="145" t="s">
        <v>47</v>
      </c>
      <c r="G5" s="147" t="s">
        <v>63</v>
      </c>
      <c r="H5" s="147" t="s">
        <v>64</v>
      </c>
    </row>
    <row r="6" spans="1:8">
      <c r="A6" s="28" t="s">
        <v>4</v>
      </c>
      <c r="B6" s="28" t="s">
        <v>60</v>
      </c>
      <c r="C6" s="28" t="s">
        <v>19</v>
      </c>
      <c r="D6" s="146"/>
      <c r="E6" s="146"/>
      <c r="F6" s="146"/>
      <c r="G6" s="148"/>
      <c r="H6" s="148"/>
    </row>
    <row r="7" spans="1:8">
      <c r="A7" s="64">
        <v>0</v>
      </c>
      <c r="B7" s="62">
        <v>-0.16666666666666666</v>
      </c>
      <c r="C7" s="16">
        <v>2</v>
      </c>
      <c r="D7" s="54">
        <v>0.09</v>
      </c>
      <c r="E7" s="54">
        <v>9.0999999999999998E-2</v>
      </c>
      <c r="F7" s="54">
        <v>8.7999999999999995E-2</v>
      </c>
      <c r="G7" s="16">
        <f>(C7*1000*AVERAGE(D7:F7))/$B$2</f>
        <v>3.8960098486494315</v>
      </c>
      <c r="H7" s="19">
        <f t="shared" ref="H7:H9" si="0">(C7*1000*STDEV(D7:F7))/$B$2</f>
        <v>6.6370855166280593E-2</v>
      </c>
    </row>
    <row r="8" spans="1:8">
      <c r="A8" s="65">
        <v>0</v>
      </c>
      <c r="B8" s="63">
        <v>0.16666666666666666</v>
      </c>
      <c r="C8" s="16">
        <v>2</v>
      </c>
      <c r="D8" s="54">
        <v>9.5000000000000001E-2</v>
      </c>
      <c r="E8" s="54">
        <v>0.10100000000000001</v>
      </c>
      <c r="F8" s="54">
        <v>0.10199999999999999</v>
      </c>
      <c r="G8" s="16">
        <f t="shared" ref="G8:G10" si="1">(C8*1000*AVERAGE(D8:F8))/$B$2</f>
        <v>4.3160257802882178</v>
      </c>
      <c r="H8" s="19">
        <f t="shared" si="0"/>
        <v>0.16449875721052273</v>
      </c>
    </row>
    <row r="9" spans="1:8">
      <c r="A9" s="65">
        <v>1</v>
      </c>
      <c r="B9" s="63">
        <v>2</v>
      </c>
      <c r="C9" s="16">
        <v>2</v>
      </c>
      <c r="D9" s="54">
        <v>0.111</v>
      </c>
      <c r="E9" s="54">
        <v>0.107</v>
      </c>
      <c r="F9" s="54">
        <v>0.107</v>
      </c>
      <c r="G9" s="16">
        <f t="shared" si="1"/>
        <v>4.7070750959519154</v>
      </c>
      <c r="H9" s="19">
        <f t="shared" si="0"/>
        <v>0.10034330118437995</v>
      </c>
    </row>
    <row r="10" spans="1:8">
      <c r="A10" s="65">
        <v>2</v>
      </c>
      <c r="B10" s="63">
        <v>3.3333333333333335</v>
      </c>
      <c r="C10" s="16">
        <v>2</v>
      </c>
      <c r="D10" s="54">
        <v>0.11600000000000001</v>
      </c>
      <c r="E10" s="54">
        <v>0.107</v>
      </c>
      <c r="F10" s="54">
        <v>0.112</v>
      </c>
      <c r="G10" s="16">
        <f t="shared" si="1"/>
        <v>4.8519081758273588</v>
      </c>
      <c r="H10" s="19">
        <f t="shared" ref="H10:H23" si="2">(C10*1000*STDEV(D10:F10))/$B$2</f>
        <v>0.19592655888867688</v>
      </c>
    </row>
    <row r="11" spans="1:8">
      <c r="A11" s="65">
        <v>3</v>
      </c>
      <c r="B11" s="63">
        <v>4.666666666666667</v>
      </c>
      <c r="C11" s="16">
        <v>2</v>
      </c>
      <c r="D11" s="54">
        <v>0.124</v>
      </c>
      <c r="E11" s="54">
        <v>0.11700000000000001</v>
      </c>
      <c r="F11" s="54">
        <v>0.11600000000000001</v>
      </c>
      <c r="G11" s="16">
        <f t="shared" ref="G11:G23" si="3">(C11*1000*AVERAGE(D11:F11))/$B$2</f>
        <v>5.1705409515533347</v>
      </c>
      <c r="H11" s="19">
        <f t="shared" si="2"/>
        <v>0.18939382765764368</v>
      </c>
    </row>
    <row r="12" spans="1:8">
      <c r="A12" s="65">
        <v>4</v>
      </c>
      <c r="B12" s="63">
        <v>6</v>
      </c>
      <c r="C12" s="16">
        <v>2</v>
      </c>
      <c r="D12" s="54">
        <v>0.14099999999999999</v>
      </c>
      <c r="E12" s="54">
        <v>0.14000000000000001</v>
      </c>
      <c r="F12" s="54">
        <v>0.14199999999999999</v>
      </c>
      <c r="G12" s="16">
        <f t="shared" si="3"/>
        <v>6.1264392787312625</v>
      </c>
      <c r="H12" s="19">
        <f t="shared" si="2"/>
        <v>4.3449923962632503E-2</v>
      </c>
    </row>
    <row r="13" spans="1:8">
      <c r="A13" s="65">
        <v>5</v>
      </c>
      <c r="B13" s="63">
        <v>7.333333333333333</v>
      </c>
      <c r="C13" s="16">
        <v>2</v>
      </c>
      <c r="D13" s="54">
        <v>0.19500000000000001</v>
      </c>
      <c r="E13" s="54">
        <v>0.20100000000000001</v>
      </c>
      <c r="F13" s="54">
        <v>0.20599999999999999</v>
      </c>
      <c r="G13" s="16">
        <f t="shared" si="3"/>
        <v>8.7189514085017006</v>
      </c>
      <c r="H13" s="19">
        <f t="shared" si="2"/>
        <v>0.23930352149841813</v>
      </c>
    </row>
    <row r="14" spans="1:8">
      <c r="A14" s="65">
        <v>6</v>
      </c>
      <c r="B14" s="63">
        <v>8.6666666666666661</v>
      </c>
      <c r="C14" s="16">
        <v>2</v>
      </c>
      <c r="D14" s="54">
        <v>0.32300000000000001</v>
      </c>
      <c r="E14" s="54">
        <v>0.32200000000000001</v>
      </c>
      <c r="F14" s="54">
        <v>0.32</v>
      </c>
      <c r="G14" s="16">
        <f t="shared" si="3"/>
        <v>13.976392207980304</v>
      </c>
      <c r="H14" s="19">
        <f t="shared" si="2"/>
        <v>6.6370855166280607E-2</v>
      </c>
    </row>
    <row r="15" spans="1:8">
      <c r="A15" s="65">
        <v>7</v>
      </c>
      <c r="B15" s="63">
        <v>10</v>
      </c>
      <c r="C15" s="16">
        <v>2</v>
      </c>
      <c r="D15" s="54">
        <v>0.47199999999999998</v>
      </c>
      <c r="E15" s="54">
        <v>0.46400000000000002</v>
      </c>
      <c r="F15" s="54">
        <v>0.46500000000000002</v>
      </c>
      <c r="G15" s="16">
        <f t="shared" si="3"/>
        <v>20.291114490549642</v>
      </c>
      <c r="H15" s="19">
        <f t="shared" si="2"/>
        <v>0.18939382765764265</v>
      </c>
    </row>
    <row r="16" spans="1:8">
      <c r="A16" s="65">
        <v>8</v>
      </c>
      <c r="B16" s="63">
        <v>11.333333333333334</v>
      </c>
      <c r="C16" s="16">
        <v>2</v>
      </c>
      <c r="D16" s="54">
        <v>0.57899999999999996</v>
      </c>
      <c r="E16" s="54">
        <v>0.56799999999999995</v>
      </c>
      <c r="F16" s="54">
        <v>0.57699999999999996</v>
      </c>
      <c r="G16" s="16">
        <f t="shared" si="3"/>
        <v>24.969222970526459</v>
      </c>
      <c r="H16" s="19">
        <f t="shared" si="2"/>
        <v>0.25459332075091545</v>
      </c>
    </row>
    <row r="17" spans="1:8">
      <c r="A17" s="65">
        <v>9</v>
      </c>
      <c r="B17" s="63">
        <v>12.666666666666666</v>
      </c>
      <c r="C17" s="16">
        <v>2</v>
      </c>
      <c r="D17" s="54">
        <v>0.66600000000000004</v>
      </c>
      <c r="E17" s="54">
        <v>0.66800000000000004</v>
      </c>
      <c r="F17" s="54">
        <v>0.66100000000000003</v>
      </c>
      <c r="G17" s="16">
        <f t="shared" si="3"/>
        <v>28.894199435150988</v>
      </c>
      <c r="H17" s="19">
        <f t="shared" si="2"/>
        <v>0.15666092876228516</v>
      </c>
    </row>
    <row r="18" spans="1:8">
      <c r="A18" s="65">
        <v>10</v>
      </c>
      <c r="B18" s="63">
        <v>14</v>
      </c>
      <c r="C18" s="16">
        <v>2</v>
      </c>
      <c r="D18" s="57">
        <v>0.71099999999999997</v>
      </c>
      <c r="E18" s="57">
        <v>0.71299999999999997</v>
      </c>
      <c r="F18" s="57">
        <v>0.73199999999999998</v>
      </c>
      <c r="G18" s="16">
        <f t="shared" si="3"/>
        <v>31.226012021145621</v>
      </c>
      <c r="H18" s="19">
        <f t="shared" si="2"/>
        <v>0.50359442829209144</v>
      </c>
    </row>
    <row r="19" spans="1:8">
      <c r="A19" s="65">
        <v>11</v>
      </c>
      <c r="B19" s="63">
        <v>15.333333333333334</v>
      </c>
      <c r="C19" s="16">
        <v>2</v>
      </c>
      <c r="D19" s="57">
        <v>0.72799999999999998</v>
      </c>
      <c r="E19" s="57">
        <v>0.73899999999999999</v>
      </c>
      <c r="F19" s="57">
        <v>0.73599999999999999</v>
      </c>
      <c r="G19" s="16">
        <f t="shared" si="3"/>
        <v>31.906727496560215</v>
      </c>
      <c r="H19" s="19">
        <f t="shared" si="2"/>
        <v>0.24706672618193923</v>
      </c>
    </row>
    <row r="20" spans="1:8">
      <c r="A20" s="65">
        <v>12</v>
      </c>
      <c r="B20" s="63">
        <v>16.666666666666668</v>
      </c>
      <c r="C20" s="16">
        <v>2</v>
      </c>
      <c r="D20" s="57">
        <v>0.75900000000000001</v>
      </c>
      <c r="E20" s="57">
        <v>0.745</v>
      </c>
      <c r="F20" s="57">
        <v>0.747</v>
      </c>
      <c r="G20" s="16">
        <f t="shared" si="3"/>
        <v>32.601926279962342</v>
      </c>
      <c r="H20" s="19">
        <f t="shared" si="2"/>
        <v>0.32899751442104586</v>
      </c>
    </row>
    <row r="21" spans="1:8">
      <c r="A21" s="65">
        <v>13</v>
      </c>
      <c r="B21" s="63">
        <v>18</v>
      </c>
      <c r="C21" s="16">
        <v>2</v>
      </c>
      <c r="D21" s="57">
        <v>0.77700000000000002</v>
      </c>
      <c r="E21" s="57">
        <v>0.76300000000000001</v>
      </c>
      <c r="F21" s="57">
        <v>0.75800000000000001</v>
      </c>
      <c r="G21" s="16">
        <f t="shared" si="3"/>
        <v>33.282641755376929</v>
      </c>
      <c r="H21" s="19">
        <f t="shared" si="2"/>
        <v>0.4279321226068265</v>
      </c>
    </row>
    <row r="22" spans="1:8">
      <c r="A22" s="65">
        <v>14</v>
      </c>
      <c r="B22" s="63">
        <v>24</v>
      </c>
      <c r="C22" s="16">
        <v>2</v>
      </c>
      <c r="D22" s="57">
        <v>0.77800000000000002</v>
      </c>
      <c r="E22" s="57">
        <v>0.78</v>
      </c>
      <c r="F22" s="57">
        <v>0.76400000000000001</v>
      </c>
      <c r="G22" s="16">
        <f t="shared" si="3"/>
        <v>33.630241147077989</v>
      </c>
      <c r="H22" s="19">
        <f t="shared" si="2"/>
        <v>0.37878765531528807</v>
      </c>
    </row>
    <row r="23" spans="1:8">
      <c r="A23" s="65">
        <v>15</v>
      </c>
      <c r="B23" s="63">
        <v>30</v>
      </c>
      <c r="C23" s="16">
        <v>2</v>
      </c>
      <c r="D23" s="57">
        <v>0.77400000000000002</v>
      </c>
      <c r="E23" s="57">
        <v>0.77300000000000002</v>
      </c>
      <c r="F23" s="57">
        <v>0.76700000000000002</v>
      </c>
      <c r="G23" s="16">
        <f t="shared" si="3"/>
        <v>33.514374683177635</v>
      </c>
      <c r="H23" s="19">
        <f t="shared" si="2"/>
        <v>0.16449875721052293</v>
      </c>
    </row>
    <row r="24" spans="1:8">
      <c r="A24" s="65">
        <v>16</v>
      </c>
      <c r="B24" s="63">
        <v>48</v>
      </c>
      <c r="C24" s="16">
        <v>2</v>
      </c>
      <c r="D24" s="57">
        <v>0.76</v>
      </c>
      <c r="E24" s="57">
        <v>0.77300000000000002</v>
      </c>
      <c r="F24" s="57">
        <v>0.77200000000000002</v>
      </c>
      <c r="G24" s="16">
        <f t="shared" ref="G24" si="4">(C24*1000*AVERAGE(D24:F24))/$B$2</f>
        <v>33.384024911289735</v>
      </c>
      <c r="H24" s="19">
        <f t="shared" ref="H24" si="5">(C24*1000*STDEV(D24:F24))/$B$2</f>
        <v>0.31432449003129437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4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41" t="s">
        <v>43</v>
      </c>
      <c r="B4" s="142"/>
      <c r="C4" s="142"/>
      <c r="D4" s="142"/>
      <c r="E4" s="142"/>
      <c r="F4" s="142"/>
      <c r="G4" s="142"/>
      <c r="H4" s="143"/>
    </row>
    <row r="5" spans="1:8">
      <c r="A5" s="144" t="s">
        <v>62</v>
      </c>
      <c r="B5" s="142"/>
      <c r="C5" s="143"/>
      <c r="D5" s="145" t="s">
        <v>45</v>
      </c>
      <c r="E5" s="145" t="s">
        <v>46</v>
      </c>
      <c r="F5" s="145" t="s">
        <v>47</v>
      </c>
      <c r="G5" s="147" t="s">
        <v>63</v>
      </c>
      <c r="H5" s="147" t="s">
        <v>64</v>
      </c>
    </row>
    <row r="6" spans="1:8">
      <c r="A6" s="22" t="s">
        <v>4</v>
      </c>
      <c r="B6" s="22" t="s">
        <v>60</v>
      </c>
      <c r="C6" s="22" t="s">
        <v>19</v>
      </c>
      <c r="D6" s="146"/>
      <c r="E6" s="146"/>
      <c r="F6" s="146"/>
      <c r="G6" s="148"/>
      <c r="H6" s="148"/>
    </row>
    <row r="7" spans="1:8">
      <c r="A7" s="64">
        <v>0</v>
      </c>
      <c r="B7" s="62">
        <v>-0.16666666666666666</v>
      </c>
      <c r="C7" s="16">
        <v>2</v>
      </c>
      <c r="D7" s="19">
        <v>1.4910000000000001</v>
      </c>
      <c r="E7" s="19">
        <v>1.462</v>
      </c>
      <c r="F7" s="19">
        <v>1.417</v>
      </c>
      <c r="G7" s="16">
        <f>(C7*1000*AVERAGE(D7:F7))/$B$2</f>
        <v>48.515126283652513</v>
      </c>
      <c r="H7" s="19">
        <f>(C7*1000*STDEV(D7:F7))/$B$2</f>
        <v>1.2418709024084393</v>
      </c>
    </row>
    <row r="8" spans="1:8">
      <c r="A8" s="65">
        <v>0</v>
      </c>
      <c r="B8" s="63">
        <v>0.16666666666666666</v>
      </c>
      <c r="C8" s="16">
        <v>2</v>
      </c>
      <c r="D8" s="19">
        <v>1.4530000000000001</v>
      </c>
      <c r="E8" s="19">
        <v>1.44</v>
      </c>
      <c r="F8" s="19">
        <v>1.462</v>
      </c>
      <c r="G8" s="16">
        <f t="shared" ref="G8:G17" si="0">(C8*1000*AVERAGE(D8:F8))/$B$2</f>
        <v>48.348598390230357</v>
      </c>
      <c r="H8" s="19">
        <f t="shared" ref="H8:H17" si="1">(C8*1000*STDEV(D8:F8))/$B$2</f>
        <v>0.36837435521592188</v>
      </c>
    </row>
    <row r="9" spans="1:8">
      <c r="A9" s="65">
        <v>1</v>
      </c>
      <c r="B9" s="63">
        <v>2</v>
      </c>
      <c r="C9" s="16">
        <v>2</v>
      </c>
      <c r="D9" s="19">
        <v>1.4930000000000001</v>
      </c>
      <c r="E9" s="19">
        <v>1.448</v>
      </c>
      <c r="F9" s="19">
        <v>1.4530000000000001</v>
      </c>
      <c r="G9" s="16">
        <f t="shared" si="0"/>
        <v>48.78157091312795</v>
      </c>
      <c r="H9" s="19">
        <f t="shared" si="1"/>
        <v>0.82146259155974333</v>
      </c>
    </row>
    <row r="10" spans="1:8">
      <c r="A10" s="65">
        <v>2</v>
      </c>
      <c r="B10" s="63">
        <v>3.3333333333333335</v>
      </c>
      <c r="C10" s="16">
        <v>2</v>
      </c>
      <c r="D10" s="19">
        <v>1.49</v>
      </c>
      <c r="E10" s="19">
        <v>1.4730000000000001</v>
      </c>
      <c r="F10" s="19">
        <v>1.4630000000000001</v>
      </c>
      <c r="G10" s="16">
        <f t="shared" si="0"/>
        <v>49.136830419095205</v>
      </c>
      <c r="H10" s="19">
        <f t="shared" si="1"/>
        <v>0.45463436534983515</v>
      </c>
    </row>
    <row r="11" spans="1:8">
      <c r="A11" s="65">
        <v>3</v>
      </c>
      <c r="B11" s="63">
        <v>4.666666666666667</v>
      </c>
      <c r="C11" s="16">
        <v>2</v>
      </c>
      <c r="D11" s="19">
        <v>1.5029999999999999</v>
      </c>
      <c r="E11" s="19">
        <v>1.4810000000000001</v>
      </c>
      <c r="F11" s="19">
        <v>1.4370000000000001</v>
      </c>
      <c r="G11" s="16">
        <f t="shared" si="0"/>
        <v>49.081321121287822</v>
      </c>
      <c r="H11" s="19">
        <f t="shared" si="1"/>
        <v>1.1192524594951792</v>
      </c>
    </row>
    <row r="12" spans="1:8">
      <c r="A12" s="65">
        <v>4</v>
      </c>
      <c r="B12" s="63">
        <v>6</v>
      </c>
      <c r="C12" s="16">
        <v>2</v>
      </c>
      <c r="D12" s="19">
        <v>1.454</v>
      </c>
      <c r="E12" s="19">
        <v>1.3979999999999999</v>
      </c>
      <c r="F12" s="19">
        <v>1.4379999999999999</v>
      </c>
      <c r="G12" s="16">
        <f t="shared" si="0"/>
        <v>47.626977518734392</v>
      </c>
      <c r="H12" s="19">
        <f t="shared" si="1"/>
        <v>0.96067977364569335</v>
      </c>
    </row>
    <row r="13" spans="1:8">
      <c r="A13" s="65">
        <v>5</v>
      </c>
      <c r="B13" s="63">
        <v>7.333333333333333</v>
      </c>
      <c r="C13" s="16">
        <v>2</v>
      </c>
      <c r="D13" s="19">
        <v>1.33</v>
      </c>
      <c r="E13" s="19">
        <v>1.3759999999999999</v>
      </c>
      <c r="F13" s="19">
        <v>1.405</v>
      </c>
      <c r="G13" s="16">
        <f t="shared" si="0"/>
        <v>45.639744657230082</v>
      </c>
      <c r="H13" s="19">
        <f t="shared" si="1"/>
        <v>1.2596085904394805</v>
      </c>
    </row>
    <row r="14" spans="1:8">
      <c r="A14" s="65">
        <v>6</v>
      </c>
      <c r="B14" s="63">
        <v>8.6666666666666661</v>
      </c>
      <c r="C14" s="16">
        <v>2</v>
      </c>
      <c r="D14" s="19">
        <v>1.3380000000000001</v>
      </c>
      <c r="E14" s="19">
        <v>1.327</v>
      </c>
      <c r="F14" s="19">
        <v>1.2769999999999999</v>
      </c>
      <c r="G14" s="16">
        <f t="shared" si="0"/>
        <v>43.763530391340552</v>
      </c>
      <c r="H14" s="19">
        <f t="shared" si="1"/>
        <v>1.0828155341887689</v>
      </c>
    </row>
    <row r="15" spans="1:8">
      <c r="A15" s="65">
        <v>7</v>
      </c>
      <c r="B15" s="63">
        <v>10</v>
      </c>
      <c r="C15" s="16">
        <v>2</v>
      </c>
      <c r="D15" s="19">
        <v>1.2490000000000001</v>
      </c>
      <c r="E15" s="19">
        <v>1.2290000000000001</v>
      </c>
      <c r="F15" s="19">
        <v>1.244</v>
      </c>
      <c r="G15" s="16">
        <f t="shared" si="0"/>
        <v>41.321121287815714</v>
      </c>
      <c r="H15" s="19">
        <f t="shared" si="1"/>
        <v>0.34665545369960554</v>
      </c>
    </row>
    <row r="16" spans="1:8">
      <c r="A16" s="65">
        <v>8</v>
      </c>
      <c r="B16" s="63">
        <v>11.333333333333334</v>
      </c>
      <c r="C16" s="16">
        <v>2</v>
      </c>
      <c r="D16" s="19">
        <v>1.0580000000000001</v>
      </c>
      <c r="E16" s="19">
        <v>1.0620000000000001</v>
      </c>
      <c r="F16" s="19">
        <v>1.06</v>
      </c>
      <c r="G16" s="16">
        <f t="shared" si="0"/>
        <v>35.303913405495422</v>
      </c>
      <c r="H16" s="19">
        <f t="shared" si="1"/>
        <v>6.661115736885935E-2</v>
      </c>
    </row>
    <row r="17" spans="1:8">
      <c r="A17" s="65">
        <v>9</v>
      </c>
      <c r="B17" s="63">
        <v>12.666666666666666</v>
      </c>
      <c r="C17" s="16">
        <v>2</v>
      </c>
      <c r="D17" s="19">
        <v>0.93</v>
      </c>
      <c r="E17" s="19">
        <v>0.91500000000000004</v>
      </c>
      <c r="F17" s="19">
        <v>0.92600000000000005</v>
      </c>
      <c r="G17" s="16">
        <f t="shared" si="0"/>
        <v>30.763252844851518</v>
      </c>
      <c r="H17" s="19">
        <f t="shared" si="1"/>
        <v>0.25869953256133343</v>
      </c>
    </row>
    <row r="18" spans="1:8">
      <c r="A18" s="65">
        <v>10</v>
      </c>
      <c r="B18" s="63">
        <v>14</v>
      </c>
      <c r="C18" s="16">
        <v>2</v>
      </c>
      <c r="D18" s="19">
        <v>0.89</v>
      </c>
      <c r="E18" s="19">
        <v>0.90200000000000002</v>
      </c>
      <c r="F18" s="19">
        <v>0.91100000000000003</v>
      </c>
      <c r="G18" s="16">
        <f t="shared" ref="G18:G23" si="2">(C18*1000*AVERAGE(D18:F18))/$B$2</f>
        <v>30.008326394671112</v>
      </c>
      <c r="H18" s="19">
        <f t="shared" ref="H18:H23" si="3">(C18*1000*STDEV(D18:F18))/$B$2</f>
        <v>0.35089604505754363</v>
      </c>
    </row>
    <row r="19" spans="1:8">
      <c r="A19" s="65">
        <v>11</v>
      </c>
      <c r="B19" s="63">
        <v>15.333333333333334</v>
      </c>
      <c r="C19" s="16">
        <v>2</v>
      </c>
      <c r="D19" s="19">
        <v>0.85299999999999998</v>
      </c>
      <c r="E19" s="19">
        <v>0.88600000000000001</v>
      </c>
      <c r="F19" s="19">
        <v>0.88900000000000001</v>
      </c>
      <c r="G19" s="16">
        <f t="shared" si="2"/>
        <v>29.175686927560367</v>
      </c>
      <c r="H19" s="19">
        <f t="shared" si="3"/>
        <v>0.66527841317029812</v>
      </c>
    </row>
    <row r="20" spans="1:8">
      <c r="A20" s="65">
        <v>12</v>
      </c>
      <c r="B20" s="63">
        <v>16.666666666666668</v>
      </c>
      <c r="C20" s="16">
        <v>2</v>
      </c>
      <c r="D20" s="19">
        <v>0.87</v>
      </c>
      <c r="E20" s="19">
        <v>0.878</v>
      </c>
      <c r="F20" s="19">
        <v>0.89600000000000002</v>
      </c>
      <c r="G20" s="16">
        <f t="shared" si="2"/>
        <v>29.353316680543994</v>
      </c>
      <c r="H20" s="19">
        <f t="shared" si="3"/>
        <v>0.44351894211353199</v>
      </c>
    </row>
    <row r="21" spans="1:8">
      <c r="A21" s="65">
        <v>13</v>
      </c>
      <c r="B21" s="63">
        <v>18</v>
      </c>
      <c r="C21" s="16">
        <v>2</v>
      </c>
      <c r="D21" s="19">
        <v>0.89800000000000002</v>
      </c>
      <c r="E21" s="19">
        <v>0.88100000000000001</v>
      </c>
      <c r="F21" s="19">
        <v>0.88400000000000001</v>
      </c>
      <c r="G21" s="16">
        <f t="shared" si="2"/>
        <v>29.564252012212044</v>
      </c>
      <c r="H21" s="19">
        <f t="shared" si="3"/>
        <v>0.30220721818076524</v>
      </c>
    </row>
    <row r="22" spans="1:8">
      <c r="A22" s="65">
        <v>14</v>
      </c>
      <c r="B22" s="63">
        <v>24</v>
      </c>
      <c r="C22" s="16">
        <v>2</v>
      </c>
      <c r="D22" s="19">
        <v>0.878</v>
      </c>
      <c r="E22" s="19">
        <v>0.86899999999999999</v>
      </c>
      <c r="F22" s="19">
        <v>0.85199999999999998</v>
      </c>
      <c r="G22" s="16">
        <f t="shared" si="2"/>
        <v>28.853733000277547</v>
      </c>
      <c r="H22" s="19">
        <f t="shared" si="3"/>
        <v>0.43975136986596453</v>
      </c>
    </row>
    <row r="23" spans="1:8">
      <c r="A23" s="65">
        <v>15</v>
      </c>
      <c r="B23" s="63">
        <v>30</v>
      </c>
      <c r="C23" s="16">
        <v>2</v>
      </c>
      <c r="D23" s="19">
        <v>0.87</v>
      </c>
      <c r="E23" s="19">
        <v>0.86399999999999999</v>
      </c>
      <c r="F23" s="19">
        <v>0.86299999999999999</v>
      </c>
      <c r="G23" s="16">
        <f t="shared" si="2"/>
        <v>28.831529281154598</v>
      </c>
      <c r="H23" s="19">
        <f t="shared" si="3"/>
        <v>0.12609288583514358</v>
      </c>
    </row>
    <row r="24" spans="1:8">
      <c r="A24" s="65">
        <v>16</v>
      </c>
      <c r="B24" s="63">
        <v>48</v>
      </c>
      <c r="C24" s="16">
        <v>2</v>
      </c>
      <c r="D24" s="19">
        <v>0.874</v>
      </c>
      <c r="E24" s="19">
        <v>0.86499999999999999</v>
      </c>
      <c r="F24" s="19">
        <v>0.86199999999999999</v>
      </c>
      <c r="G24" s="16">
        <f t="shared" ref="G24" si="4">(C24*1000*AVERAGE(D24:F24))/$B$2</f>
        <v>28.875936719400499</v>
      </c>
      <c r="H24" s="19">
        <f t="shared" ref="H24" si="5">(C24*1000*STDEV(D24:F24))/$B$2</f>
        <v>0.20799327221976366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A25" sqref="A25:XFD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67</v>
      </c>
      <c r="B2" s="17">
        <v>74.08</v>
      </c>
    </row>
    <row r="4" spans="1:8">
      <c r="A4" s="141" t="s">
        <v>67</v>
      </c>
      <c r="B4" s="142"/>
      <c r="C4" s="142"/>
      <c r="D4" s="142"/>
      <c r="E4" s="142"/>
      <c r="F4" s="142"/>
      <c r="G4" s="142"/>
      <c r="H4" s="143"/>
    </row>
    <row r="5" spans="1:8">
      <c r="A5" s="144" t="s">
        <v>62</v>
      </c>
      <c r="B5" s="142"/>
      <c r="C5" s="143"/>
      <c r="D5" s="145" t="s">
        <v>45</v>
      </c>
      <c r="E5" s="145" t="s">
        <v>46</v>
      </c>
      <c r="F5" s="145" t="s">
        <v>47</v>
      </c>
      <c r="G5" s="147" t="s">
        <v>63</v>
      </c>
      <c r="H5" s="147" t="s">
        <v>64</v>
      </c>
    </row>
    <row r="6" spans="1:8">
      <c r="A6" s="28" t="s">
        <v>4</v>
      </c>
      <c r="B6" s="28" t="s">
        <v>60</v>
      </c>
      <c r="C6" s="28" t="s">
        <v>19</v>
      </c>
      <c r="D6" s="146"/>
      <c r="E6" s="146"/>
      <c r="F6" s="146"/>
      <c r="G6" s="148"/>
      <c r="H6" s="148"/>
    </row>
    <row r="7" spans="1:8">
      <c r="A7" s="64">
        <v>0</v>
      </c>
      <c r="B7" s="62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65">
        <v>0</v>
      </c>
      <c r="B8" s="63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5">
        <v>1</v>
      </c>
      <c r="B9" s="63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5">
        <v>2</v>
      </c>
      <c r="B10" s="63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5">
        <v>3</v>
      </c>
      <c r="B11" s="63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5">
        <v>4</v>
      </c>
      <c r="B12" s="63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5">
        <v>5</v>
      </c>
      <c r="B13" s="63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5">
        <v>6</v>
      </c>
      <c r="B14" s="63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5">
        <v>7</v>
      </c>
      <c r="B15" s="63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5">
        <v>8</v>
      </c>
      <c r="B16" s="63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5">
        <v>9</v>
      </c>
      <c r="B17" s="63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5">
        <v>10</v>
      </c>
      <c r="B18" s="63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5">
        <v>11</v>
      </c>
      <c r="B19" s="63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5">
        <v>12</v>
      </c>
      <c r="B20" s="63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5">
        <v>13</v>
      </c>
      <c r="B21" s="63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5">
        <v>14</v>
      </c>
      <c r="B22" s="63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5">
        <v>15</v>
      </c>
      <c r="B23" s="63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5">
        <v>16</v>
      </c>
      <c r="B24" s="63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66</v>
      </c>
      <c r="B2" s="17">
        <v>88.11</v>
      </c>
    </row>
    <row r="4" spans="1:8">
      <c r="A4" s="141" t="s">
        <v>66</v>
      </c>
      <c r="B4" s="142"/>
      <c r="C4" s="142"/>
      <c r="D4" s="142"/>
      <c r="E4" s="142"/>
      <c r="F4" s="142"/>
      <c r="G4" s="142"/>
      <c r="H4" s="143"/>
    </row>
    <row r="5" spans="1:8">
      <c r="A5" s="144" t="s">
        <v>62</v>
      </c>
      <c r="B5" s="142"/>
      <c r="C5" s="143"/>
      <c r="D5" s="145" t="s">
        <v>45</v>
      </c>
      <c r="E5" s="145" t="s">
        <v>46</v>
      </c>
      <c r="F5" s="145" t="s">
        <v>47</v>
      </c>
      <c r="G5" s="147" t="s">
        <v>63</v>
      </c>
      <c r="H5" s="147" t="s">
        <v>64</v>
      </c>
    </row>
    <row r="6" spans="1:8">
      <c r="A6" s="28" t="s">
        <v>4</v>
      </c>
      <c r="B6" s="28" t="s">
        <v>60</v>
      </c>
      <c r="C6" s="28" t="s">
        <v>19</v>
      </c>
      <c r="D6" s="146"/>
      <c r="E6" s="146"/>
      <c r="F6" s="146"/>
      <c r="G6" s="148"/>
      <c r="H6" s="148"/>
    </row>
    <row r="7" spans="1:8">
      <c r="A7" s="64">
        <v>0</v>
      </c>
      <c r="B7" s="62">
        <v>-0.16666666666666666</v>
      </c>
      <c r="C7" s="16">
        <v>2</v>
      </c>
      <c r="D7" s="72">
        <v>1.0999999999999999E-2</v>
      </c>
      <c r="E7" s="73">
        <v>8.9999999999999993E-3</v>
      </c>
      <c r="F7" s="73">
        <v>1.2E-2</v>
      </c>
      <c r="G7" s="16">
        <f>(C7*1000*AVERAGE(D7:F7))/$B$2</f>
        <v>0.24212159043619716</v>
      </c>
      <c r="H7" s="19">
        <f>(C7*1000*STDEV(D7:F7))/$B$2</f>
        <v>3.4673141111155305E-2</v>
      </c>
    </row>
    <row r="8" spans="1:8">
      <c r="A8" s="65">
        <v>0</v>
      </c>
      <c r="B8" s="63">
        <v>0.16666666666666666</v>
      </c>
      <c r="C8" s="16">
        <v>2</v>
      </c>
      <c r="D8" s="55">
        <v>0.02</v>
      </c>
      <c r="E8" s="56">
        <v>1.9E-2</v>
      </c>
      <c r="F8" s="56">
        <v>1.7000000000000001E-2</v>
      </c>
      <c r="G8" s="16">
        <f>(C8*1000*AVERAGE(D8:F8))/$B$2</f>
        <v>0.42371278326334511</v>
      </c>
      <c r="H8" s="19">
        <f t="shared" ref="H8:H17" si="0">(C8*1000*STDEV(D8:F8))/$B$2</f>
        <v>3.4673141111155284E-2</v>
      </c>
    </row>
    <row r="9" spans="1:8">
      <c r="A9" s="65">
        <v>1</v>
      </c>
      <c r="B9" s="63">
        <v>2</v>
      </c>
      <c r="C9" s="16">
        <v>2</v>
      </c>
      <c r="D9" s="55">
        <v>2.9000000000000001E-2</v>
      </c>
      <c r="E9" s="56">
        <v>3.1E-2</v>
      </c>
      <c r="F9" s="56">
        <v>2.9000000000000001E-2</v>
      </c>
      <c r="G9" s="16">
        <f t="shared" ref="G9:G17" si="1">(C9*1000*AVERAGE(D9:F9))/$B$2</f>
        <v>0.67340067340067333</v>
      </c>
      <c r="H9" s="19">
        <f t="shared" si="0"/>
        <v>2.621043101530475E-2</v>
      </c>
    </row>
    <row r="10" spans="1:8">
      <c r="A10" s="65">
        <v>2</v>
      </c>
      <c r="B10" s="63">
        <v>3.3333333333333335</v>
      </c>
      <c r="C10" s="16">
        <v>2</v>
      </c>
      <c r="D10" s="54">
        <v>5.2999999999999999E-2</v>
      </c>
      <c r="E10" s="54">
        <v>5.0999999999999997E-2</v>
      </c>
      <c r="F10" s="54">
        <v>0.06</v>
      </c>
      <c r="G10" s="16">
        <f t="shared" si="1"/>
        <v>1.2408731509855104</v>
      </c>
      <c r="H10" s="19">
        <f t="shared" si="0"/>
        <v>0.10727081208154826</v>
      </c>
    </row>
    <row r="11" spans="1:8">
      <c r="A11" s="65">
        <v>3</v>
      </c>
      <c r="B11" s="63">
        <v>4.666666666666667</v>
      </c>
      <c r="C11" s="16">
        <v>2</v>
      </c>
      <c r="D11" s="54">
        <v>8.2000000000000003E-2</v>
      </c>
      <c r="E11" s="54">
        <v>7.1999999999999995E-2</v>
      </c>
      <c r="F11" s="54">
        <v>7.5999999999999998E-2</v>
      </c>
      <c r="G11" s="16">
        <f t="shared" si="1"/>
        <v>1.740248931260167</v>
      </c>
      <c r="H11" s="19">
        <f t="shared" si="0"/>
        <v>0.11424862006235777</v>
      </c>
    </row>
    <row r="12" spans="1:8">
      <c r="A12" s="65">
        <v>4</v>
      </c>
      <c r="B12" s="63">
        <v>6</v>
      </c>
      <c r="C12" s="16">
        <v>2</v>
      </c>
      <c r="D12" s="54">
        <v>0.14399999999999999</v>
      </c>
      <c r="E12" s="54">
        <v>0.123</v>
      </c>
      <c r="F12" s="54">
        <v>0.11899999999999999</v>
      </c>
      <c r="G12" s="16">
        <f t="shared" si="1"/>
        <v>2.9205916846366291</v>
      </c>
      <c r="H12" s="19">
        <f t="shared" si="0"/>
        <v>0.30481953737349038</v>
      </c>
    </row>
    <row r="13" spans="1:8">
      <c r="A13" s="65">
        <v>5</v>
      </c>
      <c r="B13" s="63">
        <v>7.333333333333333</v>
      </c>
      <c r="C13" s="16">
        <v>2</v>
      </c>
      <c r="D13" s="54">
        <v>0.21199999999999999</v>
      </c>
      <c r="E13" s="54">
        <v>0.22800000000000001</v>
      </c>
      <c r="F13" s="54">
        <v>0.24099999999999999</v>
      </c>
      <c r="G13" s="16">
        <f t="shared" si="1"/>
        <v>5.152650096470321</v>
      </c>
      <c r="H13" s="19">
        <f t="shared" si="0"/>
        <v>0.32972055490486779</v>
      </c>
    </row>
    <row r="14" spans="1:8">
      <c r="A14" s="65">
        <v>6</v>
      </c>
      <c r="B14" s="63">
        <v>8.6666666666666661</v>
      </c>
      <c r="C14" s="16">
        <v>2</v>
      </c>
      <c r="D14" s="54">
        <v>0.47</v>
      </c>
      <c r="E14" s="54">
        <v>0.46600000000000003</v>
      </c>
      <c r="F14" s="54">
        <v>0.45800000000000002</v>
      </c>
      <c r="G14" s="16">
        <f t="shared" si="1"/>
        <v>10.547421783376839</v>
      </c>
      <c r="H14" s="19">
        <f t="shared" si="0"/>
        <v>0.13869256444462078</v>
      </c>
    </row>
    <row r="15" spans="1:8">
      <c r="A15" s="65">
        <v>7</v>
      </c>
      <c r="B15" s="63">
        <v>10</v>
      </c>
      <c r="C15" s="16">
        <v>2</v>
      </c>
      <c r="D15" s="57">
        <v>0.80400000000000005</v>
      </c>
      <c r="E15" s="57">
        <v>0.79</v>
      </c>
      <c r="F15" s="57">
        <v>0.82099999999999995</v>
      </c>
      <c r="G15" s="16">
        <f t="shared" si="1"/>
        <v>18.272613778231754</v>
      </c>
      <c r="H15" s="19">
        <f t="shared" si="0"/>
        <v>0.35238167509385948</v>
      </c>
    </row>
    <row r="16" spans="1:8">
      <c r="A16" s="65">
        <v>8</v>
      </c>
      <c r="B16" s="63">
        <v>11.333333333333334</v>
      </c>
      <c r="C16" s="16">
        <v>2</v>
      </c>
      <c r="D16" s="57">
        <v>1.129</v>
      </c>
      <c r="E16" s="57">
        <v>1.097</v>
      </c>
      <c r="F16" s="57">
        <v>1.109</v>
      </c>
      <c r="G16" s="16">
        <f t="shared" si="1"/>
        <v>25.233609503272422</v>
      </c>
      <c r="H16" s="19">
        <f t="shared" si="0"/>
        <v>0.36694603421426703</v>
      </c>
    </row>
    <row r="17" spans="1:8">
      <c r="A17" s="65">
        <v>9</v>
      </c>
      <c r="B17" s="63">
        <v>12.666666666666666</v>
      </c>
      <c r="C17" s="16">
        <v>2</v>
      </c>
      <c r="D17" s="57">
        <v>1.41</v>
      </c>
      <c r="E17" s="57">
        <v>1.4339999999999999</v>
      </c>
      <c r="F17" s="57">
        <v>1.429</v>
      </c>
      <c r="G17" s="16">
        <f t="shared" si="1"/>
        <v>32.33079862293345</v>
      </c>
      <c r="H17" s="19">
        <f t="shared" si="0"/>
        <v>0.28741981482575002</v>
      </c>
    </row>
    <row r="18" spans="1:8">
      <c r="A18" s="65">
        <v>10</v>
      </c>
      <c r="B18" s="63">
        <v>14</v>
      </c>
      <c r="C18" s="16">
        <v>2</v>
      </c>
      <c r="D18" s="57">
        <v>1.53</v>
      </c>
      <c r="E18" s="57">
        <v>1.542</v>
      </c>
      <c r="F18" s="57">
        <v>1.58</v>
      </c>
      <c r="G18" s="16">
        <f t="shared" ref="G18:G23" si="2">(C18*1000*AVERAGE(D18:F18))/$B$2</f>
        <v>35.198426209662166</v>
      </c>
      <c r="H18" s="19">
        <f t="shared" ref="H18:H23" si="3">(C18*1000*STDEV(D18:F18))/$B$2</f>
        <v>0.59249489503126884</v>
      </c>
    </row>
    <row r="19" spans="1:8">
      <c r="A19" s="65">
        <v>11</v>
      </c>
      <c r="B19" s="63">
        <v>15.333333333333334</v>
      </c>
      <c r="C19" s="16">
        <v>2</v>
      </c>
      <c r="D19" s="57">
        <v>1.5860000000000001</v>
      </c>
      <c r="E19" s="57">
        <v>1.619</v>
      </c>
      <c r="F19" s="57">
        <v>1.617</v>
      </c>
      <c r="G19" s="16">
        <f t="shared" si="2"/>
        <v>36.484697158854459</v>
      </c>
      <c r="H19" s="19">
        <f t="shared" si="3"/>
        <v>0.4199807539478041</v>
      </c>
    </row>
    <row r="20" spans="1:8">
      <c r="A20" s="65">
        <v>12</v>
      </c>
      <c r="B20" s="63">
        <v>16.666666666666668</v>
      </c>
      <c r="C20" s="16">
        <v>2</v>
      </c>
      <c r="D20" s="57">
        <v>1.675</v>
      </c>
      <c r="E20" s="57">
        <v>1.673</v>
      </c>
      <c r="F20" s="57">
        <v>1.675</v>
      </c>
      <c r="G20" s="16">
        <f t="shared" si="2"/>
        <v>38.005523398781826</v>
      </c>
      <c r="H20" s="19">
        <f t="shared" si="3"/>
        <v>2.6210431015304791E-2</v>
      </c>
    </row>
    <row r="21" spans="1:8">
      <c r="A21" s="65">
        <v>13</v>
      </c>
      <c r="B21" s="63">
        <v>18</v>
      </c>
      <c r="C21" s="16">
        <v>2</v>
      </c>
      <c r="D21" s="57">
        <v>1.732</v>
      </c>
      <c r="E21" s="57">
        <v>1.7190000000000001</v>
      </c>
      <c r="F21" s="57">
        <v>1.72</v>
      </c>
      <c r="G21" s="16">
        <f t="shared" si="2"/>
        <v>39.125335754549241</v>
      </c>
      <c r="H21" s="19">
        <f t="shared" si="3"/>
        <v>0.16420787965203054</v>
      </c>
    </row>
    <row r="22" spans="1:8">
      <c r="A22" s="65">
        <v>14</v>
      </c>
      <c r="B22" s="63">
        <v>24</v>
      </c>
      <c r="C22" s="16">
        <v>2</v>
      </c>
      <c r="D22" s="57">
        <v>1.8049999999999999</v>
      </c>
      <c r="E22" s="57">
        <v>1.8029999999999999</v>
      </c>
      <c r="F22" s="57">
        <v>1.7649999999999999</v>
      </c>
      <c r="G22" s="16">
        <f t="shared" si="2"/>
        <v>40.653728294177725</v>
      </c>
      <c r="H22" s="19">
        <f t="shared" si="3"/>
        <v>0.51160720324978559</v>
      </c>
    </row>
    <row r="23" spans="1:8">
      <c r="A23" s="65">
        <v>15</v>
      </c>
      <c r="B23" s="63">
        <v>30</v>
      </c>
      <c r="C23" s="16">
        <v>2</v>
      </c>
      <c r="D23" s="57">
        <v>1.823</v>
      </c>
      <c r="E23" s="57">
        <v>1.821</v>
      </c>
      <c r="F23" s="57">
        <v>1.8169999999999999</v>
      </c>
      <c r="G23" s="16">
        <f t="shared" si="2"/>
        <v>41.319562667877271</v>
      </c>
      <c r="H23" s="19">
        <f t="shared" si="3"/>
        <v>6.9346282222310665E-2</v>
      </c>
    </row>
    <row r="24" spans="1:8">
      <c r="A24" s="65">
        <v>16</v>
      </c>
      <c r="B24" s="63">
        <v>48</v>
      </c>
      <c r="C24" s="16">
        <v>2</v>
      </c>
      <c r="D24" s="57">
        <v>1.845</v>
      </c>
      <c r="E24" s="57">
        <v>1.85</v>
      </c>
      <c r="F24" s="57">
        <v>1.8380000000000001</v>
      </c>
      <c r="G24" s="16">
        <f t="shared" ref="G24" si="4">(C24*1000*AVERAGE(D24:F24))/$B$2</f>
        <v>41.864336246358725</v>
      </c>
      <c r="H24" s="19">
        <f t="shared" ref="H24" si="5">(C24*1000*STDEV(D24:F24))/$B$2</f>
        <v>0.13682246676521864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41" t="s">
        <v>42</v>
      </c>
      <c r="B4" s="142"/>
      <c r="C4" s="142"/>
      <c r="D4" s="142"/>
      <c r="E4" s="142"/>
      <c r="F4" s="142"/>
      <c r="G4" s="142"/>
      <c r="H4" s="143"/>
    </row>
    <row r="5" spans="1:8">
      <c r="A5" s="144" t="s">
        <v>62</v>
      </c>
      <c r="B5" s="142"/>
      <c r="C5" s="143"/>
      <c r="D5" s="145" t="s">
        <v>45</v>
      </c>
      <c r="E5" s="145" t="s">
        <v>46</v>
      </c>
      <c r="F5" s="145" t="s">
        <v>47</v>
      </c>
      <c r="G5" s="147" t="s">
        <v>63</v>
      </c>
      <c r="H5" s="147" t="s">
        <v>64</v>
      </c>
    </row>
    <row r="6" spans="1:8">
      <c r="A6" s="22" t="s">
        <v>4</v>
      </c>
      <c r="B6" s="22" t="s">
        <v>60</v>
      </c>
      <c r="C6" s="22" t="s">
        <v>19</v>
      </c>
      <c r="D6" s="146"/>
      <c r="E6" s="146"/>
      <c r="F6" s="146"/>
      <c r="G6" s="148"/>
      <c r="H6" s="148"/>
    </row>
    <row r="7" spans="1:8">
      <c r="A7" s="64">
        <v>0</v>
      </c>
      <c r="B7" s="62">
        <v>-0.16666666666666666</v>
      </c>
      <c r="C7" s="16">
        <v>2</v>
      </c>
      <c r="D7" s="41">
        <v>1.4E-2</v>
      </c>
      <c r="E7" s="41">
        <v>1.4E-2</v>
      </c>
      <c r="F7" s="41">
        <v>1.0999999999999999E-2</v>
      </c>
      <c r="G7" s="16">
        <f>(C7*1000*AVERAGE(D7:F7))/$B$2</f>
        <v>0.28863232682060391</v>
      </c>
      <c r="H7" s="19">
        <f>(C7*1000*STDEV(D7:F7))/$B$2</f>
        <v>3.8455834981547025E-2</v>
      </c>
    </row>
    <row r="8" spans="1:8">
      <c r="A8" s="65">
        <v>0</v>
      </c>
      <c r="B8" s="63">
        <v>0.16666666666666666</v>
      </c>
      <c r="C8" s="16">
        <v>2</v>
      </c>
      <c r="D8" s="41">
        <v>1.4E-2</v>
      </c>
      <c r="E8" s="41">
        <v>1.0999999999999999E-2</v>
      </c>
      <c r="F8" s="41">
        <v>1.2E-2</v>
      </c>
      <c r="G8" s="16">
        <f t="shared" ref="G8:G23" si="0">(C8*1000*AVERAGE(D8:F8))/$B$2</f>
        <v>0.27383066903493197</v>
      </c>
      <c r="H8" s="19">
        <f t="shared" ref="H8:H23" si="1">(C8*1000*STDEV(D8:F8))/$B$2</f>
        <v>3.3914858606837191E-2</v>
      </c>
    </row>
    <row r="9" spans="1:8">
      <c r="A9" s="65">
        <v>1</v>
      </c>
      <c r="B9" s="63">
        <v>2</v>
      </c>
      <c r="C9" s="16">
        <v>2</v>
      </c>
      <c r="D9" s="41">
        <v>1.2E-2</v>
      </c>
      <c r="E9" s="41">
        <v>1.0999999999999999E-2</v>
      </c>
      <c r="F9" s="41">
        <v>1.0999999999999999E-2</v>
      </c>
      <c r="G9" s="16">
        <f t="shared" si="0"/>
        <v>0.25162818235642392</v>
      </c>
      <c r="H9" s="19">
        <f t="shared" si="1"/>
        <v>1.2818611660515679E-2</v>
      </c>
    </row>
    <row r="10" spans="1:8">
      <c r="A10" s="65">
        <v>2</v>
      </c>
      <c r="B10" s="63">
        <v>3.3333333333333335</v>
      </c>
      <c r="C10" s="16">
        <v>2</v>
      </c>
      <c r="D10" s="54">
        <v>1.4999999999999999E-2</v>
      </c>
      <c r="E10" s="54">
        <v>1.2999999999999999E-2</v>
      </c>
      <c r="F10" s="54">
        <v>1.2999999999999999E-2</v>
      </c>
      <c r="G10" s="16">
        <f t="shared" si="0"/>
        <v>0.30343398460627591</v>
      </c>
      <c r="H10" s="19">
        <f t="shared" si="1"/>
        <v>2.5637223321031345E-2</v>
      </c>
    </row>
    <row r="11" spans="1:8">
      <c r="A11" s="65">
        <v>3</v>
      </c>
      <c r="B11" s="63">
        <v>4.666666666666667</v>
      </c>
      <c r="C11" s="16">
        <v>2</v>
      </c>
      <c r="D11" s="54">
        <v>1.6E-2</v>
      </c>
      <c r="E11" s="54">
        <v>1.7000000000000001E-2</v>
      </c>
      <c r="F11" s="54">
        <v>1.4E-2</v>
      </c>
      <c r="G11" s="16">
        <f t="shared" si="0"/>
        <v>0.34783895796329189</v>
      </c>
      <c r="H11" s="19">
        <f t="shared" si="1"/>
        <v>3.3914858606837198E-2</v>
      </c>
    </row>
    <row r="12" spans="1:8">
      <c r="A12" s="65">
        <v>4</v>
      </c>
      <c r="B12" s="63">
        <v>6</v>
      </c>
      <c r="C12" s="16">
        <v>2</v>
      </c>
      <c r="D12" s="54">
        <v>1.7000000000000001E-2</v>
      </c>
      <c r="E12" s="54">
        <v>1.4E-2</v>
      </c>
      <c r="F12" s="54">
        <v>1.4999999999999999E-2</v>
      </c>
      <c r="G12" s="16">
        <f t="shared" si="0"/>
        <v>0.3404381290704559</v>
      </c>
      <c r="H12" s="19">
        <f t="shared" si="1"/>
        <v>3.3914858606837198E-2</v>
      </c>
    </row>
    <row r="13" spans="1:8">
      <c r="A13" s="65">
        <v>5</v>
      </c>
      <c r="B13" s="63">
        <v>7.333333333333333</v>
      </c>
      <c r="C13" s="16">
        <v>2</v>
      </c>
      <c r="D13" s="54">
        <v>1.2E-2</v>
      </c>
      <c r="E13" s="54">
        <v>1.4999999999999999E-2</v>
      </c>
      <c r="F13" s="54">
        <v>1.6E-2</v>
      </c>
      <c r="G13" s="16">
        <f t="shared" si="0"/>
        <v>0.3182356423919479</v>
      </c>
      <c r="H13" s="19">
        <f t="shared" si="1"/>
        <v>4.6218161622249836E-2</v>
      </c>
    </row>
    <row r="14" spans="1:8">
      <c r="A14" s="65">
        <v>6</v>
      </c>
      <c r="B14" s="63">
        <v>8.6666666666666661</v>
      </c>
      <c r="C14" s="16">
        <v>2</v>
      </c>
      <c r="D14" s="54">
        <v>1.6E-2</v>
      </c>
      <c r="E14" s="54">
        <v>1.7000000000000001E-2</v>
      </c>
      <c r="F14" s="54">
        <v>1.4999999999999999E-2</v>
      </c>
      <c r="G14" s="16">
        <f t="shared" si="0"/>
        <v>0.35523978685612789</v>
      </c>
      <c r="H14" s="19">
        <f t="shared" si="1"/>
        <v>2.2202486678508014E-2</v>
      </c>
    </row>
    <row r="15" spans="1:8">
      <c r="A15" s="65">
        <v>7</v>
      </c>
      <c r="B15" s="63">
        <v>10</v>
      </c>
      <c r="C15" s="16">
        <v>2</v>
      </c>
      <c r="D15" s="54">
        <v>1.7999999999999999E-2</v>
      </c>
      <c r="E15" s="54">
        <v>1.7999999999999999E-2</v>
      </c>
      <c r="F15" s="54">
        <v>1.7999999999999999E-2</v>
      </c>
      <c r="G15" s="16">
        <f t="shared" si="0"/>
        <v>0.39964476021314388</v>
      </c>
      <c r="H15" s="19">
        <f t="shared" si="1"/>
        <v>0</v>
      </c>
    </row>
    <row r="16" spans="1:8">
      <c r="A16" s="65">
        <v>8</v>
      </c>
      <c r="B16" s="63">
        <v>11.333333333333334</v>
      </c>
      <c r="C16" s="16">
        <v>2</v>
      </c>
      <c r="D16" s="54">
        <v>1.7999999999999999E-2</v>
      </c>
      <c r="E16" s="54">
        <v>1.6E-2</v>
      </c>
      <c r="F16" s="54">
        <v>1.6E-2</v>
      </c>
      <c r="G16" s="16">
        <f t="shared" si="0"/>
        <v>0.37004144464179989</v>
      </c>
      <c r="H16" s="19">
        <f t="shared" si="1"/>
        <v>2.563722332103132E-2</v>
      </c>
    </row>
    <row r="17" spans="1:8">
      <c r="A17" s="65">
        <v>9</v>
      </c>
      <c r="B17" s="63">
        <v>12.666666666666666</v>
      </c>
      <c r="C17" s="16">
        <v>2</v>
      </c>
      <c r="D17" s="54">
        <v>1.9E-2</v>
      </c>
      <c r="E17" s="54">
        <v>0.02</v>
      </c>
      <c r="F17" s="54">
        <v>0.02</v>
      </c>
      <c r="G17" s="16">
        <f t="shared" si="0"/>
        <v>0.43664890467732381</v>
      </c>
      <c r="H17" s="19">
        <f t="shared" si="1"/>
        <v>1.2818611660515679E-2</v>
      </c>
    </row>
    <row r="18" spans="1:8">
      <c r="A18" s="65">
        <v>10</v>
      </c>
      <c r="B18" s="63">
        <v>14</v>
      </c>
      <c r="C18" s="16">
        <v>2</v>
      </c>
      <c r="D18" s="41">
        <v>2.3E-2</v>
      </c>
      <c r="E18" s="41">
        <v>2.3E-2</v>
      </c>
      <c r="F18" s="41">
        <v>2.7E-2</v>
      </c>
      <c r="G18" s="16">
        <f t="shared" si="0"/>
        <v>0.54026050917702784</v>
      </c>
      <c r="H18" s="19">
        <f t="shared" si="1"/>
        <v>5.1274446642062689E-2</v>
      </c>
    </row>
    <row r="19" spans="1:8">
      <c r="A19" s="65">
        <v>11</v>
      </c>
      <c r="B19" s="63">
        <v>15.333333333333334</v>
      </c>
      <c r="C19" s="16">
        <v>2</v>
      </c>
      <c r="D19" s="54">
        <v>3.1E-2</v>
      </c>
      <c r="E19" s="54">
        <v>3.3000000000000002E-2</v>
      </c>
      <c r="F19" s="54">
        <v>3.1E-2</v>
      </c>
      <c r="G19" s="16">
        <f t="shared" si="0"/>
        <v>0.70307874481941979</v>
      </c>
      <c r="H19" s="19">
        <f t="shared" si="1"/>
        <v>2.5637223321031358E-2</v>
      </c>
    </row>
    <row r="20" spans="1:8">
      <c r="A20" s="65">
        <v>12</v>
      </c>
      <c r="B20" s="63">
        <v>16.666666666666668</v>
      </c>
      <c r="C20" s="16">
        <v>2</v>
      </c>
      <c r="D20" s="54">
        <v>4.3999999999999997E-2</v>
      </c>
      <c r="E20" s="54">
        <v>4.3999999999999997E-2</v>
      </c>
      <c r="F20" s="54">
        <v>4.4999999999999998E-2</v>
      </c>
      <c r="G20" s="16">
        <f t="shared" si="0"/>
        <v>0.9843102427471877</v>
      </c>
      <c r="H20" s="19">
        <f t="shared" si="1"/>
        <v>1.2818611660515681E-2</v>
      </c>
    </row>
    <row r="21" spans="1:8">
      <c r="A21" s="65">
        <v>13</v>
      </c>
      <c r="B21" s="63">
        <v>18</v>
      </c>
      <c r="C21" s="16">
        <v>2</v>
      </c>
      <c r="D21" s="54">
        <v>5.8000000000000003E-2</v>
      </c>
      <c r="E21" s="54">
        <v>5.8000000000000003E-2</v>
      </c>
      <c r="F21" s="54">
        <v>5.8000000000000003E-2</v>
      </c>
      <c r="G21" s="16">
        <f t="shared" si="0"/>
        <v>1.2877442273534636</v>
      </c>
      <c r="H21" s="19">
        <f t="shared" si="1"/>
        <v>0</v>
      </c>
    </row>
    <row r="22" spans="1:8">
      <c r="A22" s="65">
        <v>14</v>
      </c>
      <c r="B22" s="63">
        <v>24</v>
      </c>
      <c r="C22" s="16">
        <v>2</v>
      </c>
      <c r="D22" s="54">
        <v>9.9000000000000005E-2</v>
      </c>
      <c r="E22" s="54">
        <v>9.9000000000000005E-2</v>
      </c>
      <c r="F22" s="54">
        <v>9.6000000000000002E-2</v>
      </c>
      <c r="G22" s="16">
        <f t="shared" si="0"/>
        <v>2.1758436944937838</v>
      </c>
      <c r="H22" s="19">
        <f t="shared" si="1"/>
        <v>3.8455834981547039E-2</v>
      </c>
    </row>
    <row r="23" spans="1:8">
      <c r="A23" s="65">
        <v>15</v>
      </c>
      <c r="B23" s="63">
        <v>30</v>
      </c>
      <c r="C23" s="16">
        <v>2</v>
      </c>
      <c r="D23" s="54">
        <v>0.111</v>
      </c>
      <c r="E23" s="54">
        <v>0.111</v>
      </c>
      <c r="F23" s="54">
        <v>0.106</v>
      </c>
      <c r="G23" s="16">
        <f t="shared" si="0"/>
        <v>2.4274718768502073</v>
      </c>
      <c r="H23" s="19">
        <f t="shared" si="1"/>
        <v>6.4093058302578415E-2</v>
      </c>
    </row>
    <row r="24" spans="1:8">
      <c r="A24" s="65">
        <v>16</v>
      </c>
      <c r="B24" s="63">
        <v>48</v>
      </c>
      <c r="C24" s="16">
        <v>2</v>
      </c>
      <c r="D24" s="54">
        <v>0.121</v>
      </c>
      <c r="E24" s="54">
        <v>0.121</v>
      </c>
      <c r="F24" s="54">
        <v>0.12</v>
      </c>
      <c r="G24" s="16">
        <f t="shared" ref="G24" si="2">(C24*1000*AVERAGE(D24:F24))/$B$2</f>
        <v>2.6791000592066312</v>
      </c>
      <c r="H24" s="19">
        <f t="shared" ref="H24" si="3">(C24*1000*STDEV(D24:F24))/$B$2</f>
        <v>1.2818611660515681E-2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25" sqref="A25:XFD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41" t="s">
        <v>44</v>
      </c>
      <c r="B4" s="142"/>
      <c r="C4" s="142"/>
      <c r="D4" s="142"/>
      <c r="E4" s="142"/>
      <c r="F4" s="142"/>
      <c r="G4" s="142"/>
      <c r="H4" s="143"/>
    </row>
    <row r="5" spans="1:8">
      <c r="A5" s="144" t="s">
        <v>62</v>
      </c>
      <c r="B5" s="142"/>
      <c r="C5" s="143"/>
      <c r="D5" s="145" t="s">
        <v>45</v>
      </c>
      <c r="E5" s="145" t="s">
        <v>46</v>
      </c>
      <c r="F5" s="145" t="s">
        <v>47</v>
      </c>
      <c r="G5" s="147" t="s">
        <v>63</v>
      </c>
      <c r="H5" s="147" t="s">
        <v>64</v>
      </c>
    </row>
    <row r="6" spans="1:8">
      <c r="A6" s="22" t="s">
        <v>4</v>
      </c>
      <c r="B6" s="22" t="s">
        <v>60</v>
      </c>
      <c r="C6" s="22" t="s">
        <v>19</v>
      </c>
      <c r="D6" s="146"/>
      <c r="E6" s="146"/>
      <c r="F6" s="146"/>
      <c r="G6" s="148"/>
      <c r="H6" s="148"/>
    </row>
    <row r="7" spans="1:8">
      <c r="A7" s="64">
        <v>0</v>
      </c>
      <c r="B7" s="62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5">
        <v>0</v>
      </c>
      <c r="B8" s="63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5">
        <v>1</v>
      </c>
      <c r="B9" s="63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5">
        <v>2</v>
      </c>
      <c r="B10" s="63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5">
        <v>3</v>
      </c>
      <c r="B11" s="63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5">
        <v>4</v>
      </c>
      <c r="B12" s="63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5">
        <v>5</v>
      </c>
      <c r="B13" s="63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5">
        <v>6</v>
      </c>
      <c r="B14" s="63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5">
        <v>7</v>
      </c>
      <c r="B15" s="63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5">
        <v>8</v>
      </c>
      <c r="B16" s="63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5">
        <v>9</v>
      </c>
      <c r="B17" s="63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5">
        <v>10</v>
      </c>
      <c r="B18" s="63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5">
        <v>11</v>
      </c>
      <c r="B19" s="63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5">
        <v>12</v>
      </c>
      <c r="B20" s="63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5">
        <v>13</v>
      </c>
      <c r="B21" s="63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5">
        <v>14</v>
      </c>
      <c r="B22" s="63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5">
        <v>15</v>
      </c>
      <c r="B23" s="63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5">
        <v>16</v>
      </c>
      <c r="B24" s="63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8"/>
  <sheetViews>
    <sheetView workbookViewId="0">
      <selection activeCell="C19" sqref="C19"/>
    </sheetView>
  </sheetViews>
  <sheetFormatPr baseColWidth="10" defaultColWidth="8.83203125" defaultRowHeight="14" x14ac:dyDescent="0"/>
  <cols>
    <col min="1" max="1" width="26.1640625" customWidth="1"/>
  </cols>
  <sheetData>
    <row r="1" spans="1:5">
      <c r="B1" s="30" t="s">
        <v>78</v>
      </c>
      <c r="C1" s="30" t="s">
        <v>79</v>
      </c>
    </row>
    <row r="2" spans="1:5">
      <c r="A2" s="30" t="s">
        <v>143</v>
      </c>
      <c r="B2" s="69">
        <f>Metabolites!H4-Metabolites!H20</f>
        <v>30.123899347761114</v>
      </c>
      <c r="C2" s="69">
        <f>Metabolites!I4+Metabolites!I20</f>
        <v>0.81173700393343684</v>
      </c>
    </row>
    <row r="3" spans="1:5">
      <c r="A3" s="30" t="s">
        <v>122</v>
      </c>
      <c r="B3" s="69">
        <f>Metabolites!P4-Metabolites!P20</f>
        <v>18.585045463703327</v>
      </c>
      <c r="C3" s="69">
        <f>Metabolites!Q4+Metabolites!Q20</f>
        <v>0.58276112390264201</v>
      </c>
    </row>
    <row r="4" spans="1:5">
      <c r="A4" s="30" t="s">
        <v>123</v>
      </c>
      <c r="B4" s="69">
        <f>Metabolites!T20-Metabolites!T4</f>
        <v>30.094189271890283</v>
      </c>
      <c r="C4" s="69">
        <f>Metabolites!U4+Metabolites!U20</f>
        <v>0.48848525455121494</v>
      </c>
    </row>
    <row r="5" spans="1:5">
      <c r="A5" s="30" t="s">
        <v>124</v>
      </c>
      <c r="B5" s="69">
        <f>Metabolites!L20-Metabolites!L4</f>
        <v>2.4876221344713416</v>
      </c>
      <c r="C5" s="69">
        <f>Metabolites!M20+Metabolites!M4</f>
        <v>4.7127501033291296E-2</v>
      </c>
    </row>
    <row r="6" spans="1:5">
      <c r="A6" s="30" t="s">
        <v>125</v>
      </c>
      <c r="B6" s="69">
        <f>Metabolites!L41-Metabolites!L25</f>
        <v>42.727489538262276</v>
      </c>
      <c r="C6" s="69">
        <f>Metabolites!M41+Metabolites!M25</f>
        <v>0.17570138794093004</v>
      </c>
    </row>
    <row r="7" spans="1:5">
      <c r="A7" s="30" t="s">
        <v>80</v>
      </c>
      <c r="B7" s="69">
        <f>'H2'!G101</f>
        <v>8.2482284781721732E-2</v>
      </c>
      <c r="C7" s="69"/>
    </row>
    <row r="8" spans="1:5">
      <c r="A8" s="30" t="s">
        <v>81</v>
      </c>
      <c r="B8" s="69">
        <f>'CO2'!G105</f>
        <v>32.246768618699541</v>
      </c>
      <c r="C8" s="69"/>
    </row>
    <row r="9" spans="1:5">
      <c r="A9" s="30" t="s">
        <v>126</v>
      </c>
      <c r="B9" s="69">
        <f>Calculation!G20*1.5/1000</f>
        <v>5.5500000000000001E-2</v>
      </c>
      <c r="C9" s="69"/>
    </row>
    <row r="10" spans="1:5" ht="16">
      <c r="A10" s="30" t="s">
        <v>127</v>
      </c>
      <c r="B10" s="69">
        <f>Calculation!H20*1.5/1000</f>
        <v>0</v>
      </c>
      <c r="C10" s="69"/>
    </row>
    <row r="12" spans="1:5">
      <c r="A12" s="30" t="s">
        <v>82</v>
      </c>
      <c r="B12" s="66">
        <f>((4*$B$6)+(3*$B$5)+($B$4)+(B8))/((6*$B$2)+(2*$B$3))</f>
        <v>1.1046300334389931</v>
      </c>
    </row>
    <row r="14" spans="1:5">
      <c r="A14" s="60"/>
      <c r="B14" s="60"/>
      <c r="C14" s="60" t="s">
        <v>129</v>
      </c>
      <c r="D14" s="60" t="s">
        <v>130</v>
      </c>
    </row>
    <row r="15" spans="1:5">
      <c r="A15" s="60" t="s">
        <v>167</v>
      </c>
      <c r="B15" s="60" t="s">
        <v>131</v>
      </c>
      <c r="C15" s="70">
        <f>B2</f>
        <v>30.123899347761114</v>
      </c>
      <c r="D15" s="70">
        <f>B2</f>
        <v>30.123899347761114</v>
      </c>
      <c r="E15" s="60"/>
    </row>
    <row r="16" spans="1:5">
      <c r="A16" s="60" t="s">
        <v>168</v>
      </c>
      <c r="B16" s="60" t="s">
        <v>132</v>
      </c>
      <c r="C16" s="70">
        <f>2*C15</f>
        <v>60.247798695522228</v>
      </c>
      <c r="D16" s="70">
        <f>2*B2</f>
        <v>60.247798695522228</v>
      </c>
      <c r="E16" s="60"/>
    </row>
    <row r="17" spans="1:5">
      <c r="A17" s="60" t="s">
        <v>169</v>
      </c>
      <c r="B17" s="60" t="s">
        <v>133</v>
      </c>
      <c r="C17" s="70">
        <f>B5</f>
        <v>2.4876221344713416</v>
      </c>
      <c r="D17" s="70">
        <f>B5</f>
        <v>2.4876221344713416</v>
      </c>
      <c r="E17" s="60"/>
    </row>
    <row r="18" spans="1:5">
      <c r="A18" s="60" t="s">
        <v>170</v>
      </c>
      <c r="B18" s="60" t="s">
        <v>134</v>
      </c>
      <c r="C18" s="70">
        <f>B4</f>
        <v>30.094189271890283</v>
      </c>
      <c r="D18" s="70">
        <f>B4</f>
        <v>30.094189271890283</v>
      </c>
      <c r="E18" s="60"/>
    </row>
    <row r="19" spans="1:5">
      <c r="A19" s="60" t="s">
        <v>171</v>
      </c>
      <c r="B19" s="60" t="s">
        <v>135</v>
      </c>
      <c r="C19" s="71">
        <f>C16-C17-C18</f>
        <v>27.665987289160601</v>
      </c>
      <c r="D19" s="71">
        <f>B8</f>
        <v>32.246768618699541</v>
      </c>
      <c r="E19" s="60"/>
    </row>
    <row r="20" spans="1:5">
      <c r="A20" s="60" t="s">
        <v>172</v>
      </c>
      <c r="B20" s="60" t="s">
        <v>136</v>
      </c>
      <c r="C20" s="70">
        <f>B3</f>
        <v>18.585045463703327</v>
      </c>
      <c r="D20" s="70">
        <f>B3</f>
        <v>18.585045463703327</v>
      </c>
      <c r="E20" s="60"/>
    </row>
    <row r="21" spans="1:5">
      <c r="A21" s="60" t="s">
        <v>173</v>
      </c>
      <c r="B21" s="60" t="s">
        <v>138</v>
      </c>
      <c r="C21" s="70">
        <f>C16-C17+C20</f>
        <v>76.345222024754207</v>
      </c>
      <c r="D21" s="70">
        <f>B6</f>
        <v>42.727489538262276</v>
      </c>
      <c r="E21" s="60"/>
    </row>
    <row r="22" spans="1:5">
      <c r="A22" s="60" t="s">
        <v>174</v>
      </c>
      <c r="B22" s="60" t="s">
        <v>139</v>
      </c>
      <c r="C22" s="71">
        <f>C21/2</f>
        <v>38.172611012377104</v>
      </c>
      <c r="D22" s="71">
        <f>B6</f>
        <v>42.727489538262276</v>
      </c>
      <c r="E22" s="60"/>
    </row>
    <row r="23" spans="1:5">
      <c r="A23" s="60" t="s">
        <v>175</v>
      </c>
      <c r="B23" s="60"/>
      <c r="C23">
        <v>0</v>
      </c>
      <c r="D23" s="69">
        <f>B7</f>
        <v>8.2482284781721732E-2</v>
      </c>
      <c r="E23" s="60"/>
    </row>
    <row r="24" spans="1:5">
      <c r="A24" s="60"/>
      <c r="B24" s="60"/>
      <c r="C24" s="61"/>
      <c r="D24" s="61"/>
      <c r="E24" s="60"/>
    </row>
    <row r="25" spans="1:5">
      <c r="A25" s="60"/>
      <c r="B25" s="60"/>
      <c r="C25" s="60"/>
      <c r="D25" s="60"/>
      <c r="E25" s="60"/>
    </row>
    <row r="26" spans="1:5">
      <c r="A26" s="60"/>
      <c r="B26" s="60"/>
      <c r="C26" s="60"/>
      <c r="D26" s="60"/>
      <c r="E26" s="60"/>
    </row>
    <row r="27" spans="1:5">
      <c r="A27" s="60"/>
      <c r="B27" s="60"/>
      <c r="C27" s="60"/>
      <c r="D27" s="60"/>
      <c r="E27" s="60"/>
    </row>
    <row r="28" spans="1:5">
      <c r="C28" s="60"/>
      <c r="D28" s="60"/>
      <c r="E28" s="6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26" sqref="K26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14" t="s">
        <v>4</v>
      </c>
      <c r="B1" s="114" t="s">
        <v>116</v>
      </c>
      <c r="C1" s="114" t="s">
        <v>116</v>
      </c>
      <c r="D1" s="114" t="s">
        <v>5</v>
      </c>
      <c r="E1" s="4" t="s">
        <v>7</v>
      </c>
      <c r="F1" s="4" t="s">
        <v>9</v>
      </c>
      <c r="G1" s="113" t="s">
        <v>11</v>
      </c>
      <c r="H1" s="113" t="s">
        <v>12</v>
      </c>
      <c r="I1" s="4" t="s">
        <v>13</v>
      </c>
      <c r="J1" s="4" t="s">
        <v>16</v>
      </c>
      <c r="K1" s="4" t="s">
        <v>16</v>
      </c>
    </row>
    <row r="2" spans="1:11">
      <c r="A2" s="115"/>
      <c r="B2" s="115"/>
      <c r="C2" s="115"/>
      <c r="D2" s="115"/>
      <c r="E2" s="5" t="s">
        <v>8</v>
      </c>
      <c r="F2" s="5" t="s">
        <v>10</v>
      </c>
      <c r="G2" s="113"/>
      <c r="H2" s="113"/>
      <c r="I2" s="5" t="s">
        <v>14</v>
      </c>
      <c r="J2" s="5" t="s">
        <v>17</v>
      </c>
      <c r="K2" s="5" t="s">
        <v>140</v>
      </c>
    </row>
    <row r="3" spans="1:11">
      <c r="A3" s="32" t="s">
        <v>6</v>
      </c>
      <c r="B3" s="31">
        <v>-10</v>
      </c>
      <c r="C3" s="31">
        <f>B3</f>
        <v>-10</v>
      </c>
      <c r="D3" s="13">
        <f>C3/60</f>
        <v>-0.16666666666666666</v>
      </c>
      <c r="E3" s="3">
        <v>46</v>
      </c>
      <c r="F3" s="1">
        <f>E3</f>
        <v>46</v>
      </c>
      <c r="G3" s="1">
        <v>0</v>
      </c>
      <c r="H3" s="1">
        <v>0</v>
      </c>
      <c r="I3" s="1">
        <f>$F$22+G3+H3</f>
        <v>1500</v>
      </c>
      <c r="J3" s="13">
        <f>F3*1500/I3</f>
        <v>46</v>
      </c>
      <c r="K3" s="13">
        <f>$F$23-J3</f>
        <v>1529</v>
      </c>
    </row>
    <row r="4" spans="1:11">
      <c r="A4" s="1">
        <v>0</v>
      </c>
      <c r="B4" s="31">
        <v>10</v>
      </c>
      <c r="C4" s="31">
        <f>B4</f>
        <v>10</v>
      </c>
      <c r="D4" s="13">
        <f t="shared" ref="D4:D19" si="0">C4/60</f>
        <v>0.16666666666666666</v>
      </c>
      <c r="E4" s="1">
        <v>46</v>
      </c>
      <c r="F4" s="1">
        <f>E4+F3</f>
        <v>92</v>
      </c>
      <c r="G4" s="39">
        <v>0</v>
      </c>
      <c r="H4" s="39">
        <v>0</v>
      </c>
      <c r="I4" s="1">
        <f t="shared" ref="I4:I20" si="1">$F$23-F3+G4+H4</f>
        <v>1529</v>
      </c>
      <c r="J4" s="13">
        <f>E4*K3/I4</f>
        <v>46</v>
      </c>
      <c r="K4" s="13">
        <f>K3-J4</f>
        <v>1483</v>
      </c>
    </row>
    <row r="5" spans="1:11">
      <c r="A5" s="1">
        <v>1</v>
      </c>
      <c r="B5" s="31">
        <v>110</v>
      </c>
      <c r="C5" s="31">
        <f>C4+B5</f>
        <v>120</v>
      </c>
      <c r="D5" s="13">
        <f t="shared" si="0"/>
        <v>2</v>
      </c>
      <c r="E5" s="1">
        <v>45</v>
      </c>
      <c r="F5" s="1">
        <f t="shared" ref="F5:F18" si="2">E5+F4</f>
        <v>137</v>
      </c>
      <c r="G5" s="39">
        <v>0</v>
      </c>
      <c r="H5" s="39">
        <v>0</v>
      </c>
      <c r="I5" s="39">
        <f t="shared" si="1"/>
        <v>1483</v>
      </c>
      <c r="J5" s="13">
        <f t="shared" ref="J5:J13" si="3">E5*K4/I5</f>
        <v>45</v>
      </c>
      <c r="K5" s="13">
        <f>K4-J5</f>
        <v>1438</v>
      </c>
    </row>
    <row r="6" spans="1:11">
      <c r="A6" s="1">
        <v>2</v>
      </c>
      <c r="B6" s="31">
        <v>80</v>
      </c>
      <c r="C6" s="31">
        <f>C5+B6</f>
        <v>200</v>
      </c>
      <c r="D6" s="13">
        <f t="shared" si="0"/>
        <v>3.3333333333333335</v>
      </c>
      <c r="E6" s="1">
        <v>46</v>
      </c>
      <c r="F6" s="1">
        <f t="shared" si="2"/>
        <v>183</v>
      </c>
      <c r="G6" s="39">
        <v>0</v>
      </c>
      <c r="H6" s="39">
        <v>0</v>
      </c>
      <c r="I6" s="39">
        <f t="shared" si="1"/>
        <v>1438</v>
      </c>
      <c r="J6" s="13">
        <f>E6*K5/I6</f>
        <v>46</v>
      </c>
      <c r="K6" s="13">
        <f t="shared" ref="K6:K13" si="4">K5-J6</f>
        <v>1392</v>
      </c>
    </row>
    <row r="7" spans="1:11">
      <c r="A7" s="1">
        <v>3</v>
      </c>
      <c r="B7" s="31">
        <v>80</v>
      </c>
      <c r="C7" s="31">
        <f>C6+B7</f>
        <v>280</v>
      </c>
      <c r="D7" s="13">
        <f t="shared" si="0"/>
        <v>4.666666666666667</v>
      </c>
      <c r="E7" s="1">
        <v>41</v>
      </c>
      <c r="F7" s="1">
        <f t="shared" si="2"/>
        <v>224</v>
      </c>
      <c r="G7" s="39">
        <v>1</v>
      </c>
      <c r="H7" s="39">
        <v>0</v>
      </c>
      <c r="I7" s="39">
        <f t="shared" si="1"/>
        <v>1393</v>
      </c>
      <c r="J7" s="13">
        <f>E7*K6/I7</f>
        <v>40.97056712132089</v>
      </c>
      <c r="K7" s="13">
        <f>K6-J7</f>
        <v>1351.029432878679</v>
      </c>
    </row>
    <row r="8" spans="1:11">
      <c r="A8" s="1">
        <v>4</v>
      </c>
      <c r="B8" s="31">
        <v>80</v>
      </c>
      <c r="C8" s="31">
        <f t="shared" ref="C8:C18" si="5">C7+B8</f>
        <v>360</v>
      </c>
      <c r="D8" s="13">
        <f t="shared" si="0"/>
        <v>6</v>
      </c>
      <c r="E8" s="1">
        <v>46</v>
      </c>
      <c r="F8" s="1">
        <f t="shared" si="2"/>
        <v>270</v>
      </c>
      <c r="G8" s="39">
        <v>2</v>
      </c>
      <c r="H8" s="39">
        <v>0</v>
      </c>
      <c r="I8" s="39">
        <f t="shared" si="1"/>
        <v>1353</v>
      </c>
      <c r="J8" s="13">
        <f t="shared" si="3"/>
        <v>45.933003630760702</v>
      </c>
      <c r="K8" s="13">
        <f t="shared" si="4"/>
        <v>1305.0964292479184</v>
      </c>
    </row>
    <row r="9" spans="1:11">
      <c r="A9" s="1">
        <v>5</v>
      </c>
      <c r="B9" s="31">
        <v>80</v>
      </c>
      <c r="C9" s="31">
        <f t="shared" si="5"/>
        <v>440</v>
      </c>
      <c r="D9" s="13">
        <f t="shared" si="0"/>
        <v>7.333333333333333</v>
      </c>
      <c r="E9" s="1">
        <v>45</v>
      </c>
      <c r="F9" s="1">
        <f t="shared" si="2"/>
        <v>315</v>
      </c>
      <c r="G9" s="39">
        <v>6</v>
      </c>
      <c r="H9" s="39">
        <v>0</v>
      </c>
      <c r="I9" s="39">
        <f t="shared" si="1"/>
        <v>1311</v>
      </c>
      <c r="J9" s="13">
        <f t="shared" si="3"/>
        <v>44.797360271667678</v>
      </c>
      <c r="K9" s="13">
        <f t="shared" si="4"/>
        <v>1260.2990689762507</v>
      </c>
    </row>
    <row r="10" spans="1:11">
      <c r="A10" s="1">
        <v>6</v>
      </c>
      <c r="B10" s="31">
        <v>80</v>
      </c>
      <c r="C10" s="31">
        <f t="shared" si="5"/>
        <v>520</v>
      </c>
      <c r="D10" s="13">
        <f t="shared" si="0"/>
        <v>8.6666666666666661</v>
      </c>
      <c r="E10" s="1">
        <v>37</v>
      </c>
      <c r="F10" s="1">
        <f t="shared" si="2"/>
        <v>352</v>
      </c>
      <c r="G10" s="39">
        <v>14</v>
      </c>
      <c r="H10" s="39">
        <v>0</v>
      </c>
      <c r="I10" s="39">
        <f t="shared" si="1"/>
        <v>1274</v>
      </c>
      <c r="J10" s="13">
        <f t="shared" si="3"/>
        <v>36.602092270110894</v>
      </c>
      <c r="K10" s="13">
        <f t="shared" si="4"/>
        <v>1223.6969767061398</v>
      </c>
    </row>
    <row r="11" spans="1:11">
      <c r="A11" s="1">
        <v>7</v>
      </c>
      <c r="B11" s="31">
        <v>80</v>
      </c>
      <c r="C11" s="31">
        <f t="shared" si="5"/>
        <v>600</v>
      </c>
      <c r="D11" s="13">
        <f t="shared" si="0"/>
        <v>10</v>
      </c>
      <c r="E11" s="1">
        <v>37</v>
      </c>
      <c r="F11" s="1">
        <f t="shared" si="2"/>
        <v>389</v>
      </c>
      <c r="G11" s="39">
        <v>22</v>
      </c>
      <c r="H11" s="39">
        <v>0</v>
      </c>
      <c r="I11" s="39">
        <f t="shared" si="1"/>
        <v>1245</v>
      </c>
      <c r="J11" s="13">
        <f t="shared" si="3"/>
        <v>36.366898102913389</v>
      </c>
      <c r="K11" s="13">
        <f t="shared" si="4"/>
        <v>1187.3300786032264</v>
      </c>
    </row>
    <row r="12" spans="1:11">
      <c r="A12" s="1">
        <v>8</v>
      </c>
      <c r="B12" s="31">
        <v>80</v>
      </c>
      <c r="C12" s="31">
        <f t="shared" si="5"/>
        <v>680</v>
      </c>
      <c r="D12" s="13">
        <f t="shared" si="0"/>
        <v>11.333333333333334</v>
      </c>
      <c r="E12" s="1">
        <v>42</v>
      </c>
      <c r="F12" s="1">
        <f t="shared" si="2"/>
        <v>431</v>
      </c>
      <c r="G12" s="39">
        <v>29</v>
      </c>
      <c r="H12" s="39">
        <v>0</v>
      </c>
      <c r="I12" s="39">
        <f t="shared" si="1"/>
        <v>1215</v>
      </c>
      <c r="J12" s="13">
        <f t="shared" si="3"/>
        <v>41.043508889988068</v>
      </c>
      <c r="K12" s="13">
        <f t="shared" si="4"/>
        <v>1146.2865697132384</v>
      </c>
    </row>
    <row r="13" spans="1:11">
      <c r="A13" s="1">
        <v>9</v>
      </c>
      <c r="B13" s="31">
        <v>80</v>
      </c>
      <c r="C13" s="31">
        <f t="shared" si="5"/>
        <v>760</v>
      </c>
      <c r="D13" s="13">
        <f t="shared" si="0"/>
        <v>12.666666666666666</v>
      </c>
      <c r="E13" s="1">
        <v>53</v>
      </c>
      <c r="F13" s="1">
        <f t="shared" si="2"/>
        <v>484</v>
      </c>
      <c r="G13" s="39">
        <v>33</v>
      </c>
      <c r="H13" s="39">
        <v>0</v>
      </c>
      <c r="I13" s="39">
        <f t="shared" si="1"/>
        <v>1177</v>
      </c>
      <c r="J13" s="13">
        <f t="shared" si="3"/>
        <v>51.616982323535794</v>
      </c>
      <c r="K13" s="13">
        <f t="shared" si="4"/>
        <v>1094.6695873897027</v>
      </c>
    </row>
    <row r="14" spans="1:11">
      <c r="A14" s="36">
        <v>10</v>
      </c>
      <c r="B14" s="31">
        <v>80</v>
      </c>
      <c r="C14" s="31">
        <f t="shared" si="5"/>
        <v>840</v>
      </c>
      <c r="D14" s="13">
        <f t="shared" si="0"/>
        <v>14</v>
      </c>
      <c r="E14" s="3">
        <v>48</v>
      </c>
      <c r="F14" s="36">
        <f t="shared" si="2"/>
        <v>532</v>
      </c>
      <c r="G14" s="39">
        <v>35</v>
      </c>
      <c r="H14" s="39">
        <v>0</v>
      </c>
      <c r="I14" s="39">
        <f t="shared" si="1"/>
        <v>1126</v>
      </c>
      <c r="J14" s="13">
        <f t="shared" ref="J14:J19" si="6">E14*K13/I14</f>
        <v>46.664422908264413</v>
      </c>
      <c r="K14" s="13">
        <f t="shared" ref="K14:K19" si="7">K13-J14</f>
        <v>1048.0051644814382</v>
      </c>
    </row>
    <row r="15" spans="1:11">
      <c r="A15" s="36">
        <v>11</v>
      </c>
      <c r="B15" s="31">
        <v>80</v>
      </c>
      <c r="C15" s="31">
        <f t="shared" si="5"/>
        <v>920</v>
      </c>
      <c r="D15" s="13">
        <f t="shared" si="0"/>
        <v>15.333333333333334</v>
      </c>
      <c r="E15" s="36">
        <v>52</v>
      </c>
      <c r="F15" s="36">
        <f t="shared" si="2"/>
        <v>584</v>
      </c>
      <c r="G15" s="39">
        <v>35</v>
      </c>
      <c r="H15" s="39">
        <v>0</v>
      </c>
      <c r="I15" s="39">
        <f t="shared" si="1"/>
        <v>1078</v>
      </c>
      <c r="J15" s="13">
        <f t="shared" si="6"/>
        <v>50.553124817286445</v>
      </c>
      <c r="K15" s="13">
        <f t="shared" si="7"/>
        <v>997.45203966415181</v>
      </c>
    </row>
    <row r="16" spans="1:11">
      <c r="A16" s="36">
        <v>12</v>
      </c>
      <c r="B16" s="31">
        <v>80</v>
      </c>
      <c r="C16" s="31">
        <f t="shared" si="5"/>
        <v>1000</v>
      </c>
      <c r="D16" s="13">
        <f t="shared" si="0"/>
        <v>16.666666666666668</v>
      </c>
      <c r="E16" s="36">
        <v>45</v>
      </c>
      <c r="F16" s="36">
        <f t="shared" si="2"/>
        <v>629</v>
      </c>
      <c r="G16" s="39">
        <v>36</v>
      </c>
      <c r="H16" s="39">
        <v>0</v>
      </c>
      <c r="I16" s="39">
        <f t="shared" si="1"/>
        <v>1027</v>
      </c>
      <c r="J16" s="13">
        <f t="shared" si="6"/>
        <v>43.705298719461375</v>
      </c>
      <c r="K16" s="13">
        <f t="shared" si="7"/>
        <v>953.74674094469049</v>
      </c>
    </row>
    <row r="17" spans="1:11">
      <c r="A17" s="36">
        <v>13</v>
      </c>
      <c r="B17" s="31">
        <v>80</v>
      </c>
      <c r="C17" s="31">
        <f t="shared" si="5"/>
        <v>1080</v>
      </c>
      <c r="D17" s="13">
        <f t="shared" si="0"/>
        <v>18</v>
      </c>
      <c r="E17" s="36">
        <v>59</v>
      </c>
      <c r="F17" s="36">
        <f t="shared" si="2"/>
        <v>688</v>
      </c>
      <c r="G17" s="39">
        <v>36</v>
      </c>
      <c r="H17" s="39">
        <v>0</v>
      </c>
      <c r="I17" s="39">
        <f t="shared" si="1"/>
        <v>982</v>
      </c>
      <c r="J17" s="13">
        <f t="shared" si="6"/>
        <v>57.302502765516024</v>
      </c>
      <c r="K17" s="13">
        <f t="shared" si="7"/>
        <v>896.44423817917448</v>
      </c>
    </row>
    <row r="18" spans="1:11">
      <c r="A18" s="36">
        <v>14</v>
      </c>
      <c r="B18" s="31">
        <v>360</v>
      </c>
      <c r="C18" s="31">
        <f t="shared" si="5"/>
        <v>1440</v>
      </c>
      <c r="D18" s="13">
        <f t="shared" si="0"/>
        <v>24</v>
      </c>
      <c r="E18" s="36">
        <v>57</v>
      </c>
      <c r="F18" s="36">
        <f t="shared" si="2"/>
        <v>745</v>
      </c>
      <c r="G18" s="39">
        <v>37</v>
      </c>
      <c r="H18" s="39">
        <v>0</v>
      </c>
      <c r="I18" s="39">
        <f t="shared" si="1"/>
        <v>924</v>
      </c>
      <c r="J18" s="13">
        <f t="shared" si="6"/>
        <v>55.30013157598804</v>
      </c>
      <c r="K18" s="13">
        <f t="shared" si="7"/>
        <v>841.1441066031864</v>
      </c>
    </row>
    <row r="19" spans="1:11">
      <c r="A19" s="36">
        <v>15</v>
      </c>
      <c r="B19" s="31">
        <v>360</v>
      </c>
      <c r="C19" s="31">
        <f>C18+B19</f>
        <v>1800</v>
      </c>
      <c r="D19" s="13">
        <f t="shared" si="0"/>
        <v>30</v>
      </c>
      <c r="E19" s="36">
        <v>56</v>
      </c>
      <c r="F19" s="36">
        <f>E19+F18</f>
        <v>801</v>
      </c>
      <c r="G19" s="39">
        <v>37</v>
      </c>
      <c r="H19" s="39">
        <v>0</v>
      </c>
      <c r="I19" s="39">
        <f t="shared" si="1"/>
        <v>867</v>
      </c>
      <c r="J19" s="13">
        <f t="shared" si="6"/>
        <v>54.329953829040875</v>
      </c>
      <c r="K19" s="13">
        <f t="shared" si="7"/>
        <v>786.81415277414555</v>
      </c>
    </row>
    <row r="20" spans="1:11">
      <c r="A20" s="39">
        <v>16</v>
      </c>
      <c r="B20" s="31">
        <v>1080</v>
      </c>
      <c r="C20" s="31">
        <f>C19+B20</f>
        <v>2880</v>
      </c>
      <c r="D20" s="13">
        <f t="shared" ref="D20" si="8">C20/60</f>
        <v>48</v>
      </c>
      <c r="E20" s="39">
        <v>36</v>
      </c>
      <c r="F20" s="39">
        <f t="shared" ref="F20" si="9">E20+F19</f>
        <v>837</v>
      </c>
      <c r="G20" s="39">
        <v>37</v>
      </c>
      <c r="H20" s="39">
        <v>0</v>
      </c>
      <c r="I20" s="39">
        <f t="shared" si="1"/>
        <v>811</v>
      </c>
      <c r="J20" s="13">
        <f t="shared" ref="J20" si="10">E20*K19/I20</f>
        <v>34.926398890097708</v>
      </c>
      <c r="K20" s="13">
        <f t="shared" ref="K20" si="11">K19-J20</f>
        <v>751.88775388404781</v>
      </c>
    </row>
    <row r="22" spans="1:11">
      <c r="A22" s="110" t="s">
        <v>15</v>
      </c>
      <c r="B22" s="111"/>
      <c r="C22" s="111"/>
      <c r="D22" s="111"/>
      <c r="E22" s="112"/>
      <c r="F22" s="1">
        <v>1500</v>
      </c>
    </row>
    <row r="23" spans="1:11">
      <c r="A23" s="110" t="s">
        <v>15</v>
      </c>
      <c r="B23" s="111"/>
      <c r="C23" s="111"/>
      <c r="D23" s="111"/>
      <c r="E23" s="112"/>
      <c r="F23" s="39">
        <v>1575</v>
      </c>
    </row>
  </sheetData>
  <mergeCells count="8">
    <mergeCell ref="A23:E23"/>
    <mergeCell ref="A1:A2"/>
    <mergeCell ref="D1:D2"/>
    <mergeCell ref="G1:G2"/>
    <mergeCell ref="H1:H2"/>
    <mergeCell ref="A22:E22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D3" sqref="D3:D21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14" t="s">
        <v>4</v>
      </c>
      <c r="B1" s="114" t="s">
        <v>116</v>
      </c>
      <c r="C1" s="114" t="s">
        <v>116</v>
      </c>
      <c r="D1" s="114" t="s">
        <v>5</v>
      </c>
      <c r="E1" s="119" t="s">
        <v>18</v>
      </c>
      <c r="F1" s="119"/>
      <c r="G1" s="119"/>
      <c r="H1" s="119"/>
      <c r="I1" s="119" t="s">
        <v>20</v>
      </c>
      <c r="J1" s="119"/>
      <c r="K1" s="119"/>
      <c r="L1" s="119"/>
      <c r="M1" s="119" t="s">
        <v>21</v>
      </c>
      <c r="N1" s="119"/>
      <c r="O1" s="119"/>
      <c r="P1" s="119"/>
      <c r="Q1" s="37" t="s">
        <v>22</v>
      </c>
      <c r="R1" s="37" t="s">
        <v>22</v>
      </c>
      <c r="S1" s="37" t="s">
        <v>22</v>
      </c>
    </row>
    <row r="2" spans="1:19">
      <c r="A2" s="115"/>
      <c r="B2" s="115"/>
      <c r="C2" s="115"/>
      <c r="D2" s="115"/>
      <c r="E2" s="40" t="s">
        <v>19</v>
      </c>
      <c r="F2" s="40" t="s">
        <v>68</v>
      </c>
      <c r="G2" s="40" t="s">
        <v>117</v>
      </c>
      <c r="H2" s="40" t="s">
        <v>70</v>
      </c>
      <c r="I2" s="40" t="s">
        <v>19</v>
      </c>
      <c r="J2" s="40" t="s">
        <v>68</v>
      </c>
      <c r="K2" s="40" t="s">
        <v>69</v>
      </c>
      <c r="L2" s="40" t="s">
        <v>70</v>
      </c>
      <c r="M2" s="40" t="s">
        <v>19</v>
      </c>
      <c r="N2" s="40" t="s">
        <v>68</v>
      </c>
      <c r="O2" s="40" t="s">
        <v>69</v>
      </c>
      <c r="P2" s="40" t="s">
        <v>71</v>
      </c>
      <c r="Q2" s="38" t="s">
        <v>70</v>
      </c>
      <c r="R2" s="38" t="s">
        <v>23</v>
      </c>
      <c r="S2" s="38" t="s">
        <v>72</v>
      </c>
    </row>
    <row r="3" spans="1:19" s="6" customFormat="1">
      <c r="A3" s="39" t="s">
        <v>6</v>
      </c>
      <c r="B3" s="31">
        <v>-10</v>
      </c>
      <c r="C3" s="31">
        <f>B3</f>
        <v>-10</v>
      </c>
      <c r="D3" s="13">
        <f>C3/60</f>
        <v>-0.16666666666666666</v>
      </c>
      <c r="Q3" s="116"/>
      <c r="R3" s="117"/>
      <c r="S3" s="118"/>
    </row>
    <row r="4" spans="1:19">
      <c r="A4" s="39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Q4" s="44" t="e">
        <f>AVERAGE('Flow cytometer'!P4,'Flow cytometer'!L4,'Flow cytometer'!H4)*Calculation!K4/Calculation!M3</f>
        <v>#DIV/0!</v>
      </c>
      <c r="R4" s="44" t="e">
        <f>STDEV('Flow cytometer'!P4,'Flow cytometer'!L4,'Flow cytometer'!H4)*Calculation!K4/Calculation!M3</f>
        <v>#DIV/0!</v>
      </c>
      <c r="S4" s="45" t="e">
        <f t="shared" ref="S4:S19" si="1">LOG(Q4)</f>
        <v>#DIV/0!</v>
      </c>
    </row>
    <row r="5" spans="1:19">
      <c r="A5" s="39">
        <v>1</v>
      </c>
      <c r="B5" s="31">
        <v>110</v>
      </c>
      <c r="C5" s="31">
        <f>C4+B5</f>
        <v>120</v>
      </c>
      <c r="D5" s="13">
        <f t="shared" si="0"/>
        <v>2</v>
      </c>
      <c r="Q5" s="44" t="e">
        <f>AVERAGE('Flow cytometer'!P5,'Flow cytometer'!L5,'Flow cytometer'!H5)*Calculation!K5/Calculation!M4</f>
        <v>#DIV/0!</v>
      </c>
      <c r="R5" s="44" t="e">
        <f>STDEV('Flow cytometer'!P5,'Flow cytometer'!L5,'Flow cytometer'!H5)*Calculation!K5/Calculation!M4</f>
        <v>#DIV/0!</v>
      </c>
      <c r="S5" s="45" t="e">
        <f t="shared" si="1"/>
        <v>#DIV/0!</v>
      </c>
    </row>
    <row r="6" spans="1:19">
      <c r="A6" s="39">
        <v>2</v>
      </c>
      <c r="B6" s="31">
        <v>80</v>
      </c>
      <c r="C6" s="31">
        <f>C5+B6</f>
        <v>200</v>
      </c>
      <c r="D6" s="13">
        <f t="shared" si="0"/>
        <v>3.3333333333333335</v>
      </c>
      <c r="Q6" s="44" t="e">
        <f>AVERAGE('Flow cytometer'!P6,'Flow cytometer'!L6,'Flow cytometer'!H6)*Calculation!K6/Calculation!M5</f>
        <v>#DIV/0!</v>
      </c>
      <c r="R6" s="44" t="e">
        <f>STDEV('Flow cytometer'!P6,'Flow cytometer'!L6,'Flow cytometer'!H6)*Calculation!K6/Calculation!M5</f>
        <v>#DIV/0!</v>
      </c>
      <c r="S6" s="45" t="e">
        <f t="shared" si="1"/>
        <v>#DIV/0!</v>
      </c>
    </row>
    <row r="7" spans="1:19">
      <c r="A7" s="39">
        <v>3</v>
      </c>
      <c r="B7" s="31">
        <v>80</v>
      </c>
      <c r="C7" s="31">
        <f>C6+B7</f>
        <v>280</v>
      </c>
      <c r="D7" s="13">
        <f t="shared" si="0"/>
        <v>4.666666666666667</v>
      </c>
      <c r="Q7" s="44" t="e">
        <f>AVERAGE('Flow cytometer'!P7,'Flow cytometer'!L7,'Flow cytometer'!H7)*Calculation!K7/Calculation!M6</f>
        <v>#DIV/0!</v>
      </c>
      <c r="R7" s="44" t="e">
        <f>STDEV('Flow cytometer'!P7,'Flow cytometer'!L7,'Flow cytometer'!H7)*Calculation!K7/Calculation!M6</f>
        <v>#DIV/0!</v>
      </c>
      <c r="S7" s="45" t="e">
        <f t="shared" si="1"/>
        <v>#DIV/0!</v>
      </c>
    </row>
    <row r="8" spans="1:19">
      <c r="A8" s="39">
        <v>4</v>
      </c>
      <c r="B8" s="31">
        <v>80</v>
      </c>
      <c r="C8" s="31">
        <f t="shared" ref="C8:C18" si="2">C7+B8</f>
        <v>360</v>
      </c>
      <c r="D8" s="13">
        <f t="shared" si="0"/>
        <v>6</v>
      </c>
      <c r="Q8" s="44" t="e">
        <f>AVERAGE('Flow cytometer'!P8,'Flow cytometer'!L8,'Flow cytometer'!H8)*Calculation!K8/Calculation!M7</f>
        <v>#DIV/0!</v>
      </c>
      <c r="R8" s="44" t="e">
        <f>STDEV('Flow cytometer'!P8,'Flow cytometer'!L8,'Flow cytometer'!H8)*Calculation!K8/Calculation!M7</f>
        <v>#DIV/0!</v>
      </c>
      <c r="S8" s="45" t="e">
        <f t="shared" si="1"/>
        <v>#DIV/0!</v>
      </c>
    </row>
    <row r="9" spans="1:19">
      <c r="A9" s="39">
        <v>5</v>
      </c>
      <c r="B9" s="31">
        <v>80</v>
      </c>
      <c r="C9" s="31">
        <f t="shared" si="2"/>
        <v>440</v>
      </c>
      <c r="D9" s="13">
        <f t="shared" si="0"/>
        <v>7.333333333333333</v>
      </c>
      <c r="Q9" s="44" t="e">
        <f>AVERAGE('Flow cytometer'!P9,'Flow cytometer'!L9,'Flow cytometer'!H9)*Calculation!K9/Calculation!M8</f>
        <v>#DIV/0!</v>
      </c>
      <c r="R9" s="44" t="e">
        <f>STDEV('Flow cytometer'!P9,'Flow cytometer'!L9,'Flow cytometer'!H9)*Calculation!K9/Calculation!M8</f>
        <v>#DIV/0!</v>
      </c>
      <c r="S9" s="45" t="e">
        <f t="shared" si="1"/>
        <v>#DIV/0!</v>
      </c>
    </row>
    <row r="10" spans="1:19">
      <c r="A10" s="39">
        <v>6</v>
      </c>
      <c r="B10" s="31">
        <v>80</v>
      </c>
      <c r="C10" s="31">
        <f t="shared" si="2"/>
        <v>520</v>
      </c>
      <c r="D10" s="13">
        <f t="shared" si="0"/>
        <v>8.6666666666666661</v>
      </c>
      <c r="Q10" s="44" t="e">
        <f>AVERAGE('Flow cytometer'!P10,'Flow cytometer'!L10,'Flow cytometer'!H10)*Calculation!K10/Calculation!M9</f>
        <v>#DIV/0!</v>
      </c>
      <c r="R10" s="44" t="e">
        <f>STDEV('Flow cytometer'!P10,'Flow cytometer'!L10,'Flow cytometer'!H10)*Calculation!K10/Calculation!M9</f>
        <v>#DIV/0!</v>
      </c>
      <c r="S10" s="45" t="e">
        <f t="shared" si="1"/>
        <v>#DIV/0!</v>
      </c>
    </row>
    <row r="11" spans="1:19">
      <c r="A11" s="39">
        <v>7</v>
      </c>
      <c r="B11" s="31">
        <v>80</v>
      </c>
      <c r="C11" s="31">
        <f t="shared" si="2"/>
        <v>600</v>
      </c>
      <c r="D11" s="13">
        <f t="shared" si="0"/>
        <v>10</v>
      </c>
      <c r="Q11" s="44" t="e">
        <f>AVERAGE('Flow cytometer'!P11,'Flow cytometer'!L11,'Flow cytometer'!H11)*Calculation!K11/Calculation!M10</f>
        <v>#DIV/0!</v>
      </c>
      <c r="R11" s="44" t="e">
        <f>STDEV('Flow cytometer'!P11,'Flow cytometer'!L11,'Flow cytometer'!H11)*Calculation!K11/Calculation!M10</f>
        <v>#DIV/0!</v>
      </c>
      <c r="S11" s="45" t="e">
        <f t="shared" si="1"/>
        <v>#DIV/0!</v>
      </c>
    </row>
    <row r="12" spans="1:19">
      <c r="A12" s="39">
        <v>8</v>
      </c>
      <c r="B12" s="31">
        <v>80</v>
      </c>
      <c r="C12" s="31">
        <f t="shared" si="2"/>
        <v>680</v>
      </c>
      <c r="D12" s="13">
        <f t="shared" si="0"/>
        <v>11.333333333333334</v>
      </c>
      <c r="Q12" s="44" t="e">
        <f>AVERAGE('Flow cytometer'!P12,'Flow cytometer'!L12,'Flow cytometer'!H12)*Calculation!K12/Calculation!M11</f>
        <v>#DIV/0!</v>
      </c>
      <c r="R12" s="44" t="e">
        <f>STDEV('Flow cytometer'!P12,'Flow cytometer'!L12,'Flow cytometer'!H12)*Calculation!K12/Calculation!M11</f>
        <v>#DIV/0!</v>
      </c>
      <c r="S12" s="45" t="e">
        <f t="shared" si="1"/>
        <v>#DIV/0!</v>
      </c>
    </row>
    <row r="13" spans="1:19">
      <c r="A13" s="39">
        <v>9</v>
      </c>
      <c r="B13" s="31">
        <v>80</v>
      </c>
      <c r="C13" s="31">
        <f t="shared" si="2"/>
        <v>760</v>
      </c>
      <c r="D13" s="13">
        <f t="shared" si="0"/>
        <v>12.666666666666666</v>
      </c>
      <c r="Q13" s="44" t="e">
        <f>AVERAGE('Flow cytometer'!P13,'Flow cytometer'!L13,'Flow cytometer'!H13)*Calculation!K13/Calculation!M12</f>
        <v>#DIV/0!</v>
      </c>
      <c r="R13" s="44" t="e">
        <f>STDEV('Flow cytometer'!P13,'Flow cytometer'!L13,'Flow cytometer'!H13)*Calculation!K13/Calculation!M12</f>
        <v>#DIV/0!</v>
      </c>
      <c r="S13" s="45" t="e">
        <f t="shared" si="1"/>
        <v>#DIV/0!</v>
      </c>
    </row>
    <row r="14" spans="1:19">
      <c r="A14" s="39">
        <v>10</v>
      </c>
      <c r="B14" s="31">
        <v>80</v>
      </c>
      <c r="C14" s="31">
        <f t="shared" si="2"/>
        <v>840</v>
      </c>
      <c r="D14" s="13">
        <f t="shared" si="0"/>
        <v>14</v>
      </c>
      <c r="Q14" s="44" t="e">
        <f>AVERAGE('Flow cytometer'!P14,'Flow cytometer'!L14,'Flow cytometer'!H14)*Calculation!K14/Calculation!M13</f>
        <v>#DIV/0!</v>
      </c>
      <c r="R14" s="44" t="e">
        <f>STDEV('Flow cytometer'!P14,'Flow cytometer'!L14,'Flow cytometer'!H14)*Calculation!K14/Calculation!M13</f>
        <v>#DIV/0!</v>
      </c>
      <c r="S14" s="45" t="e">
        <f t="shared" si="1"/>
        <v>#DIV/0!</v>
      </c>
    </row>
    <row r="15" spans="1:19">
      <c r="A15" s="39">
        <v>11</v>
      </c>
      <c r="B15" s="31">
        <v>80</v>
      </c>
      <c r="C15" s="31">
        <f t="shared" si="2"/>
        <v>920</v>
      </c>
      <c r="D15" s="13">
        <f t="shared" si="0"/>
        <v>15.333333333333334</v>
      </c>
      <c r="Q15" s="44" t="e">
        <f>AVERAGE('Flow cytometer'!P15,'Flow cytometer'!L15,'Flow cytometer'!H15)*Calculation!K15/Calculation!M14</f>
        <v>#DIV/0!</v>
      </c>
      <c r="R15" s="44" t="e">
        <f>STDEV('Flow cytometer'!P15,'Flow cytometer'!L15,'Flow cytometer'!H15)*Calculation!K15/Calculation!M14</f>
        <v>#DIV/0!</v>
      </c>
      <c r="S15" s="45" t="e">
        <f t="shared" si="1"/>
        <v>#DIV/0!</v>
      </c>
    </row>
    <row r="16" spans="1:19">
      <c r="A16" s="39">
        <v>12</v>
      </c>
      <c r="B16" s="31">
        <v>80</v>
      </c>
      <c r="C16" s="31">
        <f t="shared" si="2"/>
        <v>1000</v>
      </c>
      <c r="D16" s="13">
        <f t="shared" si="0"/>
        <v>16.666666666666668</v>
      </c>
      <c r="Q16" s="44" t="e">
        <f>AVERAGE('Flow cytometer'!P16,'Flow cytometer'!L16,'Flow cytometer'!H16)*Calculation!K16/Calculation!M15</f>
        <v>#DIV/0!</v>
      </c>
      <c r="R16" s="44" t="e">
        <f>STDEV('Flow cytometer'!P16,'Flow cytometer'!L16,'Flow cytometer'!H16)*Calculation!K16/Calculation!M15</f>
        <v>#DIV/0!</v>
      </c>
      <c r="S16" s="45" t="e">
        <f t="shared" si="1"/>
        <v>#DIV/0!</v>
      </c>
    </row>
    <row r="17" spans="1:19">
      <c r="A17" s="39">
        <v>13</v>
      </c>
      <c r="B17" s="31">
        <v>80</v>
      </c>
      <c r="C17" s="31">
        <f t="shared" si="2"/>
        <v>1080</v>
      </c>
      <c r="D17" s="13">
        <f t="shared" si="0"/>
        <v>18</v>
      </c>
      <c r="Q17" s="44" t="e">
        <f>AVERAGE('Flow cytometer'!P17,'Flow cytometer'!L17,'Flow cytometer'!H17)*Calculation!K17/Calculation!M16</f>
        <v>#DIV/0!</v>
      </c>
      <c r="R17" s="44" t="e">
        <f>STDEV('Flow cytometer'!P17,'Flow cytometer'!L17,'Flow cytometer'!H17)*Calculation!K17/Calculation!M16</f>
        <v>#DIV/0!</v>
      </c>
      <c r="S17" s="45" t="e">
        <f t="shared" si="1"/>
        <v>#DIV/0!</v>
      </c>
    </row>
    <row r="18" spans="1:19">
      <c r="A18" s="39">
        <v>14</v>
      </c>
      <c r="B18" s="31">
        <v>360</v>
      </c>
      <c r="C18" s="31">
        <f t="shared" si="2"/>
        <v>1440</v>
      </c>
      <c r="D18" s="13">
        <f t="shared" si="0"/>
        <v>24</v>
      </c>
      <c r="Q18" s="44" t="e">
        <f>AVERAGE('Flow cytometer'!P18,'Flow cytometer'!L18,'Flow cytometer'!H18)*Calculation!K18/Calculation!M17</f>
        <v>#DIV/0!</v>
      </c>
      <c r="R18" s="44" t="e">
        <f>STDEV('Flow cytometer'!P18,'Flow cytometer'!L18,'Flow cytometer'!H18)*Calculation!K18/Calculation!M17</f>
        <v>#DIV/0!</v>
      </c>
      <c r="S18" s="45" t="e">
        <f t="shared" si="1"/>
        <v>#DIV/0!</v>
      </c>
    </row>
    <row r="19" spans="1:19">
      <c r="A19" s="39">
        <v>15</v>
      </c>
      <c r="B19" s="31">
        <v>360</v>
      </c>
      <c r="C19" s="31">
        <f>C18+B19</f>
        <v>1800</v>
      </c>
      <c r="D19" s="13">
        <f t="shared" si="0"/>
        <v>30</v>
      </c>
      <c r="Q19" s="44" t="e">
        <f>AVERAGE('Flow cytometer'!P19,'Flow cytometer'!L19,'Flow cytometer'!H19)*Calculation!K19/Calculation!M18</f>
        <v>#DIV/0!</v>
      </c>
      <c r="R19" s="44" t="e">
        <f>STDEV('Flow cytometer'!P19,'Flow cytometer'!L19,'Flow cytometer'!H19)*Calculation!K19/Calculation!M18</f>
        <v>#DIV/0!</v>
      </c>
      <c r="S19" s="45" t="e">
        <f t="shared" si="1"/>
        <v>#DIV/0!</v>
      </c>
    </row>
    <row r="20" spans="1:19">
      <c r="A20" s="39">
        <v>16</v>
      </c>
      <c r="B20" s="31">
        <v>1080</v>
      </c>
      <c r="C20" s="31">
        <f>C19+B20</f>
        <v>2880</v>
      </c>
      <c r="D20" s="13">
        <f t="shared" si="0"/>
        <v>48</v>
      </c>
      <c r="Q20" s="44" t="e">
        <f>AVERAGE('Flow cytometer'!P20,'Flow cytometer'!L20,'Flow cytometer'!H20)*Calculation!K20/Calculation!M19</f>
        <v>#DIV/0!</v>
      </c>
      <c r="R20" s="44" t="e">
        <f>STDEV('Flow cytometer'!P20,'Flow cytometer'!L20,'Flow cytometer'!H20)*Calculation!K20/Calculation!M19</f>
        <v>#DIV/0!</v>
      </c>
      <c r="S20" s="45" t="e">
        <f t="shared" ref="S20" si="3">LOG(Q20)</f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0"/>
  <sheetViews>
    <sheetView workbookViewId="0">
      <selection activeCell="D6" sqref="D6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  <col min="21" max="23" width="14.83203125" customWidth="1"/>
    <col min="24" max="24" width="14.83203125" bestFit="1" customWidth="1"/>
  </cols>
  <sheetData>
    <row r="1" spans="1:24">
      <c r="A1" s="114" t="s">
        <v>4</v>
      </c>
      <c r="B1" s="114" t="s">
        <v>116</v>
      </c>
      <c r="C1" s="114" t="s">
        <v>116</v>
      </c>
      <c r="D1" s="114" t="s">
        <v>5</v>
      </c>
      <c r="E1" s="113" t="s">
        <v>118</v>
      </c>
      <c r="F1" s="113"/>
      <c r="G1" s="113"/>
      <c r="H1" s="113"/>
      <c r="I1" s="113" t="s">
        <v>119</v>
      </c>
      <c r="J1" s="113"/>
      <c r="K1" s="113"/>
      <c r="L1" s="113"/>
      <c r="M1" s="113" t="s">
        <v>120</v>
      </c>
      <c r="N1" s="113"/>
      <c r="O1" s="113"/>
      <c r="P1" s="113"/>
      <c r="Q1" s="24" t="s">
        <v>121</v>
      </c>
      <c r="R1" s="24" t="s">
        <v>121</v>
      </c>
      <c r="S1" s="24" t="s">
        <v>121</v>
      </c>
      <c r="T1" s="58" t="s">
        <v>121</v>
      </c>
      <c r="U1" s="67" t="s">
        <v>118</v>
      </c>
      <c r="V1" s="67" t="s">
        <v>119</v>
      </c>
      <c r="W1" s="67" t="s">
        <v>120</v>
      </c>
      <c r="X1" s="67" t="s">
        <v>121</v>
      </c>
    </row>
    <row r="2" spans="1:24">
      <c r="A2" s="115"/>
      <c r="B2" s="115"/>
      <c r="C2" s="115"/>
      <c r="D2" s="115"/>
      <c r="E2" s="23" t="s">
        <v>19</v>
      </c>
      <c r="F2" s="23" t="s">
        <v>68</v>
      </c>
      <c r="G2" s="23" t="s">
        <v>69</v>
      </c>
      <c r="H2" s="23" t="s">
        <v>70</v>
      </c>
      <c r="I2" s="23" t="s">
        <v>19</v>
      </c>
      <c r="J2" s="23" t="s">
        <v>68</v>
      </c>
      <c r="K2" s="23" t="s">
        <v>69</v>
      </c>
      <c r="L2" s="23" t="s">
        <v>70</v>
      </c>
      <c r="M2" s="23" t="s">
        <v>19</v>
      </c>
      <c r="N2" s="23" t="s">
        <v>68</v>
      </c>
      <c r="O2" s="23" t="s">
        <v>69</v>
      </c>
      <c r="P2" s="23" t="s">
        <v>71</v>
      </c>
      <c r="Q2" s="25" t="s">
        <v>70</v>
      </c>
      <c r="R2" s="25" t="s">
        <v>23</v>
      </c>
      <c r="S2" s="25" t="s">
        <v>72</v>
      </c>
      <c r="T2" s="59" t="s">
        <v>137</v>
      </c>
      <c r="U2" s="68" t="s">
        <v>146</v>
      </c>
      <c r="V2" s="68" t="s">
        <v>146</v>
      </c>
      <c r="W2" s="68" t="s">
        <v>146</v>
      </c>
      <c r="X2" s="68" t="s">
        <v>145</v>
      </c>
    </row>
    <row r="3" spans="1:24">
      <c r="A3" s="39" t="s">
        <v>6</v>
      </c>
      <c r="B3" s="31">
        <v>-10</v>
      </c>
      <c r="C3" s="31">
        <f>B3</f>
        <v>-10</v>
      </c>
      <c r="D3" s="13">
        <f>C3/60</f>
        <v>-0.16666666666666666</v>
      </c>
      <c r="E3" s="42" t="s">
        <v>100</v>
      </c>
      <c r="F3" s="42" t="s">
        <v>100</v>
      </c>
      <c r="G3" s="42" t="s">
        <v>100</v>
      </c>
      <c r="H3" s="43" t="s">
        <v>100</v>
      </c>
      <c r="I3" s="42" t="s">
        <v>100</v>
      </c>
      <c r="J3" s="42" t="s">
        <v>100</v>
      </c>
      <c r="K3" s="42" t="s">
        <v>100</v>
      </c>
      <c r="L3" s="43" t="s">
        <v>100</v>
      </c>
      <c r="M3" s="42" t="s">
        <v>100</v>
      </c>
      <c r="N3" s="42" t="s">
        <v>100</v>
      </c>
      <c r="O3" s="42" t="s">
        <v>100</v>
      </c>
      <c r="P3" s="43" t="s">
        <v>100</v>
      </c>
      <c r="Q3" s="120" t="s">
        <v>100</v>
      </c>
      <c r="R3" s="121"/>
      <c r="S3" s="122"/>
      <c r="T3" s="43" t="s">
        <v>100</v>
      </c>
      <c r="U3" s="43" t="s">
        <v>100</v>
      </c>
      <c r="V3" s="43" t="s">
        <v>100</v>
      </c>
      <c r="W3" s="43" t="s">
        <v>100</v>
      </c>
      <c r="X3" s="43" t="s">
        <v>100</v>
      </c>
    </row>
    <row r="4" spans="1:24">
      <c r="A4" s="39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31">
        <v>2</v>
      </c>
      <c r="F4" s="31">
        <v>2402</v>
      </c>
      <c r="G4" s="31">
        <v>7</v>
      </c>
      <c r="H4" s="43">
        <f>('Flow cytometer'!F4/'Flow cytometer'!G4)*POWER(10,'Flow cytometer'!E4+2)*10.2</f>
        <v>35000571.428571433</v>
      </c>
      <c r="I4" s="31">
        <v>2</v>
      </c>
      <c r="J4" s="31">
        <v>2802</v>
      </c>
      <c r="K4" s="31">
        <v>7</v>
      </c>
      <c r="L4" s="43">
        <f>('Flow cytometer'!J4/'Flow cytometer'!K4)*POWER(10,'Flow cytometer'!I4+2)*10.2</f>
        <v>40829142.857142851</v>
      </c>
      <c r="M4" s="31">
        <v>2</v>
      </c>
      <c r="N4" s="31">
        <v>2910</v>
      </c>
      <c r="O4" s="31">
        <v>7</v>
      </c>
      <c r="P4" s="43">
        <f>('Flow cytometer'!N4/'Flow cytometer'!O4)*POWER(10,'Flow cytometer'!M4+2)*10.2</f>
        <v>42402857.142857142</v>
      </c>
      <c r="Q4" s="46">
        <f>AVERAGE(H4,L4,P4)*Calculation!I4/Calculation!K3</f>
        <v>39410857.142857142</v>
      </c>
      <c r="R4" s="47">
        <f>STDEV(H4,L4,P4)*Calculation!I4/Calculation!K3</f>
        <v>3899629.3701440096</v>
      </c>
      <c r="S4" s="48">
        <f>LOG(Q4)</f>
        <v>7.5956158803963056</v>
      </c>
      <c r="T4" s="48">
        <f>LN(Q4)</f>
        <v>17.489551898309379</v>
      </c>
      <c r="U4" s="48">
        <f>LOG(H4)</f>
        <v>7.5440751348145483</v>
      </c>
      <c r="V4" s="48">
        <f>LOG(L4)</f>
        <v>7.6109702626974167</v>
      </c>
      <c r="W4" s="48">
        <f>LOG(P4)</f>
        <v>7.627395120733568</v>
      </c>
      <c r="X4" s="48">
        <f xml:space="preserve"> STDEV(U4:W4)*Calculation!I4/Calculation!K3</f>
        <v>4.4134178270207401E-2</v>
      </c>
    </row>
    <row r="5" spans="1:24">
      <c r="A5" s="39">
        <v>1</v>
      </c>
      <c r="B5" s="31">
        <v>110</v>
      </c>
      <c r="C5" s="31">
        <f>C4+B5</f>
        <v>120</v>
      </c>
      <c r="D5" s="13">
        <f t="shared" si="0"/>
        <v>2</v>
      </c>
      <c r="E5" s="31">
        <v>2</v>
      </c>
      <c r="F5" s="31">
        <v>4490</v>
      </c>
      <c r="G5" s="31">
        <v>7</v>
      </c>
      <c r="H5" s="43">
        <f>('Flow cytometer'!F5/'Flow cytometer'!G5)*POWER(10,'Flow cytometer'!E5+2)*10.2</f>
        <v>65425714.285714284</v>
      </c>
      <c r="I5" s="31">
        <v>2</v>
      </c>
      <c r="J5" s="31">
        <v>5073</v>
      </c>
      <c r="K5" s="31">
        <v>7</v>
      </c>
      <c r="L5" s="43">
        <f>('Flow cytometer'!J5/'Flow cytometer'!K5)*POWER(10,'Flow cytometer'!I5+2)*10.2</f>
        <v>73920857.142857134</v>
      </c>
      <c r="M5" s="31">
        <v>2</v>
      </c>
      <c r="N5" s="31">
        <v>5263</v>
      </c>
      <c r="O5" s="31">
        <v>7</v>
      </c>
      <c r="P5" s="43">
        <f>('Flow cytometer'!N5/'Flow cytometer'!O5)*POWER(10,'Flow cytometer'!M5+2)*10.2</f>
        <v>76689428.571428567</v>
      </c>
      <c r="Q5" s="46">
        <f>AVERAGE(H5,L5,P5)*Calculation!I5/Calculation!K4</f>
        <v>72011999.999999985</v>
      </c>
      <c r="R5" s="47">
        <f>STDEV(H5,L5,P5)*Calculation!I5/Calculation!K4</f>
        <v>5869464.7602169439</v>
      </c>
      <c r="S5" s="48">
        <f t="shared" ref="S5:S19" si="1">LOG(Q5)</f>
        <v>7.8574048728137216</v>
      </c>
      <c r="T5" s="48">
        <f t="shared" ref="T5:T19" si="2">LN(Q5)</f>
        <v>18.09234332975965</v>
      </c>
      <c r="U5" s="48">
        <f t="shared" ref="U5:U20" si="3">LOG(H5)</f>
        <v>7.8157484727509843</v>
      </c>
      <c r="V5" s="48">
        <f t="shared" ref="V5:V20" si="4">LOG(L5)</f>
        <v>7.8687669940650649</v>
      </c>
      <c r="W5" s="48">
        <f t="shared" ref="W5:W20" si="5">LOG(P5)</f>
        <v>7.8847355017649381</v>
      </c>
      <c r="X5" s="48">
        <f xml:space="preserve"> STDEV(U5:W5)*Calculation!I5/Calculation!K4</f>
        <v>3.6113633189015643E-2</v>
      </c>
    </row>
    <row r="6" spans="1:24">
      <c r="A6" s="39">
        <v>2</v>
      </c>
      <c r="B6" s="31">
        <v>80</v>
      </c>
      <c r="C6" s="31">
        <f>C5+B6</f>
        <v>200</v>
      </c>
      <c r="D6" s="13">
        <f t="shared" si="0"/>
        <v>3.3333333333333335</v>
      </c>
      <c r="E6" s="31">
        <v>2</v>
      </c>
      <c r="F6" s="31">
        <v>5301</v>
      </c>
      <c r="G6" s="31">
        <v>7</v>
      </c>
      <c r="H6" s="43">
        <f>('Flow cytometer'!F6/'Flow cytometer'!G6)*POWER(10,'Flow cytometer'!E6+2)*10.2</f>
        <v>77243142.857142866</v>
      </c>
      <c r="I6" s="31">
        <v>2</v>
      </c>
      <c r="J6" s="31">
        <v>6173</v>
      </c>
      <c r="K6" s="31">
        <v>7</v>
      </c>
      <c r="L6" s="43">
        <f>('Flow cytometer'!J6/'Flow cytometer'!K6)*POWER(10,'Flow cytometer'!I6+2)*10.2</f>
        <v>89949428.571428567</v>
      </c>
      <c r="M6" s="31">
        <v>2</v>
      </c>
      <c r="N6" s="31">
        <v>6185</v>
      </c>
      <c r="O6" s="31">
        <v>7</v>
      </c>
      <c r="P6" s="43">
        <f>('Flow cytometer'!N6/'Flow cytometer'!O6)*POWER(10,'Flow cytometer'!M6+2)*10.2</f>
        <v>90124285.714285702</v>
      </c>
      <c r="Q6" s="46">
        <f>AVERAGE(H6,L6,P6)*Calculation!I6/Calculation!K5</f>
        <v>85772285.714285716</v>
      </c>
      <c r="R6" s="47">
        <f>STDEV(H6,L6,P6)*Calculation!I6/Calculation!K5</f>
        <v>7386971.785736369</v>
      </c>
      <c r="S6" s="48">
        <f t="shared" si="1"/>
        <v>7.9333469835867421</v>
      </c>
      <c r="T6" s="48">
        <f t="shared" si="2"/>
        <v>18.26720650195611</v>
      </c>
      <c r="U6" s="48">
        <f t="shared" si="3"/>
        <v>7.8878599359740873</v>
      </c>
      <c r="V6" s="48">
        <f t="shared" si="4"/>
        <v>7.9539984087147699</v>
      </c>
      <c r="W6" s="48">
        <f t="shared" si="5"/>
        <v>7.9548418357128003</v>
      </c>
      <c r="X6" s="48">
        <f xml:space="preserve"> STDEV(U6:W6)*Calculation!I6/Calculation!K5</f>
        <v>3.843085530789471E-2</v>
      </c>
    </row>
    <row r="7" spans="1:24">
      <c r="A7" s="39">
        <v>3</v>
      </c>
      <c r="B7" s="31">
        <v>80</v>
      </c>
      <c r="C7" s="31">
        <f>C6+B7</f>
        <v>280</v>
      </c>
      <c r="D7" s="13">
        <f t="shared" si="0"/>
        <v>4.666666666666667</v>
      </c>
      <c r="E7" s="31">
        <v>2</v>
      </c>
      <c r="F7" s="31">
        <v>7815</v>
      </c>
      <c r="G7" s="31">
        <v>7</v>
      </c>
      <c r="H7" s="43">
        <f>('Flow cytometer'!F7/'Flow cytometer'!G7)*POWER(10,'Flow cytometer'!E7+2)*10.2</f>
        <v>113875714.28571427</v>
      </c>
      <c r="I7" s="31">
        <v>2</v>
      </c>
      <c r="J7" s="31">
        <v>9197</v>
      </c>
      <c r="K7" s="31">
        <v>7</v>
      </c>
      <c r="L7" s="43">
        <f>('Flow cytometer'!J7/'Flow cytometer'!K7)*POWER(10,'Flow cytometer'!I7+2)*10.2</f>
        <v>134013428.57142857</v>
      </c>
      <c r="M7" s="31">
        <v>2</v>
      </c>
      <c r="N7" s="31">
        <v>8346</v>
      </c>
      <c r="O7" s="31">
        <v>7</v>
      </c>
      <c r="P7" s="43">
        <f>('Flow cytometer'!N7/'Flow cytometer'!O7)*POWER(10,'Flow cytometer'!M7+2)*10.2</f>
        <v>121613142.85714284</v>
      </c>
      <c r="Q7" s="46">
        <f>AVERAGE(H7,L7,P7)*Calculation!I7/Calculation!K6</f>
        <v>123255910.91954021</v>
      </c>
      <c r="R7" s="47">
        <f>STDEV(H7,L7,P7)*Calculation!I7/Calculation!K6</f>
        <v>10165729.553017534</v>
      </c>
      <c r="S7" s="48">
        <f t="shared" si="1"/>
        <v>8.0908077556830147</v>
      </c>
      <c r="T7" s="48">
        <f t="shared" si="2"/>
        <v>18.629773328516318</v>
      </c>
      <c r="U7" s="48">
        <f t="shared" si="3"/>
        <v>8.0564311141028657</v>
      </c>
      <c r="V7" s="48">
        <f t="shared" si="4"/>
        <v>8.1271483182325035</v>
      </c>
      <c r="W7" s="48">
        <f t="shared" si="5"/>
        <v>8.0849805121233516</v>
      </c>
      <c r="X7" s="48">
        <f xml:space="preserve"> STDEV(U7:W7)*Calculation!I7/Calculation!K6</f>
        <v>3.5602036372533334E-2</v>
      </c>
    </row>
    <row r="8" spans="1:24">
      <c r="A8" s="39">
        <v>4</v>
      </c>
      <c r="B8" s="31">
        <v>80</v>
      </c>
      <c r="C8" s="31">
        <f t="shared" ref="C8:C18" si="6">C7+B8</f>
        <v>360</v>
      </c>
      <c r="D8" s="13">
        <f t="shared" si="0"/>
        <v>6</v>
      </c>
      <c r="E8" s="31">
        <v>2</v>
      </c>
      <c r="F8" s="31">
        <v>13450</v>
      </c>
      <c r="G8" s="31">
        <v>7</v>
      </c>
      <c r="H8" s="43">
        <f>('Flow cytometer'!F8/'Flow cytometer'!G8)*POWER(10,'Flow cytometer'!E8+2)*10.2</f>
        <v>195985714.28571427</v>
      </c>
      <c r="I8" s="31">
        <v>2</v>
      </c>
      <c r="J8" s="31">
        <v>15712</v>
      </c>
      <c r="K8" s="31">
        <v>7</v>
      </c>
      <c r="L8" s="43">
        <f>('Flow cytometer'!J8/'Flow cytometer'!K8)*POWER(10,'Flow cytometer'!I8+2)*10.2</f>
        <v>228946285.71428567</v>
      </c>
      <c r="M8" s="31">
        <v>2</v>
      </c>
      <c r="N8" s="31">
        <v>16089</v>
      </c>
      <c r="O8" s="31">
        <v>7</v>
      </c>
      <c r="P8" s="43">
        <f>('Flow cytometer'!N8/'Flow cytometer'!O8)*POWER(10,'Flow cytometer'!M8+2)*10.2</f>
        <v>234439714.2857143</v>
      </c>
      <c r="Q8" s="46">
        <f>AVERAGE(H8,L8,P8)*Calculation!I8/Calculation!K7</f>
        <v>220111150.73135588</v>
      </c>
      <c r="R8" s="47">
        <f>STDEV(H8,L8,P8)*Calculation!I8/Calculation!K7</f>
        <v>20828119.872987721</v>
      </c>
      <c r="S8" s="48">
        <f t="shared" si="1"/>
        <v>8.3426420442727043</v>
      </c>
      <c r="T8" s="48">
        <f t="shared" si="2"/>
        <v>19.209643207327701</v>
      </c>
      <c r="U8" s="48">
        <f t="shared" si="3"/>
        <v>8.2922244160860874</v>
      </c>
      <c r="V8" s="48">
        <f t="shared" si="4"/>
        <v>8.359733602190536</v>
      </c>
      <c r="W8" s="48">
        <f t="shared" si="5"/>
        <v>8.3700311834303918</v>
      </c>
      <c r="X8" s="48">
        <f xml:space="preserve"> STDEV(U8:W8)*Calculation!I8/Calculation!K7</f>
        <v>4.232554468234509E-2</v>
      </c>
    </row>
    <row r="9" spans="1:24">
      <c r="A9" s="39">
        <v>5</v>
      </c>
      <c r="B9" s="31">
        <v>80</v>
      </c>
      <c r="C9" s="31">
        <f t="shared" si="6"/>
        <v>440</v>
      </c>
      <c r="D9" s="13">
        <f t="shared" si="0"/>
        <v>7.333333333333333</v>
      </c>
      <c r="E9" s="31">
        <v>2</v>
      </c>
      <c r="F9" s="31">
        <v>22010</v>
      </c>
      <c r="G9" s="31">
        <v>7</v>
      </c>
      <c r="H9" s="43">
        <f>('Flow cytometer'!F9/'Flow cytometer'!G9)*POWER(10,'Flow cytometer'!E9+2)*10.2</f>
        <v>320717142.85714281</v>
      </c>
      <c r="I9" s="31">
        <v>2</v>
      </c>
      <c r="J9" s="31">
        <v>23093</v>
      </c>
      <c r="K9" s="31">
        <v>7</v>
      </c>
      <c r="L9" s="43">
        <f>('Flow cytometer'!J9/'Flow cytometer'!K9)*POWER(10,'Flow cytometer'!I9+2)*10.2</f>
        <v>336498000</v>
      </c>
      <c r="M9" s="31">
        <v>2</v>
      </c>
      <c r="N9" s="31">
        <v>25128</v>
      </c>
      <c r="O9" s="31">
        <v>7</v>
      </c>
      <c r="P9" s="43">
        <f>('Flow cytometer'!N9/'Flow cytometer'!O9)*POWER(10,'Flow cytometer'!M9+2)*10.2</f>
        <v>366150857.14285713</v>
      </c>
      <c r="Q9" s="46">
        <f>AVERAGE(H9,L9,P9)*Calculation!I9/Calculation!K8</f>
        <v>342665056.75577712</v>
      </c>
      <c r="R9" s="47">
        <f>STDEV(H9,L9,P9)*Calculation!I9/Calculation!K8</f>
        <v>23171454.942036439</v>
      </c>
      <c r="S9" s="48">
        <f t="shared" si="1"/>
        <v>8.5348698195396189</v>
      </c>
      <c r="T9" s="48">
        <f t="shared" si="2"/>
        <v>19.652264017116707</v>
      </c>
      <c r="U9" s="48">
        <f t="shared" si="3"/>
        <v>8.5061221743010087</v>
      </c>
      <c r="V9" s="48">
        <f t="shared" si="4"/>
        <v>8.5269824873072615</v>
      </c>
      <c r="W9" s="48">
        <f t="shared" si="5"/>
        <v>8.5636600551381097</v>
      </c>
      <c r="X9" s="48">
        <f xml:space="preserve"> STDEV(U9:W9)*Calculation!I9/Calculation!K8</f>
        <v>2.9260800292896287E-2</v>
      </c>
    </row>
    <row r="10" spans="1:24">
      <c r="A10" s="39">
        <v>6</v>
      </c>
      <c r="B10" s="31">
        <v>80</v>
      </c>
      <c r="C10" s="31">
        <f t="shared" si="6"/>
        <v>520</v>
      </c>
      <c r="D10" s="13">
        <f t="shared" si="0"/>
        <v>8.6666666666666661</v>
      </c>
      <c r="E10" s="31">
        <v>3</v>
      </c>
      <c r="F10" s="31">
        <v>3620</v>
      </c>
      <c r="G10" s="31">
        <v>7</v>
      </c>
      <c r="H10" s="43">
        <f>('Flow cytometer'!F10/'Flow cytometer'!G10)*POWER(10,'Flow cytometer'!E10+2)*10.2</f>
        <v>527485714.28571421</v>
      </c>
      <c r="I10" s="31">
        <v>3</v>
      </c>
      <c r="J10" s="31">
        <v>4008</v>
      </c>
      <c r="K10" s="31">
        <v>7</v>
      </c>
      <c r="L10" s="43">
        <f>('Flow cytometer'!J10/'Flow cytometer'!K10)*POWER(10,'Flow cytometer'!I10+2)*10.2</f>
        <v>584022857.14285707</v>
      </c>
      <c r="M10" s="31">
        <v>3</v>
      </c>
      <c r="N10" s="31">
        <v>3842</v>
      </c>
      <c r="O10" s="31">
        <v>7</v>
      </c>
      <c r="P10" s="43">
        <f>('Flow cytometer'!N10/'Flow cytometer'!O10)*POWER(10,'Flow cytometer'!M10+2)*10.2</f>
        <v>559834285.71428573</v>
      </c>
      <c r="Q10" s="46">
        <f>AVERAGE(H10,L10,P10)*Calculation!I10/Calculation!K9</f>
        <v>563170772.29656744</v>
      </c>
      <c r="R10" s="47">
        <f>STDEV(H10,L10,P10)*Calculation!I10/Calculation!K9</f>
        <v>28674923.645594332</v>
      </c>
      <c r="S10" s="48">
        <f t="shared" si="1"/>
        <v>8.7506401074982278</v>
      </c>
      <c r="T10" s="48">
        <f t="shared" si="2"/>
        <v>20.149093465681233</v>
      </c>
      <c r="U10" s="48">
        <f t="shared" si="3"/>
        <v>8.722210702280826</v>
      </c>
      <c r="V10" s="48">
        <f t="shared" si="4"/>
        <v>8.7664298446068507</v>
      </c>
      <c r="W10" s="48">
        <f t="shared" si="5"/>
        <v>8.7480594922733363</v>
      </c>
      <c r="X10" s="48">
        <f xml:space="preserve"> STDEV(U10:W10)*Calculation!I10/Calculation!K9</f>
        <v>2.2456218689047791E-2</v>
      </c>
    </row>
    <row r="11" spans="1:24">
      <c r="A11" s="39">
        <v>7</v>
      </c>
      <c r="B11" s="31">
        <v>80</v>
      </c>
      <c r="C11" s="31">
        <f t="shared" si="6"/>
        <v>600</v>
      </c>
      <c r="D11" s="13">
        <f t="shared" si="0"/>
        <v>10</v>
      </c>
      <c r="E11" s="31">
        <v>3</v>
      </c>
      <c r="F11" s="31">
        <v>4654</v>
      </c>
      <c r="G11" s="31">
        <v>7</v>
      </c>
      <c r="H11" s="43">
        <f>('Flow cytometer'!F11/'Flow cytometer'!G11)*POWER(10,'Flow cytometer'!E11+2)*10.2</f>
        <v>678154285.71428573</v>
      </c>
      <c r="I11" s="31">
        <v>3</v>
      </c>
      <c r="J11" s="31">
        <v>5325</v>
      </c>
      <c r="K11" s="31">
        <v>7</v>
      </c>
      <c r="L11" s="43">
        <f>('Flow cytometer'!J11/'Flow cytometer'!K11)*POWER(10,'Flow cytometer'!I11+2)*10.2</f>
        <v>775928571.42857134</v>
      </c>
      <c r="M11" s="31">
        <v>3</v>
      </c>
      <c r="N11" s="31">
        <v>4835</v>
      </c>
      <c r="O11" s="31">
        <v>7</v>
      </c>
      <c r="P11" s="43">
        <f>('Flow cytometer'!N11/'Flow cytometer'!O11)*POWER(10,'Flow cytometer'!M11+2)*10.2</f>
        <v>704528571.42857134</v>
      </c>
      <c r="Q11" s="46">
        <f>AVERAGE(H11,L11,P11)*Calculation!I11/Calculation!K10</f>
        <v>732063378.36059487</v>
      </c>
      <c r="R11" s="47">
        <f>STDEV(H11,L11,P11)*Calculation!I11/Calculation!K10</f>
        <v>51466158.397015266</v>
      </c>
      <c r="S11" s="48">
        <f t="shared" si="1"/>
        <v>8.8645486817151706</v>
      </c>
      <c r="T11" s="48">
        <f t="shared" si="2"/>
        <v>20.41137765063737</v>
      </c>
      <c r="U11" s="48">
        <f t="shared" si="3"/>
        <v>8.8313285106983717</v>
      </c>
      <c r="V11" s="48">
        <f t="shared" si="4"/>
        <v>8.8898217438584357</v>
      </c>
      <c r="W11" s="48">
        <f t="shared" si="5"/>
        <v>8.8478986101666806</v>
      </c>
      <c r="X11" s="48">
        <f xml:space="preserve"> STDEV(U11:W11)*Calculation!I11/Calculation!K10</f>
        <v>3.0673300585285914E-2</v>
      </c>
    </row>
    <row r="12" spans="1:24">
      <c r="A12" s="39">
        <v>8</v>
      </c>
      <c r="B12" s="31">
        <v>80</v>
      </c>
      <c r="C12" s="31">
        <f t="shared" si="6"/>
        <v>680</v>
      </c>
      <c r="D12" s="13">
        <f t="shared" si="0"/>
        <v>11.333333333333334</v>
      </c>
      <c r="E12" s="31">
        <v>3</v>
      </c>
      <c r="F12" s="31">
        <v>4807</v>
      </c>
      <c r="G12" s="31">
        <v>7</v>
      </c>
      <c r="H12" s="43">
        <f>('Flow cytometer'!F12/'Flow cytometer'!G12)*POWER(10,'Flow cytometer'!E12+2)*10.2</f>
        <v>700448571.42857134</v>
      </c>
      <c r="I12" s="31">
        <v>3</v>
      </c>
      <c r="J12" s="31">
        <v>5316</v>
      </c>
      <c r="K12" s="31">
        <v>7</v>
      </c>
      <c r="L12" s="43">
        <f>('Flow cytometer'!J12/'Flow cytometer'!K12)*POWER(10,'Flow cytometer'!I12+2)*10.2</f>
        <v>774617142.85714293</v>
      </c>
      <c r="M12" s="31">
        <v>3</v>
      </c>
      <c r="N12" s="31">
        <v>5194</v>
      </c>
      <c r="O12" s="31">
        <v>7</v>
      </c>
      <c r="P12" s="43">
        <f>('Flow cytometer'!N12/'Flow cytometer'!O12)*POWER(10,'Flow cytometer'!M12+2)*10.2</f>
        <v>756840000</v>
      </c>
      <c r="Q12" s="46">
        <f>AVERAGE(H12,L12,P12)*Calculation!I12/Calculation!K11</f>
        <v>761306253.90126288</v>
      </c>
      <c r="R12" s="47">
        <f>STDEV(H12,L12,P12)*Calculation!I12/Calculation!K11</f>
        <v>39625793.405937165</v>
      </c>
      <c r="S12" s="48">
        <f t="shared" si="1"/>
        <v>8.8815593974061482</v>
      </c>
      <c r="T12" s="48">
        <f t="shared" si="2"/>
        <v>20.450546271008577</v>
      </c>
      <c r="U12" s="48">
        <f t="shared" si="3"/>
        <v>8.8453762538763083</v>
      </c>
      <c r="V12" s="48">
        <f t="shared" si="4"/>
        <v>8.8890871040183548</v>
      </c>
      <c r="W12" s="48">
        <f t="shared" si="5"/>
        <v>8.8790040770409444</v>
      </c>
      <c r="X12" s="48">
        <f xml:space="preserve"> STDEV(U12:W12)*Calculation!I12/Calculation!K11</f>
        <v>2.3421289003189395E-2</v>
      </c>
    </row>
    <row r="13" spans="1:24">
      <c r="A13" s="39">
        <v>9</v>
      </c>
      <c r="B13" s="31">
        <v>80</v>
      </c>
      <c r="C13" s="31">
        <f t="shared" si="6"/>
        <v>760</v>
      </c>
      <c r="D13" s="13">
        <f t="shared" si="0"/>
        <v>12.666666666666666</v>
      </c>
      <c r="E13" s="31">
        <v>3</v>
      </c>
      <c r="F13" s="31">
        <v>3994</v>
      </c>
      <c r="G13" s="31">
        <v>7</v>
      </c>
      <c r="H13" s="43">
        <f>('Flow cytometer'!F13/'Flow cytometer'!G13)*POWER(10,'Flow cytometer'!E13+2)*10.2</f>
        <v>581982857.14285707</v>
      </c>
      <c r="I13" s="31">
        <v>3</v>
      </c>
      <c r="J13" s="31">
        <v>4552</v>
      </c>
      <c r="K13" s="31">
        <v>7</v>
      </c>
      <c r="L13" s="43">
        <f>('Flow cytometer'!J13/'Flow cytometer'!K13)*POWER(10,'Flow cytometer'!I13+2)*10.2</f>
        <v>663291428.57142854</v>
      </c>
      <c r="M13" s="31">
        <v>3</v>
      </c>
      <c r="N13" s="31">
        <v>4313</v>
      </c>
      <c r="O13" s="31">
        <v>7</v>
      </c>
      <c r="P13" s="43">
        <f>('Flow cytometer'!N13/'Flow cytometer'!O13)*POWER(10,'Flow cytometer'!M13+2)*10.2</f>
        <v>628465714.28571415</v>
      </c>
      <c r="Q13" s="46">
        <f>AVERAGE(H13,L13,P13)*Calculation!I13/Calculation!K12</f>
        <v>641314902.76807868</v>
      </c>
      <c r="R13" s="47">
        <f>STDEV(H13,L13,P13)*Calculation!I13/Calculation!K12</f>
        <v>41886330.998343237</v>
      </c>
      <c r="S13" s="48">
        <f t="shared" si="1"/>
        <v>8.8070713320967826</v>
      </c>
      <c r="T13" s="48">
        <f t="shared" si="2"/>
        <v>20.279031162221266</v>
      </c>
      <c r="U13" s="48">
        <f t="shared" si="3"/>
        <v>8.7649101922823451</v>
      </c>
      <c r="V13" s="48">
        <f t="shared" si="4"/>
        <v>8.8217043851346748</v>
      </c>
      <c r="W13" s="48">
        <f t="shared" si="5"/>
        <v>8.7982815898936124</v>
      </c>
      <c r="X13" s="48">
        <f xml:space="preserve"> STDEV(U13:W13)*Calculation!I13/Calculation!K12</f>
        <v>2.9306699918307463E-2</v>
      </c>
    </row>
    <row r="14" spans="1:24">
      <c r="A14" s="39">
        <v>10</v>
      </c>
      <c r="B14" s="31">
        <v>80</v>
      </c>
      <c r="C14" s="31">
        <f t="shared" si="6"/>
        <v>840</v>
      </c>
      <c r="D14" s="13">
        <f t="shared" si="0"/>
        <v>14</v>
      </c>
      <c r="E14" s="31">
        <v>3</v>
      </c>
      <c r="F14" s="31">
        <v>3764</v>
      </c>
      <c r="G14" s="31">
        <v>7</v>
      </c>
      <c r="H14" s="43">
        <f>('Flow cytometer'!F14/'Flow cytometer'!G14)*POWER(10,'Flow cytometer'!E14+2)*10.2</f>
        <v>548468571.42857134</v>
      </c>
      <c r="I14" s="31">
        <v>3</v>
      </c>
      <c r="J14" s="31">
        <v>4178</v>
      </c>
      <c r="K14" s="31">
        <v>7</v>
      </c>
      <c r="L14" s="43">
        <f>('Flow cytometer'!J14/'Flow cytometer'!K14)*POWER(10,'Flow cytometer'!I14+2)*10.2</f>
        <v>608794285.71428573</v>
      </c>
      <c r="M14" s="31">
        <v>3</v>
      </c>
      <c r="N14" s="31">
        <v>3036</v>
      </c>
      <c r="O14" s="31">
        <v>7</v>
      </c>
      <c r="P14" s="43">
        <f>('Flow cytometer'!N14/'Flow cytometer'!O14)*POWER(10,'Flow cytometer'!M14+2)*10.2</f>
        <v>442388571.4285714</v>
      </c>
      <c r="Q14" s="46">
        <f>AVERAGE(H14,L14,P14)*Calculation!I14/Calculation!K13</f>
        <v>548478289.49814367</v>
      </c>
      <c r="R14" s="47">
        <f>STDEV(H14,L14,P14)*Calculation!I14/Calculation!K13</f>
        <v>86655861.025172189</v>
      </c>
      <c r="S14" s="48">
        <f t="shared" si="1"/>
        <v>8.739159441504599</v>
      </c>
      <c r="T14" s="48">
        <f t="shared" si="2"/>
        <v>20.122658255306657</v>
      </c>
      <c r="U14" s="48">
        <f t="shared" si="3"/>
        <v>8.7391517465028805</v>
      </c>
      <c r="V14" s="48">
        <f t="shared" si="4"/>
        <v>8.784470567391951</v>
      </c>
      <c r="W14" s="48">
        <f t="shared" si="5"/>
        <v>8.6458038989711028</v>
      </c>
      <c r="X14" s="48">
        <f xml:space="preserve"> STDEV(U14:W14)*Calculation!I14/Calculation!K13</f>
        <v>7.2729705262286268E-2</v>
      </c>
    </row>
    <row r="15" spans="1:24">
      <c r="A15" s="39">
        <v>11</v>
      </c>
      <c r="B15" s="31">
        <v>80</v>
      </c>
      <c r="C15" s="31">
        <f t="shared" si="6"/>
        <v>920</v>
      </c>
      <c r="D15" s="13">
        <f t="shared" si="0"/>
        <v>15.333333333333334</v>
      </c>
      <c r="E15" s="31">
        <v>3</v>
      </c>
      <c r="F15" s="31">
        <v>3663</v>
      </c>
      <c r="G15" s="31">
        <v>7</v>
      </c>
      <c r="H15" s="43">
        <f>('Flow cytometer'!F15/'Flow cytometer'!G15)*POWER(10,'Flow cytometer'!E15+2)*10.2</f>
        <v>533751428.5714286</v>
      </c>
      <c r="I15" s="31">
        <v>3</v>
      </c>
      <c r="J15" s="31">
        <v>4159</v>
      </c>
      <c r="K15" s="31">
        <v>7</v>
      </c>
      <c r="L15" s="43">
        <f>('Flow cytometer'!J15/'Flow cytometer'!K15)*POWER(10,'Flow cytometer'!I15+2)*10.2</f>
        <v>606025714.28571415</v>
      </c>
      <c r="M15" s="31">
        <v>3</v>
      </c>
      <c r="N15" s="31">
        <v>4270</v>
      </c>
      <c r="O15" s="31">
        <v>7</v>
      </c>
      <c r="P15" s="43">
        <f>('Flow cytometer'!N15/'Flow cytometer'!O15)*POWER(10,'Flow cytometer'!M15+2)*10.2</f>
        <v>622200000</v>
      </c>
      <c r="Q15" s="46">
        <f>AVERAGE(H15,L15,P15)*Calculation!I15/Calculation!K14</f>
        <v>604135496.1387825</v>
      </c>
      <c r="R15" s="47">
        <f>STDEV(H15,L15,P15)*Calculation!I15/Calculation!K14</f>
        <v>48444166.521617971</v>
      </c>
      <c r="S15" s="48">
        <f t="shared" si="1"/>
        <v>8.7811343535647826</v>
      </c>
      <c r="T15" s="48">
        <f t="shared" si="2"/>
        <v>20.219309062096173</v>
      </c>
      <c r="U15" s="48">
        <f t="shared" si="3"/>
        <v>8.7273390504122048</v>
      </c>
      <c r="V15" s="48">
        <f t="shared" si="4"/>
        <v>8.7824910521125936</v>
      </c>
      <c r="W15" s="48">
        <f t="shared" si="5"/>
        <v>8.7939300067726851</v>
      </c>
      <c r="X15" s="48">
        <f xml:space="preserve"> STDEV(U15:W15)*Calculation!I15/Calculation!K14</f>
        <v>3.66256169713816E-2</v>
      </c>
    </row>
    <row r="16" spans="1:24">
      <c r="A16" s="39">
        <v>12</v>
      </c>
      <c r="B16" s="31">
        <v>80</v>
      </c>
      <c r="C16" s="31">
        <f t="shared" si="6"/>
        <v>1000</v>
      </c>
      <c r="D16" s="13">
        <f t="shared" si="0"/>
        <v>16.666666666666668</v>
      </c>
      <c r="E16" s="31">
        <v>3</v>
      </c>
      <c r="F16" s="31">
        <v>2760</v>
      </c>
      <c r="G16" s="31">
        <v>7</v>
      </c>
      <c r="H16" s="43">
        <f>('Flow cytometer'!F16/'Flow cytometer'!G16)*POWER(10,'Flow cytometer'!E16+2)*10.2</f>
        <v>402171428.57142854</v>
      </c>
      <c r="I16" s="31">
        <v>3</v>
      </c>
      <c r="J16" s="31">
        <v>4060</v>
      </c>
      <c r="K16" s="31">
        <v>7</v>
      </c>
      <c r="L16" s="43">
        <f>('Flow cytometer'!J16/'Flow cytometer'!K16)*POWER(10,'Flow cytometer'!I16+2)*10.2</f>
        <v>591600000</v>
      </c>
      <c r="M16" s="31">
        <v>3</v>
      </c>
      <c r="N16" s="31">
        <v>3302</v>
      </c>
      <c r="O16" s="31">
        <v>7</v>
      </c>
      <c r="P16" s="43">
        <f>('Flow cytometer'!N16/'Flow cytometer'!O16)*POWER(10,'Flow cytometer'!M16+2)*10.2</f>
        <v>481148571.4285714</v>
      </c>
      <c r="Q16" s="46">
        <f>AVERAGE(H16,L16,P16)*Calculation!I16/Calculation!K15</f>
        <v>506204067.88682061</v>
      </c>
      <c r="R16" s="47">
        <f>STDEV(H16,L16,P16)*Calculation!I16/Calculation!K15</f>
        <v>97967728.706138238</v>
      </c>
      <c r="S16" s="48">
        <f t="shared" si="1"/>
        <v>8.7043256308532531</v>
      </c>
      <c r="T16" s="48">
        <f t="shared" si="2"/>
        <v>20.04245044216869</v>
      </c>
      <c r="U16" s="48">
        <f t="shared" si="3"/>
        <v>8.6044112138128792</v>
      </c>
      <c r="V16" s="48">
        <f t="shared" si="4"/>
        <v>8.7720281653248549</v>
      </c>
      <c r="W16" s="48">
        <f t="shared" si="5"/>
        <v>8.6822792006744347</v>
      </c>
      <c r="X16" s="48">
        <f xml:space="preserve"> STDEV(U16:W16)*Calculation!I16/Calculation!K15</f>
        <v>8.6363398466835647E-2</v>
      </c>
    </row>
    <row r="17" spans="1:24">
      <c r="A17" s="39">
        <v>13</v>
      </c>
      <c r="B17" s="31">
        <v>80</v>
      </c>
      <c r="C17" s="31">
        <f t="shared" si="6"/>
        <v>1080</v>
      </c>
      <c r="D17" s="13">
        <f t="shared" si="0"/>
        <v>18</v>
      </c>
      <c r="E17" s="31">
        <v>2</v>
      </c>
      <c r="F17" s="31">
        <v>38511</v>
      </c>
      <c r="G17" s="31">
        <v>7</v>
      </c>
      <c r="H17" s="43">
        <f>('Flow cytometer'!F17/'Flow cytometer'!G17)*POWER(10,'Flow cytometer'!E17+2)*10.2</f>
        <v>561160285.71428561</v>
      </c>
      <c r="I17" s="31">
        <v>2</v>
      </c>
      <c r="J17" s="31">
        <v>39712</v>
      </c>
      <c r="K17" s="31">
        <v>7</v>
      </c>
      <c r="L17" s="43">
        <f>('Flow cytometer'!J17/'Flow cytometer'!K17)*POWER(10,'Flow cytometer'!I17+2)*10.2</f>
        <v>578660571.42857134</v>
      </c>
      <c r="M17" s="31">
        <v>2</v>
      </c>
      <c r="N17" s="31">
        <v>38631</v>
      </c>
      <c r="O17" s="31">
        <v>7</v>
      </c>
      <c r="P17" s="43">
        <f>('Flow cytometer'!N17/'Flow cytometer'!O17)*POWER(10,'Flow cytometer'!M17+2)*10.2</f>
        <v>562908857.14285707</v>
      </c>
      <c r="Q17" s="46">
        <f>AVERAGE(H17,L17,P17)*Calculation!I17/Calculation!K16</f>
        <v>584390141.75900543</v>
      </c>
      <c r="R17" s="47">
        <f>STDEV(H17,L17,P17)*Calculation!I17/Calculation!K16</f>
        <v>9924291.7926331405</v>
      </c>
      <c r="S17" s="48">
        <f t="shared" si="1"/>
        <v>8.7667028810887881</v>
      </c>
      <c r="T17" s="48">
        <f t="shared" si="2"/>
        <v>20.186079368702995</v>
      </c>
      <c r="U17" s="48">
        <f t="shared" si="3"/>
        <v>8.749086927670918</v>
      </c>
      <c r="V17" s="48">
        <f t="shared" si="4"/>
        <v>8.7624238915662964</v>
      </c>
      <c r="W17" s="48">
        <f t="shared" si="5"/>
        <v>8.7504380821617218</v>
      </c>
      <c r="X17" s="48">
        <f xml:space="preserve"> STDEV(U17:W17)*Calculation!I17/Calculation!K16</f>
        <v>7.5586779868185468E-3</v>
      </c>
    </row>
    <row r="18" spans="1:24">
      <c r="A18" s="39">
        <v>14</v>
      </c>
      <c r="B18" s="31">
        <v>360</v>
      </c>
      <c r="C18" s="31">
        <f t="shared" si="6"/>
        <v>1440</v>
      </c>
      <c r="D18" s="13">
        <f t="shared" si="0"/>
        <v>24</v>
      </c>
      <c r="E18" s="31">
        <v>2</v>
      </c>
      <c r="F18" s="31">
        <v>22563</v>
      </c>
      <c r="G18" s="31">
        <v>7</v>
      </c>
      <c r="H18" s="43">
        <f>('Flow cytometer'!F18/'Flow cytometer'!G18)*POWER(10,'Flow cytometer'!E18+2)*10.2</f>
        <v>328775142.85714281</v>
      </c>
      <c r="I18" s="31">
        <v>2</v>
      </c>
      <c r="J18" s="31">
        <v>25387</v>
      </c>
      <c r="K18" s="31">
        <v>7</v>
      </c>
      <c r="L18" s="43">
        <f>('Flow cytometer'!J18/'Flow cytometer'!K18)*POWER(10,'Flow cytometer'!I18+2)*10.2</f>
        <v>369924857.14285713</v>
      </c>
      <c r="M18" s="31">
        <v>2</v>
      </c>
      <c r="N18" s="31">
        <v>25588</v>
      </c>
      <c r="O18" s="31">
        <v>7</v>
      </c>
      <c r="P18" s="43">
        <f>('Flow cytometer'!N18/'Flow cytometer'!O18)*POWER(10,'Flow cytometer'!M18+2)*10.2</f>
        <v>372853714.28571427</v>
      </c>
      <c r="Q18" s="46">
        <f>AVERAGE(H18,L18,P18)*Calculation!I18/Calculation!K17</f>
        <v>368164052.98154688</v>
      </c>
      <c r="R18" s="47">
        <f>STDEV(H18,L18,P18)*Calculation!I18/Calculation!K17</f>
        <v>25404448.830998808</v>
      </c>
      <c r="S18" s="48">
        <f t="shared" si="1"/>
        <v>8.5660413823378025</v>
      </c>
      <c r="T18" s="48">
        <f t="shared" si="2"/>
        <v>19.724039192941135</v>
      </c>
      <c r="U18" s="48">
        <f t="shared" si="3"/>
        <v>8.5168989751452013</v>
      </c>
      <c r="V18" s="48">
        <f t="shared" si="4"/>
        <v>8.568113514763013</v>
      </c>
      <c r="W18" s="48">
        <f t="shared" si="5"/>
        <v>8.5715384737931863</v>
      </c>
      <c r="X18" s="48">
        <f xml:space="preserve"> STDEV(U18:W18)*Calculation!I18/Calculation!K17</f>
        <v>3.154615332515056E-2</v>
      </c>
    </row>
    <row r="19" spans="1:24">
      <c r="A19" s="39">
        <v>15</v>
      </c>
      <c r="B19" s="31">
        <v>360</v>
      </c>
      <c r="C19" s="31">
        <f>C18+B19</f>
        <v>1800</v>
      </c>
      <c r="D19" s="13">
        <f t="shared" si="0"/>
        <v>30</v>
      </c>
      <c r="E19" s="31">
        <v>2</v>
      </c>
      <c r="F19" s="31">
        <v>31518</v>
      </c>
      <c r="G19" s="31">
        <v>7</v>
      </c>
      <c r="H19" s="43">
        <f>('Flow cytometer'!F19/'Flow cytometer'!G19)*POWER(10,'Flow cytometer'!E19+2)*10.2</f>
        <v>459262285.71428567</v>
      </c>
      <c r="I19" s="31">
        <v>2</v>
      </c>
      <c r="J19" s="31">
        <v>29208</v>
      </c>
      <c r="K19" s="31">
        <v>7</v>
      </c>
      <c r="L19" s="43">
        <f>('Flow cytometer'!J19/'Flow cytometer'!K19)*POWER(10,'Flow cytometer'!I19+2)*10.2</f>
        <v>425602285.71428567</v>
      </c>
      <c r="M19" s="31">
        <v>2</v>
      </c>
      <c r="N19" s="31">
        <v>30688</v>
      </c>
      <c r="O19" s="31">
        <v>7</v>
      </c>
      <c r="P19" s="43">
        <f>('Flow cytometer'!N19/'Flow cytometer'!O19)*POWER(10,'Flow cytometer'!M19+2)*10.2</f>
        <v>447167999.99999994</v>
      </c>
      <c r="Q19" s="46">
        <f>AVERAGE(H19,L19,P19)*Calculation!I19/Calculation!K18</f>
        <v>457659288.2490021</v>
      </c>
      <c r="R19" s="47">
        <f>STDEV(H19,L19,P19)*Calculation!I19/Calculation!K18</f>
        <v>17574766.127088342</v>
      </c>
      <c r="S19" s="48">
        <f t="shared" si="1"/>
        <v>8.6605422808450445</v>
      </c>
      <c r="T19" s="48">
        <f t="shared" si="2"/>
        <v>19.941635553118449</v>
      </c>
      <c r="U19" s="48">
        <f t="shared" si="3"/>
        <v>8.6620607829344127</v>
      </c>
      <c r="V19" s="48">
        <f t="shared" si="4"/>
        <v>8.6290039516893309</v>
      </c>
      <c r="W19" s="48">
        <f t="shared" si="5"/>
        <v>8.65047071723823</v>
      </c>
      <c r="X19" s="48">
        <f xml:space="preserve"> STDEV(U19:W19)*Calculation!I19/Calculation!K18</f>
        <v>1.7288095806032557E-2</v>
      </c>
    </row>
    <row r="20" spans="1:24">
      <c r="A20" s="39">
        <v>16</v>
      </c>
      <c r="B20" s="31">
        <v>1080</v>
      </c>
      <c r="C20" s="31">
        <f>C19+B20</f>
        <v>2880</v>
      </c>
      <c r="D20" s="13">
        <f t="shared" si="0"/>
        <v>48</v>
      </c>
      <c r="E20" s="31">
        <v>2</v>
      </c>
      <c r="F20" s="31">
        <v>22527</v>
      </c>
      <c r="G20" s="31">
        <v>7</v>
      </c>
      <c r="H20" s="43">
        <f>('Flow cytometer'!F20/'Flow cytometer'!G20)*POWER(10,'Flow cytometer'!E20+2)*10.2</f>
        <v>328250571.42857146</v>
      </c>
      <c r="I20" s="31">
        <v>2</v>
      </c>
      <c r="J20" s="31">
        <v>22811</v>
      </c>
      <c r="K20" s="31">
        <v>7</v>
      </c>
      <c r="L20" s="43">
        <f>('Flow cytometer'!J20/'Flow cytometer'!K20)*POWER(10,'Flow cytometer'!I20+2)*10.2</f>
        <v>332388857.14285713</v>
      </c>
      <c r="M20" s="31">
        <v>2</v>
      </c>
      <c r="N20" s="31">
        <v>24813</v>
      </c>
      <c r="O20" s="31">
        <v>7</v>
      </c>
      <c r="P20" s="43">
        <f>('Flow cytometer'!N20/'Flow cytometer'!O20)*POWER(10,'Flow cytometer'!M20+2)*10.2</f>
        <v>361560857.14285713</v>
      </c>
      <c r="Q20" s="46">
        <f>AVERAGE(H20,L20,P20)*Calculation!I20/Calculation!K19</f>
        <v>351207219.13444054</v>
      </c>
      <c r="R20" s="47">
        <f>STDEV(H20,L20,P20)*Calculation!I20/Calculation!K19</f>
        <v>18713453.628737103</v>
      </c>
      <c r="S20" s="48">
        <f t="shared" ref="S20" si="7">LOG(Q20)</f>
        <v>8.5455634343355129</v>
      </c>
      <c r="T20" s="48">
        <f t="shared" ref="T20" si="8">LN(Q20)</f>
        <v>19.676886975135954</v>
      </c>
      <c r="U20" s="48">
        <f t="shared" si="3"/>
        <v>8.5162054907952083</v>
      </c>
      <c r="V20" s="48">
        <f t="shared" si="4"/>
        <v>8.5216464562598357</v>
      </c>
      <c r="W20" s="48">
        <f t="shared" si="5"/>
        <v>8.5581814072927589</v>
      </c>
      <c r="X20" s="48">
        <f xml:space="preserve"> STDEV(U20:W20)*Calculation!I20/Calculation!K19</f>
        <v>2.3528500376431404E-2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opLeftCell="A18" workbookViewId="0">
      <selection activeCell="I24" sqref="I24"/>
    </sheetView>
  </sheetViews>
  <sheetFormatPr baseColWidth="10" defaultRowHeight="14" x14ac:dyDescent="0"/>
  <sheetData>
    <row r="1" spans="1:21">
      <c r="A1" s="74"/>
      <c r="B1" s="128" t="s">
        <v>4</v>
      </c>
      <c r="C1" s="130" t="s">
        <v>176</v>
      </c>
      <c r="D1" s="131" t="s">
        <v>18</v>
      </c>
      <c r="E1" s="131"/>
      <c r="F1" s="131"/>
      <c r="G1" s="131"/>
      <c r="H1" s="131" t="s">
        <v>20</v>
      </c>
      <c r="I1" s="131"/>
      <c r="J1" s="131"/>
      <c r="K1" s="131"/>
      <c r="L1" s="131" t="s">
        <v>21</v>
      </c>
      <c r="M1" s="131"/>
      <c r="N1" s="131"/>
      <c r="O1" s="131"/>
      <c r="P1" s="75" t="s">
        <v>22</v>
      </c>
      <c r="Q1" s="75" t="s">
        <v>22</v>
      </c>
      <c r="R1" s="75" t="s">
        <v>22</v>
      </c>
      <c r="S1" s="123" t="s">
        <v>177</v>
      </c>
      <c r="T1" s="74"/>
      <c r="U1" s="74"/>
    </row>
    <row r="2" spans="1:21">
      <c r="A2" s="74"/>
      <c r="B2" s="129"/>
      <c r="C2" s="129"/>
      <c r="D2" s="76" t="s">
        <v>19</v>
      </c>
      <c r="E2" s="76" t="s">
        <v>68</v>
      </c>
      <c r="F2" s="76" t="s">
        <v>69</v>
      </c>
      <c r="G2" s="76" t="s">
        <v>70</v>
      </c>
      <c r="H2" s="76" t="s">
        <v>19</v>
      </c>
      <c r="I2" s="76" t="s">
        <v>68</v>
      </c>
      <c r="J2" s="76" t="s">
        <v>69</v>
      </c>
      <c r="K2" s="76" t="s">
        <v>70</v>
      </c>
      <c r="L2" s="76" t="s">
        <v>19</v>
      </c>
      <c r="M2" s="76" t="s">
        <v>68</v>
      </c>
      <c r="N2" s="76" t="s">
        <v>69</v>
      </c>
      <c r="O2" s="76" t="s">
        <v>71</v>
      </c>
      <c r="P2" s="77" t="s">
        <v>70</v>
      </c>
      <c r="Q2" s="77" t="s">
        <v>23</v>
      </c>
      <c r="R2" s="77" t="s">
        <v>72</v>
      </c>
      <c r="S2" s="124"/>
      <c r="T2" s="74"/>
      <c r="U2" s="74"/>
    </row>
    <row r="3" spans="1:21">
      <c r="A3" s="74"/>
      <c r="B3" s="78"/>
      <c r="C3" s="78"/>
      <c r="D3" s="79"/>
      <c r="E3" s="79"/>
      <c r="F3" s="79"/>
      <c r="G3" s="80"/>
      <c r="H3" s="79"/>
      <c r="I3" s="79"/>
      <c r="J3" s="79"/>
      <c r="K3" s="80"/>
      <c r="L3" s="79"/>
      <c r="M3" s="79"/>
      <c r="N3" s="79"/>
      <c r="O3" s="80"/>
      <c r="P3" s="125"/>
      <c r="Q3" s="126"/>
      <c r="R3" s="127"/>
      <c r="S3" s="74"/>
      <c r="T3" s="74"/>
      <c r="U3" s="74"/>
    </row>
    <row r="4" spans="1:21">
      <c r="A4" s="74"/>
      <c r="B4" s="81" t="s">
        <v>178</v>
      </c>
      <c r="C4" s="82">
        <v>500</v>
      </c>
      <c r="D4" s="82">
        <v>2</v>
      </c>
      <c r="E4" s="82">
        <v>26960</v>
      </c>
      <c r="F4" s="82">
        <v>7</v>
      </c>
      <c r="G4" s="80">
        <f t="shared" ref="G4:G19" si="0">(E4/F4)*(10.2)*POWER(10,D4+2)</f>
        <v>392845714.28571427</v>
      </c>
      <c r="H4" s="82">
        <v>2</v>
      </c>
      <c r="I4" s="82">
        <v>28998</v>
      </c>
      <c r="J4" s="82">
        <v>7</v>
      </c>
      <c r="K4" s="80">
        <f t="shared" ref="K4:K19" si="1">(I4/J4)*(10.2)*POWER(10,H4+2)</f>
        <v>422542285.71428567</v>
      </c>
      <c r="L4" s="82">
        <v>2</v>
      </c>
      <c r="M4" s="82">
        <v>29053</v>
      </c>
      <c r="N4" s="82">
        <v>7</v>
      </c>
      <c r="O4" s="80">
        <f t="shared" ref="O4:O19" si="2">(M4/N4)*(10.2)*POWER(10,L4+2)</f>
        <v>423343714.28571433</v>
      </c>
      <c r="P4" s="83">
        <f t="shared" ref="P4:P19" si="3">AVERAGE(O4,K4,G4)</f>
        <v>412910571.4285714</v>
      </c>
      <c r="Q4" s="83">
        <f t="shared" ref="Q4:Q19" si="4">STDEV(O4,K4,G4)</f>
        <v>17381295.724462688</v>
      </c>
      <c r="R4" s="84">
        <f>LOG(P4)</f>
        <v>8.6158560019212569</v>
      </c>
      <c r="S4" s="74"/>
      <c r="T4" s="74"/>
      <c r="U4" s="74"/>
    </row>
    <row r="5" spans="1:21">
      <c r="A5" s="74"/>
      <c r="B5" s="81" t="s">
        <v>179</v>
      </c>
      <c r="C5" s="82">
        <v>500</v>
      </c>
      <c r="D5" s="82">
        <v>1</v>
      </c>
      <c r="E5" s="82">
        <v>25770</v>
      </c>
      <c r="F5" s="82">
        <v>7</v>
      </c>
      <c r="G5" s="80">
        <f t="shared" si="0"/>
        <v>37550571.428571425</v>
      </c>
      <c r="H5" s="82">
        <v>1</v>
      </c>
      <c r="I5" s="82">
        <v>24760</v>
      </c>
      <c r="J5" s="82">
        <v>7</v>
      </c>
      <c r="K5" s="80">
        <f t="shared" si="1"/>
        <v>36078857.142857142</v>
      </c>
      <c r="L5" s="82">
        <v>1</v>
      </c>
      <c r="M5" s="82">
        <v>27526</v>
      </c>
      <c r="N5" s="82">
        <v>7</v>
      </c>
      <c r="O5" s="80">
        <f t="shared" si="2"/>
        <v>40109314.285714284</v>
      </c>
      <c r="P5" s="83">
        <f t="shared" si="3"/>
        <v>37912914.285714291</v>
      </c>
      <c r="Q5" s="83">
        <f t="shared" si="4"/>
        <v>2039513.5338344474</v>
      </c>
      <c r="R5" s="84">
        <f t="shared" ref="R5:R19" si="5">LOG(P5)</f>
        <v>7.5787871690098934</v>
      </c>
      <c r="S5" s="74"/>
      <c r="T5" s="74"/>
      <c r="U5" s="74"/>
    </row>
    <row r="6" spans="1:21">
      <c r="A6" s="74"/>
      <c r="B6" s="81" t="s">
        <v>180</v>
      </c>
      <c r="C6" s="82">
        <v>500</v>
      </c>
      <c r="D6" s="82">
        <v>0</v>
      </c>
      <c r="E6" s="82">
        <v>2493</v>
      </c>
      <c r="F6" s="82">
        <v>7</v>
      </c>
      <c r="G6" s="80">
        <f t="shared" si="0"/>
        <v>363265.71428571426</v>
      </c>
      <c r="H6" s="82">
        <v>0</v>
      </c>
      <c r="I6" s="82">
        <v>2459</v>
      </c>
      <c r="J6" s="82">
        <v>7</v>
      </c>
      <c r="K6" s="80">
        <f t="shared" si="1"/>
        <v>358311.42857142852</v>
      </c>
      <c r="L6" s="82">
        <v>0</v>
      </c>
      <c r="M6" s="82">
        <v>2550</v>
      </c>
      <c r="N6" s="82">
        <v>7</v>
      </c>
      <c r="O6" s="80">
        <f t="shared" si="2"/>
        <v>371571.42857142852</v>
      </c>
      <c r="P6" s="83">
        <f t="shared" si="3"/>
        <v>364382.8571428571</v>
      </c>
      <c r="Q6" s="83">
        <f t="shared" si="4"/>
        <v>6700.2168712996863</v>
      </c>
      <c r="R6" s="84">
        <f t="shared" si="5"/>
        <v>5.5615579368427026</v>
      </c>
      <c r="S6" s="85" t="s">
        <v>131</v>
      </c>
      <c r="T6" s="74"/>
      <c r="U6" s="74"/>
    </row>
    <row r="7" spans="1:21">
      <c r="A7" s="74"/>
      <c r="B7" s="81" t="s">
        <v>181</v>
      </c>
      <c r="C7" s="82">
        <v>500</v>
      </c>
      <c r="D7" s="82">
        <f>LOG(705/250)</f>
        <v>0.45024910831936105</v>
      </c>
      <c r="E7" s="82">
        <v>946</v>
      </c>
      <c r="F7" s="82">
        <v>7</v>
      </c>
      <c r="G7" s="80">
        <f>(E7/F7)*(1)*POWER(10,D7+2)</f>
        <v>38110.285714285717</v>
      </c>
      <c r="H7" s="82">
        <f>LOG(705/250)</f>
        <v>0.45024910831936105</v>
      </c>
      <c r="I7" s="82">
        <v>885</v>
      </c>
      <c r="J7" s="82">
        <v>7</v>
      </c>
      <c r="K7" s="80">
        <f t="shared" si="1"/>
        <v>363659.1428571429</v>
      </c>
      <c r="L7" s="82">
        <f>LOG(705/250)</f>
        <v>0.45024910831936105</v>
      </c>
      <c r="M7" s="82">
        <v>947</v>
      </c>
      <c r="N7" s="82">
        <v>7</v>
      </c>
      <c r="O7" s="80">
        <f>(M7/N7)*(1)*POWER(10,L7+2)</f>
        <v>38150.571428571435</v>
      </c>
      <c r="P7" s="83">
        <f t="shared" si="3"/>
        <v>146640.00000000003</v>
      </c>
      <c r="Q7" s="83">
        <f t="shared" si="4"/>
        <v>187944.09190121258</v>
      </c>
      <c r="R7" s="84">
        <f t="shared" si="5"/>
        <v>5.1662524519541604</v>
      </c>
      <c r="S7" s="74"/>
      <c r="T7" s="74"/>
      <c r="U7" s="74"/>
    </row>
    <row r="8" spans="1:21">
      <c r="A8" s="74"/>
      <c r="B8" s="81" t="s">
        <v>182</v>
      </c>
      <c r="C8" s="82">
        <v>500</v>
      </c>
      <c r="D8" s="82">
        <f>LOG(705/250)</f>
        <v>0.45024910831936105</v>
      </c>
      <c r="E8" s="82">
        <v>1248</v>
      </c>
      <c r="F8" s="82">
        <v>70</v>
      </c>
      <c r="G8" s="80">
        <f>(E8/F8)*(1)*POWER(10,D8+2)</f>
        <v>5027.6571428571442</v>
      </c>
      <c r="H8" s="82">
        <f>LOG(705/250)</f>
        <v>0.45024910831936105</v>
      </c>
      <c r="I8" s="82">
        <v>1303</v>
      </c>
      <c r="J8" s="82">
        <v>70</v>
      </c>
      <c r="K8" s="80">
        <f t="shared" si="1"/>
        <v>53542.131428571432</v>
      </c>
      <c r="L8" s="82">
        <f>LOG(705/250)</f>
        <v>0.45024910831936105</v>
      </c>
      <c r="M8" s="82">
        <v>1278</v>
      </c>
      <c r="N8" s="82">
        <v>70</v>
      </c>
      <c r="O8" s="80">
        <f>(M8/N8)*(1)*POWER(10,L8+2)</f>
        <v>5148.5142857142864</v>
      </c>
      <c r="P8" s="83">
        <f t="shared" si="3"/>
        <v>21239.434285714287</v>
      </c>
      <c r="Q8" s="83">
        <f t="shared" si="4"/>
        <v>27975.021602129429</v>
      </c>
      <c r="R8" s="84">
        <f t="shared" si="5"/>
        <v>4.3271429450900092</v>
      </c>
      <c r="S8" s="74"/>
      <c r="T8" s="74"/>
      <c r="U8" s="74"/>
    </row>
    <row r="9" spans="1:21">
      <c r="A9" s="74"/>
      <c r="B9" s="81" t="s">
        <v>183</v>
      </c>
      <c r="C9" s="82">
        <v>900</v>
      </c>
      <c r="D9" s="82">
        <v>2</v>
      </c>
      <c r="E9" s="82">
        <v>26822</v>
      </c>
      <c r="F9" s="82">
        <v>7</v>
      </c>
      <c r="G9" s="80">
        <f t="shared" si="0"/>
        <v>390834857.14285713</v>
      </c>
      <c r="H9" s="82">
        <v>2</v>
      </c>
      <c r="I9" s="82">
        <v>25452</v>
      </c>
      <c r="J9" s="82">
        <v>7</v>
      </c>
      <c r="K9" s="80">
        <f t="shared" si="1"/>
        <v>370872000</v>
      </c>
      <c r="L9" s="82">
        <v>2</v>
      </c>
      <c r="M9" s="82">
        <v>29126</v>
      </c>
      <c r="N9" s="82">
        <v>7</v>
      </c>
      <c r="O9" s="80">
        <f t="shared" si="2"/>
        <v>424407428.57142854</v>
      </c>
      <c r="P9" s="83">
        <f t="shared" si="3"/>
        <v>395371428.57142854</v>
      </c>
      <c r="Q9" s="83">
        <f t="shared" si="4"/>
        <v>27054498.485954784</v>
      </c>
      <c r="R9" s="84">
        <f t="shared" si="5"/>
        <v>8.5970052819172</v>
      </c>
      <c r="S9" s="74"/>
      <c r="T9" s="74"/>
      <c r="U9" s="74"/>
    </row>
    <row r="10" spans="1:21">
      <c r="A10" s="74"/>
      <c r="B10" s="81" t="s">
        <v>184</v>
      </c>
      <c r="C10" s="82">
        <v>900</v>
      </c>
      <c r="D10" s="82">
        <v>1</v>
      </c>
      <c r="E10" s="82">
        <v>11669</v>
      </c>
      <c r="F10" s="82">
        <v>7</v>
      </c>
      <c r="G10" s="80">
        <f t="shared" si="0"/>
        <v>17003399.999999996</v>
      </c>
      <c r="H10" s="82">
        <v>1</v>
      </c>
      <c r="I10" s="82">
        <v>13970</v>
      </c>
      <c r="J10" s="82">
        <v>20</v>
      </c>
      <c r="K10" s="80">
        <f t="shared" si="1"/>
        <v>7124700</v>
      </c>
      <c r="L10" s="82">
        <v>1</v>
      </c>
      <c r="M10" s="82">
        <v>12995</v>
      </c>
      <c r="N10" s="82">
        <v>7</v>
      </c>
      <c r="O10" s="80">
        <f t="shared" si="2"/>
        <v>18935571.428571429</v>
      </c>
      <c r="P10" s="83">
        <f t="shared" si="3"/>
        <v>14354557.142857142</v>
      </c>
      <c r="Q10" s="83">
        <f t="shared" si="4"/>
        <v>6335333.2459262749</v>
      </c>
      <c r="R10" s="84">
        <f t="shared" si="5"/>
        <v>7.1569897984779303</v>
      </c>
      <c r="S10" s="85" t="s">
        <v>131</v>
      </c>
      <c r="T10" s="74"/>
      <c r="U10" s="74"/>
    </row>
    <row r="11" spans="1:21">
      <c r="A11" s="74"/>
      <c r="B11" s="81" t="s">
        <v>185</v>
      </c>
      <c r="C11" s="82">
        <v>900</v>
      </c>
      <c r="D11" s="82">
        <v>1</v>
      </c>
      <c r="E11" s="82">
        <v>6123</v>
      </c>
      <c r="F11" s="82">
        <v>7</v>
      </c>
      <c r="G11" s="80">
        <f t="shared" si="0"/>
        <v>8922085.7142857127</v>
      </c>
      <c r="H11" s="82">
        <v>1</v>
      </c>
      <c r="I11" s="82">
        <v>6639</v>
      </c>
      <c r="J11" s="82">
        <v>7</v>
      </c>
      <c r="K11" s="80">
        <f t="shared" si="1"/>
        <v>9673971.4285714272</v>
      </c>
      <c r="L11" s="82">
        <v>1</v>
      </c>
      <c r="M11" s="82">
        <v>7021</v>
      </c>
      <c r="N11" s="82">
        <v>7</v>
      </c>
      <c r="O11" s="80">
        <f t="shared" si="2"/>
        <v>10230599.999999998</v>
      </c>
      <c r="P11" s="83">
        <f t="shared" si="3"/>
        <v>9608885.7142857127</v>
      </c>
      <c r="Q11" s="83">
        <f t="shared" si="4"/>
        <v>656680.68468065432</v>
      </c>
      <c r="R11" s="84">
        <f t="shared" si="5"/>
        <v>6.9826730280228597</v>
      </c>
      <c r="S11" s="85" t="s">
        <v>131</v>
      </c>
      <c r="T11" s="74"/>
      <c r="U11" s="74"/>
    </row>
    <row r="12" spans="1:21">
      <c r="A12" s="74"/>
      <c r="B12" s="81" t="s">
        <v>186</v>
      </c>
      <c r="C12" s="82">
        <v>900</v>
      </c>
      <c r="D12" s="82">
        <v>1</v>
      </c>
      <c r="E12" s="82">
        <v>29009</v>
      </c>
      <c r="F12" s="82">
        <v>7</v>
      </c>
      <c r="G12" s="80">
        <f t="shared" si="0"/>
        <v>42270257.142857142</v>
      </c>
      <c r="H12" s="82">
        <v>1</v>
      </c>
      <c r="I12" s="82">
        <v>29016</v>
      </c>
      <c r="J12" s="82">
        <v>7</v>
      </c>
      <c r="K12" s="80">
        <f t="shared" si="1"/>
        <v>42280457.142857134</v>
      </c>
      <c r="L12" s="82">
        <v>1</v>
      </c>
      <c r="M12" s="82">
        <v>31568</v>
      </c>
      <c r="N12" s="82">
        <v>7</v>
      </c>
      <c r="O12" s="80">
        <f t="shared" si="2"/>
        <v>45999085.714285709</v>
      </c>
      <c r="P12" s="83">
        <f t="shared" si="3"/>
        <v>43516599.999999993</v>
      </c>
      <c r="Q12" s="83">
        <f t="shared" si="4"/>
        <v>2149901.7422255576</v>
      </c>
      <c r="R12" s="84">
        <f t="shared" si="5"/>
        <v>7.6386549561082937</v>
      </c>
      <c r="S12" s="74"/>
      <c r="T12" s="74"/>
      <c r="U12" s="74"/>
    </row>
    <row r="13" spans="1:21">
      <c r="A13" s="74"/>
      <c r="B13" s="81" t="s">
        <v>187</v>
      </c>
      <c r="C13" s="82">
        <v>900</v>
      </c>
      <c r="D13" s="82">
        <v>1</v>
      </c>
      <c r="E13" s="82">
        <v>13542</v>
      </c>
      <c r="F13" s="82">
        <v>7</v>
      </c>
      <c r="G13" s="80">
        <f t="shared" si="0"/>
        <v>19732628.571428571</v>
      </c>
      <c r="H13" s="82">
        <v>1</v>
      </c>
      <c r="I13" s="82">
        <v>14070</v>
      </c>
      <c r="J13" s="82">
        <v>7</v>
      </c>
      <c r="K13" s="80">
        <f t="shared" si="1"/>
        <v>20502000</v>
      </c>
      <c r="L13" s="82">
        <v>1</v>
      </c>
      <c r="M13" s="82">
        <v>15197</v>
      </c>
      <c r="N13" s="82">
        <v>7</v>
      </c>
      <c r="O13" s="80">
        <f t="shared" si="2"/>
        <v>22144199.999999996</v>
      </c>
      <c r="P13" s="83">
        <f t="shared" si="3"/>
        <v>20792942.857142854</v>
      </c>
      <c r="Q13" s="83">
        <f t="shared" si="4"/>
        <v>1231829.938898768</v>
      </c>
      <c r="R13" s="84">
        <f t="shared" si="5"/>
        <v>7.3179159600467427</v>
      </c>
      <c r="S13" s="74"/>
      <c r="T13" s="74"/>
      <c r="U13" s="74"/>
    </row>
    <row r="14" spans="1:21">
      <c r="A14" s="74"/>
      <c r="B14" s="81" t="s">
        <v>188</v>
      </c>
      <c r="C14" s="82">
        <v>900</v>
      </c>
      <c r="D14" s="82">
        <v>1</v>
      </c>
      <c r="E14" s="82">
        <v>6282</v>
      </c>
      <c r="F14" s="82">
        <v>7</v>
      </c>
      <c r="G14" s="80">
        <f t="shared" si="0"/>
        <v>9153771.4285714291</v>
      </c>
      <c r="H14" s="82">
        <v>1</v>
      </c>
      <c r="I14" s="82">
        <v>6343</v>
      </c>
      <c r="J14" s="82">
        <v>7</v>
      </c>
      <c r="K14" s="80">
        <f t="shared" si="1"/>
        <v>9242657.1428571418</v>
      </c>
      <c r="L14" s="82">
        <v>1</v>
      </c>
      <c r="M14" s="82">
        <v>7014</v>
      </c>
      <c r="N14" s="82">
        <v>7</v>
      </c>
      <c r="O14" s="80">
        <f t="shared" si="2"/>
        <v>10220400</v>
      </c>
      <c r="P14" s="83">
        <f t="shared" si="3"/>
        <v>9538942.8571428563</v>
      </c>
      <c r="Q14" s="83">
        <f t="shared" si="4"/>
        <v>591830.25075969705</v>
      </c>
      <c r="R14" s="84">
        <f t="shared" si="5"/>
        <v>6.9795002471622967</v>
      </c>
      <c r="S14" s="74"/>
      <c r="T14" s="74"/>
      <c r="U14" s="74"/>
    </row>
    <row r="15" spans="1:21">
      <c r="A15" s="74"/>
      <c r="B15" s="81" t="s">
        <v>189</v>
      </c>
      <c r="C15" s="82">
        <v>900</v>
      </c>
      <c r="D15" s="82">
        <v>1</v>
      </c>
      <c r="E15" s="82">
        <v>3249</v>
      </c>
      <c r="F15" s="82">
        <v>7</v>
      </c>
      <c r="G15" s="80">
        <f t="shared" si="0"/>
        <v>4734257.1428571427</v>
      </c>
      <c r="H15" s="82">
        <v>1</v>
      </c>
      <c r="I15" s="82">
        <v>3902</v>
      </c>
      <c r="J15" s="82">
        <v>7</v>
      </c>
      <c r="K15" s="80">
        <f t="shared" si="1"/>
        <v>5685771.4285714282</v>
      </c>
      <c r="L15" s="82">
        <v>1</v>
      </c>
      <c r="M15" s="82">
        <v>3833</v>
      </c>
      <c r="N15" s="82">
        <v>7</v>
      </c>
      <c r="O15" s="80">
        <f t="shared" si="2"/>
        <v>5585228.5714285709</v>
      </c>
      <c r="P15" s="83">
        <f t="shared" si="3"/>
        <v>5335085.7142857136</v>
      </c>
      <c r="Q15" s="83">
        <f t="shared" si="4"/>
        <v>522755.62714741344</v>
      </c>
      <c r="R15" s="84">
        <f t="shared" si="5"/>
        <v>6.7271414012566968</v>
      </c>
      <c r="S15" s="74"/>
      <c r="T15" s="74"/>
      <c r="U15" s="74"/>
    </row>
    <row r="16" spans="1:21">
      <c r="A16" s="74"/>
      <c r="B16" s="81" t="s">
        <v>190</v>
      </c>
      <c r="C16" s="82">
        <v>900</v>
      </c>
      <c r="D16" s="82">
        <v>0</v>
      </c>
      <c r="E16" s="82">
        <v>12331</v>
      </c>
      <c r="F16" s="82">
        <v>7</v>
      </c>
      <c r="G16" s="80">
        <f t="shared" si="0"/>
        <v>1796802.857142857</v>
      </c>
      <c r="H16" s="82">
        <v>0</v>
      </c>
      <c r="I16" s="82">
        <v>13246</v>
      </c>
      <c r="J16" s="82">
        <v>7</v>
      </c>
      <c r="K16" s="80">
        <f t="shared" si="1"/>
        <v>1930131.4285714284</v>
      </c>
      <c r="L16" s="82">
        <v>0</v>
      </c>
      <c r="M16" s="82">
        <v>11745</v>
      </c>
      <c r="N16" s="82">
        <v>7</v>
      </c>
      <c r="O16" s="80">
        <f t="shared" si="2"/>
        <v>1711414.2857142854</v>
      </c>
      <c r="P16" s="83">
        <f t="shared" si="3"/>
        <v>1812782.857142857</v>
      </c>
      <c r="Q16" s="83">
        <f t="shared" si="4"/>
        <v>110230.74636823416</v>
      </c>
      <c r="R16" s="84">
        <f t="shared" si="5"/>
        <v>6.2583457855668376</v>
      </c>
      <c r="S16" s="74"/>
      <c r="T16" s="74"/>
      <c r="U16" s="74"/>
    </row>
    <row r="17" spans="1:21">
      <c r="A17" s="74"/>
      <c r="B17" s="81" t="s">
        <v>191</v>
      </c>
      <c r="C17" s="82">
        <v>900</v>
      </c>
      <c r="D17" s="82">
        <v>0</v>
      </c>
      <c r="E17" s="82">
        <v>6389</v>
      </c>
      <c r="F17" s="82">
        <v>7</v>
      </c>
      <c r="G17" s="80">
        <f t="shared" si="0"/>
        <v>930968.57142857136</v>
      </c>
      <c r="H17" s="82">
        <v>0</v>
      </c>
      <c r="I17" s="82">
        <v>4586</v>
      </c>
      <c r="J17" s="82">
        <v>7</v>
      </c>
      <c r="K17" s="80">
        <f t="shared" si="1"/>
        <v>668245.7142857142</v>
      </c>
      <c r="L17" s="82">
        <v>0</v>
      </c>
      <c r="M17" s="82">
        <v>5332</v>
      </c>
      <c r="N17" s="82">
        <v>7</v>
      </c>
      <c r="O17" s="80">
        <f t="shared" si="2"/>
        <v>776948.57142857136</v>
      </c>
      <c r="P17" s="83">
        <f t="shared" si="3"/>
        <v>792054.28571428556</v>
      </c>
      <c r="Q17" s="83">
        <f t="shared" si="4"/>
        <v>132011.21872548491</v>
      </c>
      <c r="R17" s="84">
        <f t="shared" si="5"/>
        <v>5.8987549482286576</v>
      </c>
      <c r="S17" s="74"/>
      <c r="T17" s="74"/>
      <c r="U17" s="74"/>
    </row>
    <row r="18" spans="1:21">
      <c r="A18" s="74"/>
      <c r="B18" s="81" t="s">
        <v>192</v>
      </c>
      <c r="C18" s="82">
        <v>900</v>
      </c>
      <c r="D18" s="82">
        <v>0</v>
      </c>
      <c r="E18" s="82">
        <v>2453</v>
      </c>
      <c r="F18" s="82">
        <v>7</v>
      </c>
      <c r="G18" s="80">
        <f t="shared" si="0"/>
        <v>357437.14285714284</v>
      </c>
      <c r="H18" s="82">
        <v>0</v>
      </c>
      <c r="I18" s="82">
        <v>2433</v>
      </c>
      <c r="J18" s="82">
        <v>7</v>
      </c>
      <c r="K18" s="80">
        <f t="shared" si="1"/>
        <v>354522.8571428571</v>
      </c>
      <c r="L18" s="82">
        <v>0</v>
      </c>
      <c r="M18" s="82">
        <v>1833</v>
      </c>
      <c r="N18" s="82">
        <v>7</v>
      </c>
      <c r="O18" s="80">
        <f t="shared" si="2"/>
        <v>267094.28571428568</v>
      </c>
      <c r="P18" s="83">
        <f t="shared" si="3"/>
        <v>326351.42857142852</v>
      </c>
      <c r="Q18" s="83">
        <f t="shared" si="4"/>
        <v>51338.874159841398</v>
      </c>
      <c r="R18" s="84">
        <f t="shared" si="5"/>
        <v>5.5136855181177333</v>
      </c>
      <c r="S18" s="74"/>
      <c r="T18" s="74"/>
      <c r="U18" s="74"/>
    </row>
    <row r="19" spans="1:21">
      <c r="A19" s="74"/>
      <c r="B19" s="81" t="s">
        <v>193</v>
      </c>
      <c r="C19" s="82">
        <v>900</v>
      </c>
      <c r="D19" s="82">
        <v>0</v>
      </c>
      <c r="E19" s="82">
        <v>2574</v>
      </c>
      <c r="F19" s="82">
        <v>14</v>
      </c>
      <c r="G19" s="80">
        <f t="shared" si="0"/>
        <v>187534.28571428571</v>
      </c>
      <c r="H19" s="82">
        <v>0</v>
      </c>
      <c r="I19" s="82">
        <v>1997</v>
      </c>
      <c r="J19" s="82">
        <v>14</v>
      </c>
      <c r="K19" s="80">
        <f t="shared" si="1"/>
        <v>145495.71428571429</v>
      </c>
      <c r="L19" s="82">
        <v>0</v>
      </c>
      <c r="M19" s="82">
        <v>1974</v>
      </c>
      <c r="N19" s="82">
        <v>14</v>
      </c>
      <c r="O19" s="80">
        <f t="shared" si="2"/>
        <v>143819.99999999997</v>
      </c>
      <c r="P19" s="83">
        <f t="shared" si="3"/>
        <v>158950</v>
      </c>
      <c r="Q19" s="83">
        <f t="shared" si="4"/>
        <v>24768.892727345858</v>
      </c>
      <c r="R19" s="84">
        <f t="shared" si="5"/>
        <v>5.2012605322507914</v>
      </c>
      <c r="S19" s="74"/>
      <c r="T19" s="74"/>
      <c r="U19" s="74"/>
    </row>
    <row r="20" spans="1:21" ht="15" thickBot="1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</row>
    <row r="21" spans="1:21" ht="43" thickBot="1">
      <c r="A21" s="74"/>
      <c r="B21" s="86" t="s">
        <v>4</v>
      </c>
      <c r="C21" s="86" t="s">
        <v>194</v>
      </c>
      <c r="D21" s="86" t="s">
        <v>195</v>
      </c>
      <c r="E21" s="86" t="s">
        <v>196</v>
      </c>
      <c r="F21" s="86" t="s">
        <v>197</v>
      </c>
      <c r="G21" s="87" t="s">
        <v>198</v>
      </c>
      <c r="H21" s="88" t="s">
        <v>199</v>
      </c>
      <c r="I21" s="88" t="s">
        <v>200</v>
      </c>
      <c r="J21" s="88" t="s">
        <v>201</v>
      </c>
      <c r="K21" s="88" t="s">
        <v>202</v>
      </c>
      <c r="L21" s="88" t="s">
        <v>203</v>
      </c>
      <c r="M21" s="85" t="s">
        <v>204</v>
      </c>
      <c r="N21" s="74"/>
      <c r="O21" s="74"/>
      <c r="P21" s="74"/>
      <c r="Q21" s="74"/>
      <c r="R21" s="74"/>
      <c r="S21" s="74"/>
      <c r="T21" s="74"/>
      <c r="U21" s="74"/>
    </row>
    <row r="22" spans="1:21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</row>
    <row r="23" spans="1:21">
      <c r="A23" s="74"/>
      <c r="B23" s="81" t="s">
        <v>178</v>
      </c>
      <c r="C23" s="89">
        <v>13.733217239379883</v>
      </c>
      <c r="D23" s="89">
        <v>13.964070320129395</v>
      </c>
      <c r="E23" s="89">
        <v>13.836982727050781</v>
      </c>
      <c r="F23" s="90">
        <f>AVERAGE(C23:E23)</f>
        <v>13.844756762186686</v>
      </c>
      <c r="G23" s="74">
        <f>150/100*180/4*1000/900</f>
        <v>75</v>
      </c>
      <c r="H23" s="91">
        <f>LOG(G23)/LOG(2)</f>
        <v>6.2288186904958813</v>
      </c>
      <c r="I23" s="89">
        <f>C23-H23</f>
        <v>7.5043985488840015</v>
      </c>
      <c r="J23" s="89">
        <f>D23-H23</f>
        <v>7.7352516296335132</v>
      </c>
      <c r="K23" s="89">
        <f>E23-H23</f>
        <v>7.6081640365548999</v>
      </c>
      <c r="L23" s="90">
        <f>AVERAGE(I23:K23)</f>
        <v>7.6159380716908052</v>
      </c>
      <c r="M23" s="74"/>
      <c r="N23" s="74"/>
      <c r="O23" s="74"/>
      <c r="P23" s="74"/>
      <c r="Q23" s="74"/>
      <c r="R23" s="74"/>
      <c r="S23" s="74"/>
      <c r="T23" s="74"/>
      <c r="U23" s="74"/>
    </row>
    <row r="24" spans="1:21">
      <c r="A24" s="74"/>
      <c r="B24" s="81" t="s">
        <v>179</v>
      </c>
      <c r="C24" s="89">
        <v>17.19072151184082</v>
      </c>
      <c r="D24" s="89">
        <v>17.22271728515625</v>
      </c>
      <c r="E24" s="89">
        <v>17.264667510986328</v>
      </c>
      <c r="F24" s="90">
        <f t="shared" ref="F24:F38" si="6">AVERAGE(C24:E24)</f>
        <v>17.226035435994465</v>
      </c>
      <c r="G24" s="74">
        <f t="shared" ref="G24:G27" si="7">150/100*180/4*1000/900</f>
        <v>75</v>
      </c>
      <c r="H24" s="91">
        <f t="shared" ref="H24:H37" si="8">LOG(G24)/LOG(2)</f>
        <v>6.2288186904958813</v>
      </c>
      <c r="I24" s="89">
        <f t="shared" ref="I24:I38" si="9">C24-H24</f>
        <v>10.961902821344939</v>
      </c>
      <c r="J24" s="89">
        <f t="shared" ref="J24:J38" si="10">D24-H24</f>
        <v>10.993898594660369</v>
      </c>
      <c r="K24" s="89">
        <f t="shared" ref="K24:K38" si="11">E24-H24</f>
        <v>11.035848820490447</v>
      </c>
      <c r="L24" s="90">
        <f t="shared" ref="L24:L38" si="12">AVERAGE(I24:K24)</f>
        <v>10.997216745498585</v>
      </c>
      <c r="M24" s="74"/>
      <c r="N24" s="74"/>
      <c r="O24" s="74"/>
      <c r="P24" s="74"/>
      <c r="Q24" s="74"/>
      <c r="R24" s="74"/>
      <c r="S24" s="74"/>
      <c r="T24" s="74"/>
      <c r="U24" s="74"/>
    </row>
    <row r="25" spans="1:21">
      <c r="A25" s="74"/>
      <c r="B25" s="81" t="s">
        <v>180</v>
      </c>
      <c r="C25" s="89">
        <v>20.897546768188477</v>
      </c>
      <c r="D25" s="89">
        <v>20.622665405273438</v>
      </c>
      <c r="E25" s="89">
        <v>20.75037956237793</v>
      </c>
      <c r="F25" s="90">
        <f t="shared" si="6"/>
        <v>20.756863911946613</v>
      </c>
      <c r="G25" s="74">
        <f t="shared" si="7"/>
        <v>75</v>
      </c>
      <c r="H25" s="91">
        <f t="shared" si="8"/>
        <v>6.2288186904958813</v>
      </c>
      <c r="I25" s="89">
        <f t="shared" si="9"/>
        <v>14.668728077692595</v>
      </c>
      <c r="J25" s="89">
        <f t="shared" si="10"/>
        <v>14.393846714777556</v>
      </c>
      <c r="K25" s="89">
        <f t="shared" si="11"/>
        <v>14.521560871882048</v>
      </c>
      <c r="L25" s="90">
        <f t="shared" si="12"/>
        <v>14.528045221450734</v>
      </c>
      <c r="M25" s="85" t="s">
        <v>131</v>
      </c>
      <c r="N25" s="74"/>
      <c r="O25" s="74"/>
      <c r="P25" s="74"/>
      <c r="Q25" s="74"/>
      <c r="R25" s="74"/>
      <c r="S25" s="74"/>
      <c r="T25" s="74"/>
      <c r="U25" s="74"/>
    </row>
    <row r="26" spans="1:21">
      <c r="A26" s="74"/>
      <c r="B26" s="81" t="s">
        <v>181</v>
      </c>
      <c r="C26" s="89">
        <v>25.132444381713867</v>
      </c>
      <c r="D26" s="89">
        <v>25.147838592529297</v>
      </c>
      <c r="E26" s="89">
        <v>25.181661605834961</v>
      </c>
      <c r="F26" s="90">
        <f t="shared" si="6"/>
        <v>25.153981526692707</v>
      </c>
      <c r="G26" s="74">
        <f t="shared" si="7"/>
        <v>75</v>
      </c>
      <c r="H26" s="91">
        <f t="shared" si="8"/>
        <v>6.2288186904958813</v>
      </c>
      <c r="I26" s="89">
        <f t="shared" si="9"/>
        <v>18.903625691217986</v>
      </c>
      <c r="J26" s="89">
        <f t="shared" si="10"/>
        <v>18.919019902033416</v>
      </c>
      <c r="K26" s="89">
        <f t="shared" si="11"/>
        <v>18.95284291533908</v>
      </c>
      <c r="L26" s="90">
        <f t="shared" si="12"/>
        <v>18.925162836196829</v>
      </c>
      <c r="M26" s="74"/>
      <c r="N26" s="74"/>
      <c r="O26" s="74"/>
      <c r="P26" s="74"/>
      <c r="Q26" s="74"/>
      <c r="R26" s="74"/>
      <c r="S26" s="74"/>
      <c r="T26" s="74"/>
      <c r="U26" s="74"/>
    </row>
    <row r="27" spans="1:21">
      <c r="A27" s="74"/>
      <c r="B27" s="81" t="s">
        <v>182</v>
      </c>
      <c r="C27" s="89">
        <v>28.415132522583008</v>
      </c>
      <c r="D27" s="89">
        <v>28.359806060791016</v>
      </c>
      <c r="E27" s="89">
        <v>28.363668441772461</v>
      </c>
      <c r="F27" s="90">
        <f t="shared" si="6"/>
        <v>28.379535675048828</v>
      </c>
      <c r="G27" s="74">
        <f t="shared" si="7"/>
        <v>75</v>
      </c>
      <c r="H27" s="91">
        <f t="shared" si="8"/>
        <v>6.2288186904958813</v>
      </c>
      <c r="I27" s="89">
        <f t="shared" si="9"/>
        <v>22.186313832087126</v>
      </c>
      <c r="J27" s="89">
        <f t="shared" si="10"/>
        <v>22.130987370295134</v>
      </c>
      <c r="K27" s="89">
        <f t="shared" si="11"/>
        <v>22.13484975127658</v>
      </c>
      <c r="L27" s="90">
        <f t="shared" si="12"/>
        <v>22.150716984552947</v>
      </c>
      <c r="M27" s="74"/>
      <c r="N27" s="74"/>
      <c r="O27" s="74"/>
      <c r="P27" s="74"/>
      <c r="Q27" s="74"/>
      <c r="R27" s="74"/>
      <c r="S27" s="74"/>
      <c r="T27" s="74"/>
      <c r="U27" s="74"/>
    </row>
    <row r="28" spans="1:21">
      <c r="A28" s="74"/>
      <c r="B28" s="81" t="s">
        <v>183</v>
      </c>
      <c r="C28" s="89">
        <v>14.936457633972168</v>
      </c>
      <c r="D28" s="89">
        <v>14.999619483947754</v>
      </c>
      <c r="E28" s="89">
        <v>15.074687957763672</v>
      </c>
      <c r="F28" s="90">
        <f t="shared" si="6"/>
        <v>15.003588358561197</v>
      </c>
      <c r="G28" s="74">
        <f>150/100*180/4*1000/500</f>
        <v>135</v>
      </c>
      <c r="H28" s="91">
        <f t="shared" si="8"/>
        <v>7.0768155970508309</v>
      </c>
      <c r="I28" s="89">
        <f t="shared" si="9"/>
        <v>7.8596420369213371</v>
      </c>
      <c r="J28" s="89">
        <f t="shared" si="10"/>
        <v>7.9228038868969231</v>
      </c>
      <c r="K28" s="89">
        <f t="shared" si="11"/>
        <v>7.997872360712841</v>
      </c>
      <c r="L28" s="90">
        <f t="shared" si="12"/>
        <v>7.9267727615103674</v>
      </c>
      <c r="M28" s="74"/>
      <c r="N28" s="74"/>
      <c r="O28" s="74"/>
      <c r="P28" s="74"/>
      <c r="Q28" s="74"/>
      <c r="R28" s="74"/>
      <c r="S28" s="74"/>
      <c r="T28" s="74"/>
      <c r="U28" s="74"/>
    </row>
    <row r="29" spans="1:21">
      <c r="A29" s="74"/>
      <c r="B29" s="81" t="s">
        <v>184</v>
      </c>
      <c r="C29" s="89">
        <v>16.18989372253418</v>
      </c>
      <c r="D29" s="89">
        <v>15.8782958984375</v>
      </c>
      <c r="E29" s="89">
        <v>15.960098266601562</v>
      </c>
      <c r="F29" s="90">
        <f t="shared" si="6"/>
        <v>16.009429295857746</v>
      </c>
      <c r="G29" s="74">
        <f t="shared" ref="G29:G37" si="13">150/100*180/4*1000/500</f>
        <v>135</v>
      </c>
      <c r="H29" s="91">
        <f t="shared" si="8"/>
        <v>7.0768155970508309</v>
      </c>
      <c r="I29" s="89">
        <f t="shared" si="9"/>
        <v>9.1130781254833479</v>
      </c>
      <c r="J29" s="89">
        <f t="shared" si="10"/>
        <v>8.8014803013866683</v>
      </c>
      <c r="K29" s="89">
        <f t="shared" si="11"/>
        <v>8.8832826695507308</v>
      </c>
      <c r="L29" s="90">
        <f t="shared" si="12"/>
        <v>8.9326136988069162</v>
      </c>
      <c r="M29" s="85" t="s">
        <v>131</v>
      </c>
      <c r="N29" s="74"/>
      <c r="O29" s="74"/>
      <c r="P29" s="74"/>
      <c r="Q29" s="74"/>
      <c r="R29" s="74"/>
      <c r="S29" s="74"/>
      <c r="T29" s="74"/>
      <c r="U29" s="74"/>
    </row>
    <row r="30" spans="1:21">
      <c r="A30" s="74"/>
      <c r="B30" s="81" t="s">
        <v>185</v>
      </c>
      <c r="C30" s="89">
        <v>16.854721069335938</v>
      </c>
      <c r="D30" s="89">
        <v>16.93126106262207</v>
      </c>
      <c r="E30" s="89">
        <v>17.05010986328125</v>
      </c>
      <c r="F30" s="90">
        <f t="shared" si="6"/>
        <v>16.945363998413086</v>
      </c>
      <c r="G30" s="74">
        <f t="shared" si="13"/>
        <v>135</v>
      </c>
      <c r="H30" s="91">
        <f t="shared" si="8"/>
        <v>7.0768155970508309</v>
      </c>
      <c r="I30" s="89">
        <f t="shared" si="9"/>
        <v>9.7779054722851058</v>
      </c>
      <c r="J30" s="89">
        <f t="shared" si="10"/>
        <v>9.8544454655712386</v>
      </c>
      <c r="K30" s="89">
        <f t="shared" si="11"/>
        <v>9.9732942662304183</v>
      </c>
      <c r="L30" s="90">
        <f t="shared" si="12"/>
        <v>9.8685484013622542</v>
      </c>
      <c r="M30" s="85" t="s">
        <v>131</v>
      </c>
      <c r="N30" s="74"/>
      <c r="O30" s="74"/>
      <c r="P30" s="74"/>
      <c r="Q30" s="74"/>
      <c r="R30" s="74"/>
      <c r="S30" s="74"/>
      <c r="T30" s="74"/>
      <c r="U30" s="74"/>
    </row>
    <row r="31" spans="1:21">
      <c r="A31" s="74"/>
      <c r="B31" s="81" t="s">
        <v>186</v>
      </c>
      <c r="C31" s="89">
        <v>18.072385787963867</v>
      </c>
      <c r="D31" s="89">
        <v>18.182058334350586</v>
      </c>
      <c r="E31" s="89">
        <v>18.225353240966797</v>
      </c>
      <c r="F31" s="90">
        <f t="shared" si="6"/>
        <v>18.159932454427082</v>
      </c>
      <c r="G31" s="74">
        <f t="shared" si="13"/>
        <v>135</v>
      </c>
      <c r="H31" s="91">
        <f t="shared" si="8"/>
        <v>7.0768155970508309</v>
      </c>
      <c r="I31" s="89">
        <f t="shared" si="9"/>
        <v>10.995570190913035</v>
      </c>
      <c r="J31" s="89">
        <f t="shared" si="10"/>
        <v>11.105242737299754</v>
      </c>
      <c r="K31" s="89">
        <f t="shared" si="11"/>
        <v>11.148537643915965</v>
      </c>
      <c r="L31" s="90">
        <f t="shared" si="12"/>
        <v>11.083116857376252</v>
      </c>
      <c r="M31" s="74"/>
      <c r="N31" s="74"/>
      <c r="O31" s="74"/>
      <c r="P31" s="74"/>
      <c r="Q31" s="74"/>
      <c r="R31" s="74"/>
      <c r="S31" s="74"/>
      <c r="T31" s="74"/>
      <c r="U31" s="74"/>
    </row>
    <row r="32" spans="1:21">
      <c r="A32" s="74"/>
      <c r="B32" s="81" t="s">
        <v>187</v>
      </c>
      <c r="C32" s="89">
        <v>20.280126571655273</v>
      </c>
      <c r="D32" s="89">
        <v>20.968669891357422</v>
      </c>
      <c r="E32" s="89">
        <v>20.306863784790039</v>
      </c>
      <c r="F32" s="90">
        <f t="shared" si="6"/>
        <v>20.518553415934246</v>
      </c>
      <c r="G32" s="74">
        <f t="shared" si="13"/>
        <v>135</v>
      </c>
      <c r="H32" s="91">
        <f t="shared" si="8"/>
        <v>7.0768155970508309</v>
      </c>
      <c r="I32" s="89">
        <f t="shared" si="9"/>
        <v>13.203310974604442</v>
      </c>
      <c r="J32" s="89">
        <f t="shared" si="10"/>
        <v>13.89185429430659</v>
      </c>
      <c r="K32" s="89">
        <f t="shared" si="11"/>
        <v>13.230048187739207</v>
      </c>
      <c r="L32" s="90">
        <f t="shared" si="12"/>
        <v>13.441737818883412</v>
      </c>
      <c r="M32" s="74"/>
      <c r="N32" s="74"/>
      <c r="O32" s="74"/>
      <c r="P32" s="74"/>
      <c r="Q32" s="74"/>
      <c r="R32" s="74"/>
      <c r="S32" s="74"/>
      <c r="T32" s="74"/>
      <c r="U32" s="74"/>
    </row>
    <row r="33" spans="1:21">
      <c r="A33" s="74"/>
      <c r="B33" s="81" t="s">
        <v>188</v>
      </c>
      <c r="C33" s="89">
        <v>21.049312591552734</v>
      </c>
      <c r="D33" s="89">
        <v>21.128349304199219</v>
      </c>
      <c r="E33" s="89">
        <v>21.15723991394043</v>
      </c>
      <c r="F33" s="90">
        <f t="shared" si="6"/>
        <v>21.111633936564129</v>
      </c>
      <c r="G33" s="74">
        <f t="shared" si="13"/>
        <v>135</v>
      </c>
      <c r="H33" s="91">
        <f t="shared" si="8"/>
        <v>7.0768155970508309</v>
      </c>
      <c r="I33" s="89">
        <f t="shared" si="9"/>
        <v>13.972496994501903</v>
      </c>
      <c r="J33" s="89">
        <f t="shared" si="10"/>
        <v>14.051533707148387</v>
      </c>
      <c r="K33" s="89">
        <f t="shared" si="11"/>
        <v>14.080424316889598</v>
      </c>
      <c r="L33" s="90">
        <f t="shared" si="12"/>
        <v>14.034818339513295</v>
      </c>
      <c r="M33" s="74"/>
      <c r="N33" s="74"/>
      <c r="O33" s="74"/>
      <c r="P33" s="74"/>
      <c r="Q33" s="74"/>
      <c r="R33" s="74"/>
      <c r="S33" s="74"/>
      <c r="T33" s="74"/>
      <c r="U33" s="74"/>
    </row>
    <row r="34" spans="1:21">
      <c r="A34" s="74"/>
      <c r="B34" s="81" t="s">
        <v>189</v>
      </c>
      <c r="C34" s="89">
        <v>21.142179489135742</v>
      </c>
      <c r="D34" s="89">
        <v>21.006193161010742</v>
      </c>
      <c r="E34" s="89">
        <v>21.079441070556641</v>
      </c>
      <c r="F34" s="90">
        <f t="shared" si="6"/>
        <v>21.075937906901043</v>
      </c>
      <c r="G34" s="74">
        <f t="shared" si="13"/>
        <v>135</v>
      </c>
      <c r="H34" s="91">
        <f t="shared" si="8"/>
        <v>7.0768155970508309</v>
      </c>
      <c r="I34" s="89">
        <f t="shared" si="9"/>
        <v>14.06536389208491</v>
      </c>
      <c r="J34" s="89">
        <f t="shared" si="10"/>
        <v>13.92937756395991</v>
      </c>
      <c r="K34" s="89">
        <f t="shared" si="11"/>
        <v>14.002625473505809</v>
      </c>
      <c r="L34" s="90">
        <f t="shared" si="12"/>
        <v>13.999122309850209</v>
      </c>
      <c r="M34" s="74"/>
      <c r="N34" s="74"/>
      <c r="O34" s="74"/>
      <c r="P34" s="74"/>
      <c r="Q34" s="74"/>
      <c r="R34" s="74"/>
      <c r="S34" s="74"/>
      <c r="T34" s="74"/>
      <c r="U34" s="74"/>
    </row>
    <row r="35" spans="1:21">
      <c r="A35" s="74"/>
      <c r="B35" s="81" t="s">
        <v>190</v>
      </c>
      <c r="C35" s="89">
        <v>22.919816970825195</v>
      </c>
      <c r="D35" s="89">
        <v>22.845848083496094</v>
      </c>
      <c r="E35" s="89">
        <v>22.840835571289062</v>
      </c>
      <c r="F35" s="90">
        <f t="shared" si="6"/>
        <v>22.868833541870117</v>
      </c>
      <c r="G35" s="74">
        <f t="shared" si="13"/>
        <v>135</v>
      </c>
      <c r="H35" s="91">
        <f t="shared" si="8"/>
        <v>7.0768155970508309</v>
      </c>
      <c r="I35" s="89">
        <f t="shared" si="9"/>
        <v>15.843001373774364</v>
      </c>
      <c r="J35" s="89">
        <f t="shared" si="10"/>
        <v>15.769032486445262</v>
      </c>
      <c r="K35" s="89">
        <f t="shared" si="11"/>
        <v>15.764019974238231</v>
      </c>
      <c r="L35" s="90">
        <f t="shared" si="12"/>
        <v>15.792017944819285</v>
      </c>
      <c r="M35" s="74"/>
      <c r="N35" s="74"/>
      <c r="O35" s="74"/>
      <c r="P35" s="74"/>
      <c r="Q35" s="74"/>
      <c r="R35" s="74"/>
      <c r="S35" s="74"/>
      <c r="T35" s="74"/>
      <c r="U35" s="74"/>
    </row>
    <row r="36" spans="1:21">
      <c r="A36" s="74"/>
      <c r="B36" s="81" t="s">
        <v>191</v>
      </c>
      <c r="C36" s="89">
        <v>23.948450088500977</v>
      </c>
      <c r="D36" s="89">
        <v>24.184415817260742</v>
      </c>
      <c r="E36" s="89">
        <v>24.005857467651367</v>
      </c>
      <c r="F36" s="90">
        <f t="shared" si="6"/>
        <v>24.046241124471027</v>
      </c>
      <c r="G36" s="74">
        <f t="shared" si="13"/>
        <v>135</v>
      </c>
      <c r="H36" s="91">
        <f t="shared" si="8"/>
        <v>7.0768155970508309</v>
      </c>
      <c r="I36" s="89">
        <f t="shared" si="9"/>
        <v>16.871634491450145</v>
      </c>
      <c r="J36" s="89">
        <f t="shared" si="10"/>
        <v>17.10760022020991</v>
      </c>
      <c r="K36" s="89">
        <f t="shared" si="11"/>
        <v>16.929041870600535</v>
      </c>
      <c r="L36" s="90">
        <f t="shared" si="12"/>
        <v>16.969425527420196</v>
      </c>
      <c r="M36" s="74"/>
      <c r="N36" s="74"/>
      <c r="O36" s="74"/>
      <c r="P36" s="74"/>
      <c r="Q36" s="74"/>
      <c r="R36" s="74"/>
      <c r="S36" s="74"/>
      <c r="T36" s="74"/>
      <c r="U36" s="74"/>
    </row>
    <row r="37" spans="1:21">
      <c r="A37" s="74"/>
      <c r="B37" s="81" t="s">
        <v>192</v>
      </c>
      <c r="C37" s="89">
        <v>24.632528305053711</v>
      </c>
      <c r="D37" s="89">
        <v>24.451812744140625</v>
      </c>
      <c r="E37" s="89">
        <v>24.549453735351562</v>
      </c>
      <c r="F37" s="90">
        <f t="shared" si="6"/>
        <v>24.544598261515301</v>
      </c>
      <c r="G37" s="74">
        <f t="shared" si="13"/>
        <v>135</v>
      </c>
      <c r="H37" s="91">
        <f t="shared" si="8"/>
        <v>7.0768155970508309</v>
      </c>
      <c r="I37" s="89">
        <f t="shared" si="9"/>
        <v>17.555712708002879</v>
      </c>
      <c r="J37" s="89">
        <f t="shared" si="10"/>
        <v>17.374997147089793</v>
      </c>
      <c r="K37" s="89">
        <f t="shared" si="11"/>
        <v>17.472638138300731</v>
      </c>
      <c r="L37" s="90">
        <f t="shared" si="12"/>
        <v>17.467782664464469</v>
      </c>
      <c r="M37" s="74"/>
      <c r="N37" s="74"/>
      <c r="O37" s="74"/>
      <c r="P37" s="74"/>
      <c r="Q37" s="74"/>
      <c r="R37" s="74"/>
      <c r="S37" s="74"/>
      <c r="T37" s="74"/>
      <c r="U37" s="74"/>
    </row>
    <row r="38" spans="1:21">
      <c r="A38" s="74"/>
      <c r="B38" s="81" t="s">
        <v>193</v>
      </c>
      <c r="C38" s="82"/>
      <c r="D38" s="82"/>
      <c r="E38" s="82"/>
      <c r="F38" s="90" t="e">
        <f t="shared" si="6"/>
        <v>#DIV/0!</v>
      </c>
      <c r="G38" s="74">
        <v>0</v>
      </c>
      <c r="H38" s="91">
        <v>0</v>
      </c>
      <c r="I38" s="89">
        <f t="shared" si="9"/>
        <v>0</v>
      </c>
      <c r="J38" s="89">
        <f t="shared" si="10"/>
        <v>0</v>
      </c>
      <c r="K38" s="89">
        <f t="shared" si="11"/>
        <v>0</v>
      </c>
      <c r="L38" s="90">
        <f t="shared" si="12"/>
        <v>0</v>
      </c>
      <c r="M38" s="74"/>
      <c r="N38" s="74"/>
      <c r="O38" s="74"/>
      <c r="P38" s="74"/>
      <c r="Q38" s="74"/>
      <c r="R38" s="74"/>
      <c r="S38" s="74"/>
      <c r="T38" s="74"/>
      <c r="U38" s="74"/>
    </row>
    <row r="39" spans="1:21">
      <c r="A39" s="74"/>
      <c r="B39" s="74"/>
      <c r="C39" s="74"/>
      <c r="D39" s="74"/>
      <c r="E39" s="74"/>
      <c r="F39" s="91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</row>
    <row r="40" spans="1:21">
      <c r="A40" s="74"/>
      <c r="B40" s="81" t="s">
        <v>205</v>
      </c>
      <c r="C40" s="89">
        <v>14.390941619873047</v>
      </c>
      <c r="D40" s="89">
        <v>14.411395072937012</v>
      </c>
      <c r="E40" s="89">
        <v>14.301624298095703</v>
      </c>
      <c r="F40" s="90">
        <f>AVERAGE(C40:E40)</f>
        <v>14.367986996968588</v>
      </c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</row>
    <row r="41" spans="1:2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</row>
    <row r="42" spans="1:21">
      <c r="A42" s="74"/>
      <c r="B42" s="85" t="s">
        <v>206</v>
      </c>
      <c r="C42" s="74" t="s">
        <v>207</v>
      </c>
      <c r="D42" s="74"/>
      <c r="E42" s="74"/>
      <c r="F42" t="s">
        <v>208</v>
      </c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</row>
    <row r="43" spans="1:21">
      <c r="A43" s="74"/>
      <c r="B43" s="74" t="s">
        <v>209</v>
      </c>
      <c r="C43" s="74" t="s">
        <v>207</v>
      </c>
      <c r="D43" s="74"/>
      <c r="E43" s="74"/>
      <c r="F43">
        <v>0.35990572856564834</v>
      </c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</row>
    <row r="44" spans="1:21">
      <c r="A44" s="74"/>
      <c r="B44" s="74"/>
      <c r="C44" s="92" t="s">
        <v>210</v>
      </c>
      <c r="D44" s="93">
        <v>-3.2483</v>
      </c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</row>
    <row r="45" spans="1:21">
      <c r="A45" s="74"/>
      <c r="B45" s="74"/>
      <c r="C45" s="92" t="s">
        <v>211</v>
      </c>
      <c r="D45" s="94">
        <v>36.023000000000003</v>
      </c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</row>
    <row r="46" spans="1:2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</row>
    <row r="47" spans="1:2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</row>
    <row r="48" spans="1:21">
      <c r="A48" s="74"/>
      <c r="B48" s="85" t="s">
        <v>212</v>
      </c>
      <c r="C48" s="74"/>
      <c r="D48" s="74">
        <f>-1+ POWER(10,-(1/D44))</f>
        <v>1.0316707994539165</v>
      </c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</row>
    <row r="49" spans="1:2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</row>
    <row r="50" spans="1:2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</row>
    <row r="51" spans="1:2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</row>
    <row r="52" spans="1:2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</row>
    <row r="53" spans="1:2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</row>
    <row r="54" spans="1:2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</row>
    <row r="55" spans="1:2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opLeftCell="H1" workbookViewId="0">
      <selection activeCell="I48" sqref="I48"/>
    </sheetView>
  </sheetViews>
  <sheetFormatPr baseColWidth="10" defaultRowHeight="14" x14ac:dyDescent="0"/>
  <cols>
    <col min="16" max="16" width="15.1640625" customWidth="1"/>
  </cols>
  <sheetData>
    <row r="1" spans="1:32">
      <c r="A1" s="95" t="s">
        <v>213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32">
      <c r="A2" s="114" t="s">
        <v>4</v>
      </c>
      <c r="B2" s="114" t="s">
        <v>116</v>
      </c>
      <c r="C2" s="114" t="s">
        <v>116</v>
      </c>
      <c r="D2" s="114" t="s">
        <v>5</v>
      </c>
      <c r="E2" s="128" t="s">
        <v>214</v>
      </c>
      <c r="F2" s="128" t="s">
        <v>215</v>
      </c>
      <c r="G2" s="128" t="s">
        <v>216</v>
      </c>
      <c r="H2" s="130" t="s">
        <v>217</v>
      </c>
      <c r="I2" s="130" t="s">
        <v>218</v>
      </c>
      <c r="J2" s="130" t="s">
        <v>219</v>
      </c>
      <c r="K2" s="128" t="s">
        <v>220</v>
      </c>
      <c r="L2" s="128" t="s">
        <v>221</v>
      </c>
      <c r="M2" s="128" t="s">
        <v>222</v>
      </c>
      <c r="N2" s="128" t="s">
        <v>223</v>
      </c>
      <c r="O2" s="128" t="s">
        <v>224</v>
      </c>
      <c r="P2" s="130" t="s">
        <v>225</v>
      </c>
      <c r="Q2" s="130" t="s">
        <v>226</v>
      </c>
      <c r="R2" s="130" t="s">
        <v>227</v>
      </c>
      <c r="S2" s="130" t="s">
        <v>228</v>
      </c>
      <c r="V2" s="132" t="s">
        <v>227</v>
      </c>
      <c r="W2" s="133"/>
      <c r="X2" s="133"/>
      <c r="Y2" s="133"/>
      <c r="AA2" s="132" t="s">
        <v>228</v>
      </c>
      <c r="AB2" s="133"/>
      <c r="AC2" s="133"/>
      <c r="AD2" s="133"/>
      <c r="AE2" s="133"/>
      <c r="AF2" s="133"/>
    </row>
    <row r="3" spans="1:32">
      <c r="A3" s="115"/>
      <c r="B3" s="115"/>
      <c r="C3" s="115"/>
      <c r="D3" s="115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V3" s="134"/>
      <c r="W3" s="135"/>
      <c r="X3" s="135"/>
      <c r="Y3" s="135"/>
      <c r="AA3" s="132"/>
      <c r="AB3" s="133"/>
      <c r="AC3" s="133"/>
      <c r="AD3" s="133"/>
      <c r="AE3" s="133"/>
      <c r="AF3" s="133"/>
    </row>
    <row r="4" spans="1:32">
      <c r="A4" s="39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89"/>
      <c r="F4" s="89"/>
      <c r="G4" s="90"/>
      <c r="H4" s="96">
        <f t="shared" ref="H4:H20" si="1">E4-$H$72+$H$81</f>
        <v>2.449697462717694</v>
      </c>
      <c r="I4" s="96">
        <f t="shared" ref="I4:I20" si="2">F4-$H$72+$H$81</f>
        <v>2.449697462717694</v>
      </c>
      <c r="J4" s="96">
        <f t="shared" ref="J4:J20" si="3">G4-$H$72+$H$81</f>
        <v>2.449697462717694</v>
      </c>
      <c r="K4" s="90">
        <f>((H4-'Calibration F. prausnitzii'!$D$45)/'Calibration F. prausnitzii'!$D$44)+$B$65</f>
        <v>13.988865790037485</v>
      </c>
      <c r="L4" s="90">
        <f>((I4-'Calibration F. prausnitzii'!$D$45)/'Calibration F. prausnitzii'!$D$44)+$B$65</f>
        <v>13.988865790037485</v>
      </c>
      <c r="M4" s="90">
        <f>((J4-'Calibration F. prausnitzii'!$D$45)/'Calibration F. prausnitzii'!$D$44)+$B$65</f>
        <v>13.988865790037485</v>
      </c>
      <c r="N4" s="97">
        <f>AVERAGE(K4:M4)</f>
        <v>13.988865790037485</v>
      </c>
      <c r="O4" s="97">
        <f>STDEV(K4:M4)</f>
        <v>0</v>
      </c>
      <c r="P4" s="98">
        <f>(AVERAGE(POWER(10,K4),POWER(10,L4),POWER(10,M4)))*(Calculation!$I4/Calculation!$K3)</f>
        <v>97468838335779.688</v>
      </c>
      <c r="Q4" s="98">
        <f>(STDEV(POWER(10,K4),POWER(10,L4),POWER(10,M4))*(Calculation!$I4/Calculation!$K3))</f>
        <v>0</v>
      </c>
      <c r="R4" s="97">
        <f>LOG(P4)</f>
        <v>13.988865790037487</v>
      </c>
      <c r="S4" s="97">
        <f>O4*(Calculation!$I4/Calculation!$K3)</f>
        <v>0</v>
      </c>
      <c r="V4" s="97">
        <v>6.8896167194080924</v>
      </c>
      <c r="W4" s="97">
        <v>6.8671897564312916</v>
      </c>
      <c r="X4" s="97">
        <v>7.0909555030136815</v>
      </c>
      <c r="Y4" s="97">
        <f>AVERAGE(V4:X4)</f>
        <v>6.9492539929510215</v>
      </c>
      <c r="AA4">
        <v>0.21982970287067283</v>
      </c>
      <c r="AB4">
        <v>2.6113334900370089E-2</v>
      </c>
      <c r="AC4">
        <v>1.1115929059081816E-2</v>
      </c>
      <c r="AD4">
        <f>SUM(AA4:AC4)</f>
        <v>0.25705896683012475</v>
      </c>
      <c r="AE4">
        <f>STDEV(V4:X4)</f>
        <v>0.12322836780798173</v>
      </c>
      <c r="AF4">
        <f>AD4+AE4</f>
        <v>0.38028733463810649</v>
      </c>
    </row>
    <row r="5" spans="1:32">
      <c r="A5" s="39">
        <v>1</v>
      </c>
      <c r="B5" s="31">
        <v>110</v>
      </c>
      <c r="C5" s="31">
        <f>C4+B5</f>
        <v>120</v>
      </c>
      <c r="D5" s="13">
        <f t="shared" si="0"/>
        <v>2</v>
      </c>
      <c r="E5" s="89"/>
      <c r="F5" s="89"/>
      <c r="G5" s="90"/>
      <c r="H5" s="96">
        <f t="shared" si="1"/>
        <v>2.449697462717694</v>
      </c>
      <c r="I5" s="96">
        <f t="shared" si="2"/>
        <v>2.449697462717694</v>
      </c>
      <c r="J5" s="96">
        <f t="shared" si="3"/>
        <v>2.449697462717694</v>
      </c>
      <c r="K5" s="90">
        <f>((H5-'Calibration F. prausnitzii'!$D$45)/'Calibration F. prausnitzii'!$D$44)+$B$65</f>
        <v>13.988865790037485</v>
      </c>
      <c r="L5" s="90">
        <f>((I5-'Calibration F. prausnitzii'!$D$45)/'Calibration F. prausnitzii'!$D$44)+$B$65</f>
        <v>13.988865790037485</v>
      </c>
      <c r="M5" s="90">
        <f>((J5-'Calibration F. prausnitzii'!$D$45)/'Calibration F. prausnitzii'!$D$44)+$B$65</f>
        <v>13.988865790037485</v>
      </c>
      <c r="N5" s="97">
        <f t="shared" ref="N5:N20" si="4">AVERAGE(K5:M5)</f>
        <v>13.988865790037485</v>
      </c>
      <c r="O5" s="97">
        <f t="shared" ref="O5:O20" si="5">STDEV(K5:M5)</f>
        <v>0</v>
      </c>
      <c r="P5" s="98">
        <f>(AVERAGE(POWER(10,K5),POWER(10,L5),POWER(10,M5)))*(Calculation!$I5/Calculation!$K4)</f>
        <v>97468838335779.688</v>
      </c>
      <c r="Q5" s="98">
        <f>(STDEV(POWER(10,K5),POWER(10,L5),POWER(10,M5))*(Calculation!$I5/Calculation!$K4))</f>
        <v>0</v>
      </c>
      <c r="R5" s="97">
        <f t="shared" ref="R5:R20" si="6">LOG(P5)</f>
        <v>13.988865790037487</v>
      </c>
      <c r="S5" s="97">
        <f>O5*(Calculation!$I5/Calculation!$K4)</f>
        <v>0</v>
      </c>
      <c r="V5" s="97">
        <v>6.7600642320249706</v>
      </c>
      <c r="W5" s="97">
        <v>6.8330114340988342</v>
      </c>
      <c r="X5" s="97">
        <v>7.0738777449351842</v>
      </c>
      <c r="Y5" s="97">
        <f t="shared" ref="Y5:Y20" si="7">AVERAGE(V5:X5)</f>
        <v>6.8889844703529972</v>
      </c>
      <c r="AA5">
        <v>2.6230212697129995E-2</v>
      </c>
      <c r="AB5">
        <v>7.4945450835059409E-3</v>
      </c>
      <c r="AC5">
        <v>3.9359559341868515E-2</v>
      </c>
      <c r="AD5">
        <f t="shared" ref="AD5:AD20" si="8">SUM(AA5:AC5)</f>
        <v>7.3084317122504461E-2</v>
      </c>
      <c r="AE5">
        <f t="shared" ref="AE5:AE20" si="9">STDEV(V5:X5)</f>
        <v>0.16422382839251587</v>
      </c>
      <c r="AF5">
        <f t="shared" ref="AF5:AF20" si="10">AD5+AE5</f>
        <v>0.23730814551502033</v>
      </c>
    </row>
    <row r="6" spans="1:32">
      <c r="A6" s="39">
        <v>2</v>
      </c>
      <c r="B6" s="31">
        <v>80</v>
      </c>
      <c r="C6" s="31">
        <f>C5+B6</f>
        <v>200</v>
      </c>
      <c r="D6" s="13">
        <f t="shared" si="0"/>
        <v>3.3333333333333335</v>
      </c>
      <c r="E6" s="89"/>
      <c r="F6" s="89"/>
      <c r="G6" s="90"/>
      <c r="H6" s="96">
        <f t="shared" si="1"/>
        <v>2.449697462717694</v>
      </c>
      <c r="I6" s="96">
        <f t="shared" si="2"/>
        <v>2.449697462717694</v>
      </c>
      <c r="J6" s="96">
        <f t="shared" si="3"/>
        <v>2.449697462717694</v>
      </c>
      <c r="K6" s="90">
        <f>((H6-'Calibration F. prausnitzii'!$D$45)/'Calibration F. prausnitzii'!$D$44)+$B$65</f>
        <v>13.988865790037485</v>
      </c>
      <c r="L6" s="90">
        <f>((I6-'Calibration F. prausnitzii'!$D$45)/'Calibration F. prausnitzii'!$D$44)+$B$65</f>
        <v>13.988865790037485</v>
      </c>
      <c r="M6" s="90">
        <f>((J6-'Calibration F. prausnitzii'!$D$45)/'Calibration F. prausnitzii'!$D$44)+$B$65</f>
        <v>13.988865790037485</v>
      </c>
      <c r="N6" s="97">
        <f t="shared" si="4"/>
        <v>13.988865790037485</v>
      </c>
      <c r="O6" s="97">
        <f t="shared" si="5"/>
        <v>0</v>
      </c>
      <c r="P6" s="98">
        <f>(AVERAGE(POWER(10,K6),POWER(10,L6),POWER(10,M6)))*(Calculation!$I6/Calculation!$K5)</f>
        <v>97468838335779.688</v>
      </c>
      <c r="Q6" s="98">
        <f>(STDEV(POWER(10,K6),POWER(10,L6),POWER(10,M6))*(Calculation!$I6/Calculation!$K5))</f>
        <v>0</v>
      </c>
      <c r="R6" s="97">
        <f t="shared" si="6"/>
        <v>13.988865790037487</v>
      </c>
      <c r="S6" s="97">
        <f>O6*(Calculation!$I6/Calculation!$K5)</f>
        <v>0</v>
      </c>
      <c r="V6" s="97">
        <v>7.0700229098761671</v>
      </c>
      <c r="W6" s="97">
        <v>7.0576146132353106</v>
      </c>
      <c r="X6" s="97">
        <v>7.021557068260714</v>
      </c>
      <c r="Y6" s="97">
        <f t="shared" si="7"/>
        <v>7.0497315304573975</v>
      </c>
      <c r="AA6">
        <v>2.0551126172535877E-2</v>
      </c>
      <c r="AB6">
        <v>4.5955610363459291E-2</v>
      </c>
      <c r="AC6">
        <v>2.0775425403114722E-2</v>
      </c>
      <c r="AD6">
        <f t="shared" si="8"/>
        <v>8.7282161939109898E-2</v>
      </c>
      <c r="AE6">
        <f t="shared" si="9"/>
        <v>2.5176212908936912E-2</v>
      </c>
      <c r="AF6">
        <f t="shared" si="10"/>
        <v>0.11245837484804681</v>
      </c>
    </row>
    <row r="7" spans="1:32">
      <c r="A7" s="39">
        <v>3</v>
      </c>
      <c r="B7" s="31">
        <v>80</v>
      </c>
      <c r="C7" s="31">
        <f>C6+B7</f>
        <v>280</v>
      </c>
      <c r="D7" s="13">
        <f t="shared" si="0"/>
        <v>4.666666666666667</v>
      </c>
      <c r="E7" s="89"/>
      <c r="F7" s="89"/>
      <c r="G7" s="90"/>
      <c r="H7" s="96">
        <f t="shared" si="1"/>
        <v>2.449697462717694</v>
      </c>
      <c r="I7" s="96">
        <f t="shared" si="2"/>
        <v>2.449697462717694</v>
      </c>
      <c r="J7" s="96">
        <f t="shared" si="3"/>
        <v>2.449697462717694</v>
      </c>
      <c r="K7" s="90">
        <f>((H7-'Calibration F. prausnitzii'!$D$45)/'Calibration F. prausnitzii'!$D$44)+$B$65</f>
        <v>13.988865790037485</v>
      </c>
      <c r="L7" s="90">
        <f>((I7-'Calibration F. prausnitzii'!$D$45)/'Calibration F. prausnitzii'!$D$44)+$B$65</f>
        <v>13.988865790037485</v>
      </c>
      <c r="M7" s="90">
        <f>((J7-'Calibration F. prausnitzii'!$D$45)/'Calibration F. prausnitzii'!$D$44)+$B$65</f>
        <v>13.988865790037485</v>
      </c>
      <c r="N7" s="97">
        <f t="shared" si="4"/>
        <v>13.988865790037485</v>
      </c>
      <c r="O7" s="97">
        <f t="shared" si="5"/>
        <v>0</v>
      </c>
      <c r="P7" s="98">
        <f>(AVERAGE(POWER(10,K7),POWER(10,L7),POWER(10,M7)))*(Calculation!$I7/Calculation!$K6)</f>
        <v>97538859052974.938</v>
      </c>
      <c r="Q7" s="98">
        <f>(STDEV(POWER(10,K7),POWER(10,L7),POWER(10,M7))*(Calculation!$I7/Calculation!$K6))</f>
        <v>0</v>
      </c>
      <c r="R7" s="97">
        <f t="shared" si="6"/>
        <v>13.989177671186907</v>
      </c>
      <c r="S7" s="97">
        <f>O7*(Calculation!$I7/Calculation!$K6)</f>
        <v>0</v>
      </c>
      <c r="V7" s="97">
        <v>7.4193013528088931</v>
      </c>
      <c r="W7" s="97">
        <v>6.7895400097075749</v>
      </c>
      <c r="X7" s="97">
        <v>7.1019332180171721</v>
      </c>
      <c r="Y7" s="97">
        <f t="shared" si="7"/>
        <v>7.1035915268445464</v>
      </c>
      <c r="AA7">
        <v>2.4785498375825846E-2</v>
      </c>
      <c r="AB7">
        <v>1.6442599002746455E-2</v>
      </c>
      <c r="AC7">
        <v>1.6211977023362533E-2</v>
      </c>
      <c r="AD7">
        <f t="shared" si="8"/>
        <v>5.744007440193484E-2</v>
      </c>
      <c r="AE7">
        <f t="shared" si="9"/>
        <v>0.31488394656971525</v>
      </c>
      <c r="AF7">
        <f t="shared" si="10"/>
        <v>0.37232402097165007</v>
      </c>
    </row>
    <row r="8" spans="1:32">
      <c r="A8" s="39">
        <v>4</v>
      </c>
      <c r="B8" s="31">
        <v>80</v>
      </c>
      <c r="C8" s="31">
        <f t="shared" ref="C8:C18" si="11">C7+B8</f>
        <v>360</v>
      </c>
      <c r="D8" s="13">
        <f t="shared" si="0"/>
        <v>6</v>
      </c>
      <c r="E8" s="89"/>
      <c r="F8" s="89"/>
      <c r="G8" s="90"/>
      <c r="H8" s="96">
        <f t="shared" si="1"/>
        <v>2.449697462717694</v>
      </c>
      <c r="I8" s="96">
        <f t="shared" si="2"/>
        <v>2.449697462717694</v>
      </c>
      <c r="J8" s="96">
        <f t="shared" si="3"/>
        <v>2.449697462717694</v>
      </c>
      <c r="K8" s="90">
        <f>((H8-'Calibration F. prausnitzii'!$D$45)/'Calibration F. prausnitzii'!$D$44)+$B$65</f>
        <v>13.988865790037485</v>
      </c>
      <c r="L8" s="90">
        <f>((I8-'Calibration F. prausnitzii'!$D$45)/'Calibration F. prausnitzii'!$D$44)+$B$65</f>
        <v>13.988865790037485</v>
      </c>
      <c r="M8" s="90">
        <f>((J8-'Calibration F. prausnitzii'!$D$45)/'Calibration F. prausnitzii'!$D$44)+$B$65</f>
        <v>13.988865790037485</v>
      </c>
      <c r="N8" s="97">
        <f t="shared" si="4"/>
        <v>13.988865790037485</v>
      </c>
      <c r="O8" s="97">
        <f t="shared" si="5"/>
        <v>0</v>
      </c>
      <c r="P8" s="98">
        <f>(AVERAGE(POWER(10,K8),POWER(10,L8),POWER(10,M8)))*(Calculation!$I8/Calculation!$K7)</f>
        <v>97611003179493.406</v>
      </c>
      <c r="Q8" s="98">
        <f>(STDEV(POWER(10,K8),POWER(10,L8),POWER(10,M8))*(Calculation!$I8/Calculation!$K7))</f>
        <v>0</v>
      </c>
      <c r="R8" s="97">
        <f t="shared" si="6"/>
        <v>13.989498776178912</v>
      </c>
      <c r="S8" s="97">
        <f>O8*(Calculation!$I8/Calculation!$K7)</f>
        <v>0</v>
      </c>
      <c r="V8" s="97">
        <v>7.5654464465019764</v>
      </c>
      <c r="W8" s="97">
        <v>7.4700414887511792</v>
      </c>
      <c r="X8" s="97">
        <v>7.1858421128397625</v>
      </c>
      <c r="Y8" s="97">
        <f t="shared" si="7"/>
        <v>7.4071100160309724</v>
      </c>
      <c r="AA8">
        <v>3.467791230760138E-2</v>
      </c>
      <c r="AB8">
        <v>2.8745626279191007E-2</v>
      </c>
      <c r="AC8">
        <v>0.11702609455689768</v>
      </c>
      <c r="AD8">
        <f t="shared" si="8"/>
        <v>0.18044963314369006</v>
      </c>
      <c r="AE8">
        <f t="shared" si="9"/>
        <v>0.19747187199151664</v>
      </c>
      <c r="AF8">
        <f t="shared" si="10"/>
        <v>0.37792150513520673</v>
      </c>
    </row>
    <row r="9" spans="1:32">
      <c r="A9" s="39">
        <v>5</v>
      </c>
      <c r="B9" s="31">
        <v>80</v>
      </c>
      <c r="C9" s="31">
        <f t="shared" si="11"/>
        <v>440</v>
      </c>
      <c r="D9" s="13">
        <f t="shared" si="0"/>
        <v>7.333333333333333</v>
      </c>
      <c r="E9" s="89"/>
      <c r="F9" s="89"/>
      <c r="G9" s="90"/>
      <c r="H9" s="96">
        <f t="shared" si="1"/>
        <v>2.449697462717694</v>
      </c>
      <c r="I9" s="96">
        <f t="shared" si="2"/>
        <v>2.449697462717694</v>
      </c>
      <c r="J9" s="96">
        <f t="shared" si="3"/>
        <v>2.449697462717694</v>
      </c>
      <c r="K9" s="90">
        <f>((H9-'Calibration F. prausnitzii'!$D$45)/'Calibration F. prausnitzii'!$D$44)+$B$65</f>
        <v>13.988865790037485</v>
      </c>
      <c r="L9" s="90">
        <f>((I9-'Calibration F. prausnitzii'!$D$45)/'Calibration F. prausnitzii'!$D$44)+$B$65</f>
        <v>13.988865790037485</v>
      </c>
      <c r="M9" s="90">
        <f>((J9-'Calibration F. prausnitzii'!$D$45)/'Calibration F. prausnitzii'!$D$44)+$B$65</f>
        <v>13.988865790037485</v>
      </c>
      <c r="N9" s="97">
        <f t="shared" si="4"/>
        <v>13.988865790037485</v>
      </c>
      <c r="O9" s="97">
        <f t="shared" si="5"/>
        <v>0</v>
      </c>
      <c r="P9" s="98">
        <f>(AVERAGE(POWER(10,K9),POWER(10,L9),POWER(10,M9)))*(Calculation!$I9/Calculation!$K8)</f>
        <v>97909736165505.625</v>
      </c>
      <c r="Q9" s="98">
        <f>(STDEV(POWER(10,K9),POWER(10,L9),POWER(10,M9))*(Calculation!$I9/Calculation!$K8))</f>
        <v>0</v>
      </c>
      <c r="R9" s="97">
        <f t="shared" si="6"/>
        <v>13.990825880288453</v>
      </c>
      <c r="S9" s="97">
        <f>O9*(Calculation!$I9/Calculation!$K8)</f>
        <v>0</v>
      </c>
      <c r="V9" s="97">
        <v>7.544515597197992</v>
      </c>
      <c r="W9" s="97">
        <v>7.7424452484901529</v>
      </c>
      <c r="X9" s="97">
        <v>7.8763749670567673</v>
      </c>
      <c r="Y9" s="97">
        <f t="shared" si="7"/>
        <v>7.7211119375816368</v>
      </c>
      <c r="AA9">
        <v>1.4557815212442426E-2</v>
      </c>
      <c r="AB9">
        <v>4.5549334671289576E-2</v>
      </c>
      <c r="AC9">
        <v>1.2237280746544607E-2</v>
      </c>
      <c r="AD9">
        <f t="shared" si="8"/>
        <v>7.234443063027661E-2</v>
      </c>
      <c r="AE9">
        <f t="shared" si="9"/>
        <v>0.1669550626860575</v>
      </c>
      <c r="AF9">
        <f t="shared" si="10"/>
        <v>0.2392994933163341</v>
      </c>
    </row>
    <row r="10" spans="1:32">
      <c r="A10" s="39">
        <v>6</v>
      </c>
      <c r="B10" s="31">
        <v>80</v>
      </c>
      <c r="C10" s="31">
        <f t="shared" si="11"/>
        <v>520</v>
      </c>
      <c r="D10" s="13">
        <f t="shared" si="0"/>
        <v>8.6666666666666661</v>
      </c>
      <c r="E10" s="89"/>
      <c r="F10" s="89"/>
      <c r="G10" s="90"/>
      <c r="H10" s="96">
        <f t="shared" si="1"/>
        <v>2.449697462717694</v>
      </c>
      <c r="I10" s="96">
        <f t="shared" si="2"/>
        <v>2.449697462717694</v>
      </c>
      <c r="J10" s="96">
        <f t="shared" si="3"/>
        <v>2.449697462717694</v>
      </c>
      <c r="K10" s="90">
        <f>((H10-'Calibration F. prausnitzii'!$D$45)/'Calibration F. prausnitzii'!$D$44)+$B$65</f>
        <v>13.988865790037485</v>
      </c>
      <c r="L10" s="90">
        <f>((I10-'Calibration F. prausnitzii'!$D$45)/'Calibration F. prausnitzii'!$D$44)+$B$65</f>
        <v>13.988865790037485</v>
      </c>
      <c r="M10" s="90">
        <f>((J10-'Calibration F. prausnitzii'!$D$45)/'Calibration F. prausnitzii'!$D$44)+$B$65</f>
        <v>13.988865790037485</v>
      </c>
      <c r="N10" s="97">
        <f t="shared" si="4"/>
        <v>13.988865790037485</v>
      </c>
      <c r="O10" s="97">
        <f t="shared" si="5"/>
        <v>0</v>
      </c>
      <c r="P10" s="98">
        <f>(AVERAGE(POWER(10,K10),POWER(10,L10),POWER(10,M10)))*(Calculation!$I10/Calculation!$K9)</f>
        <v>98528439079663.641</v>
      </c>
      <c r="Q10" s="98">
        <f>(STDEV(POWER(10,K10),POWER(10,L10),POWER(10,M10))*(Calculation!$I10/Calculation!$K9))</f>
        <v>0</v>
      </c>
      <c r="R10" s="97">
        <f t="shared" si="6"/>
        <v>13.993561602606448</v>
      </c>
      <c r="S10" s="97">
        <f>O10*(Calculation!$I10/Calculation!$K9)</f>
        <v>0</v>
      </c>
      <c r="V10" s="97">
        <v>8.3155175536023105</v>
      </c>
      <c r="W10" s="97">
        <v>8.0933099478009893</v>
      </c>
      <c r="X10" s="97">
        <v>7.3651405900424072</v>
      </c>
      <c r="Y10" s="97">
        <f t="shared" si="7"/>
        <v>7.9246560304819029</v>
      </c>
      <c r="AA10">
        <v>1.5608866616788697E-2</v>
      </c>
      <c r="AB10">
        <v>1.9189017719903372E-2</v>
      </c>
      <c r="AC10">
        <v>1.3414011955420678E-2</v>
      </c>
      <c r="AD10">
        <f t="shared" si="8"/>
        <v>4.8211896292112748E-2</v>
      </c>
      <c r="AE10">
        <f t="shared" si="9"/>
        <v>0.49712895820565567</v>
      </c>
      <c r="AF10">
        <f t="shared" si="10"/>
        <v>0.54534085449776837</v>
      </c>
    </row>
    <row r="11" spans="1:32">
      <c r="A11" s="39">
        <v>7</v>
      </c>
      <c r="B11" s="31">
        <v>80</v>
      </c>
      <c r="C11" s="31">
        <f t="shared" si="11"/>
        <v>600</v>
      </c>
      <c r="D11" s="13">
        <f t="shared" si="0"/>
        <v>10</v>
      </c>
      <c r="E11" s="89"/>
      <c r="F11" s="89"/>
      <c r="G11" s="90"/>
      <c r="H11" s="96">
        <f t="shared" si="1"/>
        <v>2.449697462717694</v>
      </c>
      <c r="I11" s="96">
        <f t="shared" si="2"/>
        <v>2.449697462717694</v>
      </c>
      <c r="J11" s="96">
        <f t="shared" si="3"/>
        <v>2.449697462717694</v>
      </c>
      <c r="K11" s="90">
        <f>((H11-'Calibration F. prausnitzii'!$D$45)/'Calibration F. prausnitzii'!$D$44)+$B$65</f>
        <v>13.988865790037485</v>
      </c>
      <c r="L11" s="90">
        <f>((I11-'Calibration F. prausnitzii'!$D$45)/'Calibration F. prausnitzii'!$D$44)+$B$65</f>
        <v>13.988865790037485</v>
      </c>
      <c r="M11" s="90">
        <f>((J11-'Calibration F. prausnitzii'!$D$45)/'Calibration F. prausnitzii'!$D$44)+$B$65</f>
        <v>13.988865790037485</v>
      </c>
      <c r="N11" s="97">
        <f t="shared" si="4"/>
        <v>13.988865790037485</v>
      </c>
      <c r="O11" s="97">
        <f t="shared" si="5"/>
        <v>0</v>
      </c>
      <c r="P11" s="98">
        <f>(AVERAGE(POWER(10,K11),POWER(10,L11),POWER(10,M11)))*(Calculation!$I11/Calculation!$K10)</f>
        <v>99165648063202.297</v>
      </c>
      <c r="Q11" s="98">
        <f>(STDEV(POWER(10,K11),POWER(10,L11),POWER(10,M11))*(Calculation!$I11/Calculation!$K10))</f>
        <v>0</v>
      </c>
      <c r="R11" s="97">
        <f t="shared" si="6"/>
        <v>13.996361254409083</v>
      </c>
      <c r="S11" s="97">
        <f>O11*(Calculation!$I11/Calculation!$K10)</f>
        <v>0</v>
      </c>
      <c r="V11" s="97">
        <v>8.3102259389150532</v>
      </c>
      <c r="W11" s="97">
        <v>7.7944081551738691</v>
      </c>
      <c r="X11" s="97">
        <v>8.3774958217616469</v>
      </c>
      <c r="Y11" s="97">
        <f t="shared" si="7"/>
        <v>8.1607099719501903</v>
      </c>
      <c r="AA11">
        <v>2.7451858739125354E-2</v>
      </c>
      <c r="AB11">
        <v>1.6505442239665778E-3</v>
      </c>
      <c r="AC11">
        <v>2.9979064147050621E-2</v>
      </c>
      <c r="AD11">
        <f t="shared" si="8"/>
        <v>5.9081467110142553E-2</v>
      </c>
      <c r="AE11">
        <f t="shared" si="9"/>
        <v>0.31900481973596179</v>
      </c>
      <c r="AF11">
        <f t="shared" si="10"/>
        <v>0.37808628684610435</v>
      </c>
    </row>
    <row r="12" spans="1:32">
      <c r="A12" s="39">
        <v>8</v>
      </c>
      <c r="B12" s="31">
        <v>80</v>
      </c>
      <c r="C12" s="31">
        <f t="shared" si="11"/>
        <v>680</v>
      </c>
      <c r="D12" s="13">
        <f t="shared" si="0"/>
        <v>11.333333333333334</v>
      </c>
      <c r="E12" s="89"/>
      <c r="F12" s="89"/>
      <c r="G12" s="90"/>
      <c r="H12" s="96">
        <f t="shared" si="1"/>
        <v>2.449697462717694</v>
      </c>
      <c r="I12" s="96">
        <f t="shared" si="2"/>
        <v>2.449697462717694</v>
      </c>
      <c r="J12" s="96">
        <f t="shared" si="3"/>
        <v>2.449697462717694</v>
      </c>
      <c r="K12" s="90">
        <f>((H12-'Calibration F. prausnitzii'!$D$45)/'Calibration F. prausnitzii'!$D$44)+$B$65</f>
        <v>13.988865790037485</v>
      </c>
      <c r="L12" s="90">
        <f>((I12-'Calibration F. prausnitzii'!$D$45)/'Calibration F. prausnitzii'!$D$44)+$B$65</f>
        <v>13.988865790037485</v>
      </c>
      <c r="M12" s="90">
        <f>((J12-'Calibration F. prausnitzii'!$D$45)/'Calibration F. prausnitzii'!$D$44)+$B$65</f>
        <v>13.988865790037485</v>
      </c>
      <c r="N12" s="97">
        <f t="shared" si="4"/>
        <v>13.988865790037485</v>
      </c>
      <c r="O12" s="97">
        <f t="shared" si="5"/>
        <v>0</v>
      </c>
      <c r="P12" s="98">
        <f>(AVERAGE(POWER(10,K12),POWER(10,L12),POWER(10,M12)))*(Calculation!$I12/Calculation!$K11)</f>
        <v>99740283441051.984</v>
      </c>
      <c r="Q12" s="98">
        <f>(STDEV(POWER(10,K12),POWER(10,L12),POWER(10,M12))*(Calculation!$I12/Calculation!$K11))</f>
        <v>0</v>
      </c>
      <c r="R12" s="97">
        <f t="shared" si="6"/>
        <v>13.998870598058302</v>
      </c>
      <c r="S12" s="97">
        <f>O12*(Calculation!$I12/Calculation!$K11)</f>
        <v>0</v>
      </c>
      <c r="V12" s="97">
        <v>7.6642735355480571</v>
      </c>
      <c r="W12" s="97">
        <v>8.4111287984526371</v>
      </c>
      <c r="X12" s="97">
        <v>8.2909825735811626</v>
      </c>
      <c r="Y12" s="97">
        <f t="shared" si="7"/>
        <v>8.122128302527285</v>
      </c>
      <c r="AA12">
        <v>4.8197747409537403E-2</v>
      </c>
      <c r="AB12">
        <v>3.2611091492156449E-2</v>
      </c>
      <c r="AC12">
        <v>1.5712598124576174E-2</v>
      </c>
      <c r="AD12">
        <f t="shared" si="8"/>
        <v>9.6521437026270029E-2</v>
      </c>
      <c r="AE12">
        <f t="shared" si="9"/>
        <v>0.4010386759053538</v>
      </c>
      <c r="AF12">
        <f t="shared" si="10"/>
        <v>0.49756011293162383</v>
      </c>
    </row>
    <row r="13" spans="1:32">
      <c r="A13" s="39">
        <v>9</v>
      </c>
      <c r="B13" s="31">
        <v>80</v>
      </c>
      <c r="C13" s="31">
        <f t="shared" si="11"/>
        <v>760</v>
      </c>
      <c r="D13" s="13">
        <f t="shared" si="0"/>
        <v>12.666666666666666</v>
      </c>
      <c r="E13" s="89"/>
      <c r="F13" s="89"/>
      <c r="G13" s="90"/>
      <c r="H13" s="96">
        <f t="shared" si="1"/>
        <v>2.449697462717694</v>
      </c>
      <c r="I13" s="96">
        <f t="shared" si="2"/>
        <v>2.449697462717694</v>
      </c>
      <c r="J13" s="96">
        <f t="shared" si="3"/>
        <v>2.449697462717694</v>
      </c>
      <c r="K13" s="90">
        <f>((H13-'Calibration F. prausnitzii'!$D$45)/'Calibration F. prausnitzii'!$D$44)+$B$65</f>
        <v>13.988865790037485</v>
      </c>
      <c r="L13" s="90">
        <f>((I13-'Calibration F. prausnitzii'!$D$45)/'Calibration F. prausnitzii'!$D$44)+$B$65</f>
        <v>13.988865790037485</v>
      </c>
      <c r="M13" s="90">
        <f>((J13-'Calibration F. prausnitzii'!$D$45)/'Calibration F. prausnitzii'!$D$44)+$B$65</f>
        <v>13.988865790037485</v>
      </c>
      <c r="N13" s="97">
        <f t="shared" si="4"/>
        <v>13.988865790037485</v>
      </c>
      <c r="O13" s="97">
        <f t="shared" si="5"/>
        <v>0</v>
      </c>
      <c r="P13" s="98">
        <f>(AVERAGE(POWER(10,K13),POWER(10,L13),POWER(10,M13)))*(Calculation!$I13/Calculation!$K12)</f>
        <v>100080403759691.55</v>
      </c>
      <c r="Q13" s="98">
        <f>(STDEV(POWER(10,K13),POWER(10,L13),POWER(10,M13))*(Calculation!$I13/Calculation!$K12))</f>
        <v>0</v>
      </c>
      <c r="R13" s="97">
        <f t="shared" si="6"/>
        <v>14.000349048786207</v>
      </c>
      <c r="S13" s="97">
        <f>O13*(Calculation!$I13/Calculation!$K12)</f>
        <v>0</v>
      </c>
      <c r="V13" s="97">
        <v>8.6929729870681953</v>
      </c>
      <c r="W13" s="97">
        <v>8.2043337785353163</v>
      </c>
      <c r="X13" s="97">
        <v>8.4043758645413558</v>
      </c>
      <c r="Y13" s="97">
        <f t="shared" si="7"/>
        <v>8.4338942100482885</v>
      </c>
      <c r="AA13">
        <v>5.7796305734828107E-2</v>
      </c>
      <c r="AB13">
        <v>2.2164460207974548E-2</v>
      </c>
      <c r="AC13">
        <v>2.6624504619745214E-2</v>
      </c>
      <c r="AD13">
        <f t="shared" si="8"/>
        <v>0.10658527056254788</v>
      </c>
      <c r="AE13">
        <f t="shared" si="9"/>
        <v>0.24565335041478595</v>
      </c>
      <c r="AF13">
        <f t="shared" si="10"/>
        <v>0.35223862097733383</v>
      </c>
    </row>
    <row r="14" spans="1:32">
      <c r="A14" s="39">
        <v>10</v>
      </c>
      <c r="B14" s="31">
        <v>80</v>
      </c>
      <c r="C14" s="31">
        <f t="shared" si="11"/>
        <v>840</v>
      </c>
      <c r="D14" s="13">
        <f t="shared" si="0"/>
        <v>14</v>
      </c>
      <c r="E14" s="89"/>
      <c r="F14" s="89"/>
      <c r="G14" s="90"/>
      <c r="H14" s="96">
        <f t="shared" si="1"/>
        <v>2.449697462717694</v>
      </c>
      <c r="I14" s="96">
        <f t="shared" si="2"/>
        <v>2.449697462717694</v>
      </c>
      <c r="J14" s="96">
        <f t="shared" si="3"/>
        <v>2.449697462717694</v>
      </c>
      <c r="K14" s="90">
        <f>((H14-'Calibration F. prausnitzii'!$D$45)/'Calibration F. prausnitzii'!$D$44)+$B$65</f>
        <v>13.988865790037485</v>
      </c>
      <c r="L14" s="90">
        <f>((I14-'Calibration F. prausnitzii'!$D$45)/'Calibration F. prausnitzii'!$D$44)+$B$65</f>
        <v>13.988865790037485</v>
      </c>
      <c r="M14" s="90">
        <f>((J14-'Calibration F. prausnitzii'!$D$45)/'Calibration F. prausnitzii'!$D$44)+$B$65</f>
        <v>13.988865790037485</v>
      </c>
      <c r="N14" s="97">
        <f t="shared" si="4"/>
        <v>13.988865790037485</v>
      </c>
      <c r="O14" s="97">
        <f t="shared" si="5"/>
        <v>0</v>
      </c>
      <c r="P14" s="98">
        <f>(AVERAGE(POWER(10,K14),POWER(10,L14),POWER(10,M14)))*(Calculation!$I14/Calculation!$K13)</f>
        <v>100258482769940.08</v>
      </c>
      <c r="Q14" s="98">
        <f>(STDEV(POWER(10,K14),POWER(10,L14),POWER(10,M14))*(Calculation!$I14/Calculation!$K13))</f>
        <v>0</v>
      </c>
      <c r="R14" s="97">
        <f t="shared" si="6"/>
        <v>14.00112112806849</v>
      </c>
      <c r="S14" s="97">
        <f>O14*(Calculation!$I14/Calculation!$K13)</f>
        <v>0</v>
      </c>
      <c r="V14" s="97">
        <v>9.2041126514277334</v>
      </c>
      <c r="W14" s="97">
        <v>8.6477875545923677</v>
      </c>
      <c r="X14" s="97">
        <v>8.6587831566230555</v>
      </c>
      <c r="Y14" s="97">
        <f t="shared" si="7"/>
        <v>8.8368944542143861</v>
      </c>
      <c r="AA14">
        <v>3.6299541376054741E-2</v>
      </c>
      <c r="AB14">
        <v>6.698746038555245E-2</v>
      </c>
      <c r="AC14">
        <v>2.9565953664157846E-2</v>
      </c>
      <c r="AD14">
        <f t="shared" si="8"/>
        <v>0.13285295542576503</v>
      </c>
      <c r="AE14">
        <f t="shared" si="9"/>
        <v>0.31806780580478472</v>
      </c>
      <c r="AF14">
        <f t="shared" si="10"/>
        <v>0.45092076123054975</v>
      </c>
    </row>
    <row r="15" spans="1:32">
      <c r="A15" s="39">
        <v>11</v>
      </c>
      <c r="B15" s="31">
        <v>80</v>
      </c>
      <c r="C15" s="31">
        <f t="shared" si="11"/>
        <v>920</v>
      </c>
      <c r="D15" s="13">
        <f t="shared" si="0"/>
        <v>15.333333333333334</v>
      </c>
      <c r="E15" s="89"/>
      <c r="F15" s="89"/>
      <c r="G15" s="90"/>
      <c r="H15" s="96">
        <f t="shared" si="1"/>
        <v>2.449697462717694</v>
      </c>
      <c r="I15" s="96">
        <f t="shared" si="2"/>
        <v>2.449697462717694</v>
      </c>
      <c r="J15" s="96">
        <f t="shared" si="3"/>
        <v>2.449697462717694</v>
      </c>
      <c r="K15" s="90">
        <f>((H15-'Calibration F. prausnitzii'!$D$45)/'Calibration F. prausnitzii'!$D$44)+$B$65</f>
        <v>13.988865790037485</v>
      </c>
      <c r="L15" s="90">
        <f>((I15-'Calibration F. prausnitzii'!$D$45)/'Calibration F. prausnitzii'!$D$44)+$B$65</f>
        <v>13.988865790037485</v>
      </c>
      <c r="M15" s="90">
        <f>((J15-'Calibration F. prausnitzii'!$D$45)/'Calibration F. prausnitzii'!$D$44)+$B$65</f>
        <v>13.988865790037485</v>
      </c>
      <c r="N15" s="97">
        <f t="shared" si="4"/>
        <v>13.988865790037485</v>
      </c>
      <c r="O15" s="97">
        <f t="shared" si="5"/>
        <v>0</v>
      </c>
      <c r="P15" s="98">
        <f>(AVERAGE(POWER(10,K15),POWER(10,L15),POWER(10,M15)))*(Calculation!$I15/Calculation!$K14)</f>
        <v>100258482769940.08</v>
      </c>
      <c r="Q15" s="98">
        <f>(STDEV(POWER(10,K15),POWER(10,L15),POWER(10,M15))*(Calculation!$I15/Calculation!$K14))</f>
        <v>0</v>
      </c>
      <c r="R15" s="97">
        <f t="shared" si="6"/>
        <v>14.00112112806849</v>
      </c>
      <c r="S15" s="97">
        <f>O15*(Calculation!$I15/Calculation!$K14)</f>
        <v>0</v>
      </c>
      <c r="V15" s="97">
        <v>9.2513892202798154</v>
      </c>
      <c r="W15" s="97">
        <v>8.9762877999009216</v>
      </c>
      <c r="X15" s="97">
        <v>9.1721822424851798</v>
      </c>
      <c r="Y15" s="97">
        <f t="shared" si="7"/>
        <v>9.1332864208886377</v>
      </c>
      <c r="AA15">
        <v>1.9037684435666679E-2</v>
      </c>
      <c r="AB15">
        <v>7.2145061360441951E-2</v>
      </c>
      <c r="AC15">
        <v>4.1194143476162855E-2</v>
      </c>
      <c r="AD15">
        <f t="shared" si="8"/>
        <v>0.13237688927227148</v>
      </c>
      <c r="AE15">
        <f t="shared" si="9"/>
        <v>0.1416151883693047</v>
      </c>
      <c r="AF15">
        <f t="shared" si="10"/>
        <v>0.27399207764157618</v>
      </c>
    </row>
    <row r="16" spans="1:32">
      <c r="A16" s="39">
        <v>12</v>
      </c>
      <c r="B16" s="31">
        <v>80</v>
      </c>
      <c r="C16" s="31">
        <f t="shared" si="11"/>
        <v>1000</v>
      </c>
      <c r="D16" s="13">
        <f t="shared" si="0"/>
        <v>16.666666666666668</v>
      </c>
      <c r="E16" s="89"/>
      <c r="F16" s="89"/>
      <c r="G16" s="90"/>
      <c r="H16" s="96">
        <f t="shared" si="1"/>
        <v>2.449697462717694</v>
      </c>
      <c r="I16" s="96">
        <f t="shared" si="2"/>
        <v>2.449697462717694</v>
      </c>
      <c r="J16" s="96">
        <f t="shared" si="3"/>
        <v>2.449697462717694</v>
      </c>
      <c r="K16" s="90">
        <f>((H16-'Calibration F. prausnitzii'!$D$45)/'Calibration F. prausnitzii'!$D$44)+$B$65</f>
        <v>13.988865790037485</v>
      </c>
      <c r="L16" s="90">
        <f>((I16-'Calibration F. prausnitzii'!$D$45)/'Calibration F. prausnitzii'!$D$44)+$B$65</f>
        <v>13.988865790037485</v>
      </c>
      <c r="M16" s="90">
        <f>((J16-'Calibration F. prausnitzii'!$D$45)/'Calibration F. prausnitzii'!$D$44)+$B$65</f>
        <v>13.988865790037485</v>
      </c>
      <c r="N16" s="97">
        <f t="shared" si="4"/>
        <v>13.988865790037485</v>
      </c>
      <c r="O16" s="97">
        <f t="shared" si="5"/>
        <v>0</v>
      </c>
      <c r="P16" s="98">
        <f>(AVERAGE(POWER(10,K16),POWER(10,L16),POWER(10,M16)))*(Calculation!$I16/Calculation!$K15)</f>
        <v>100356200589403.95</v>
      </c>
      <c r="Q16" s="98">
        <f>(STDEV(POWER(10,K16),POWER(10,L16),POWER(10,M16))*(Calculation!$I16/Calculation!$K15))</f>
        <v>0</v>
      </c>
      <c r="R16" s="97">
        <f t="shared" si="6"/>
        <v>14.001544210889971</v>
      </c>
      <c r="S16" s="97">
        <f>O16*(Calculation!$I16/Calculation!$K15)</f>
        <v>0</v>
      </c>
      <c r="V16" s="97">
        <v>9.2117962390698267</v>
      </c>
      <c r="W16" s="97">
        <v>9.3668030081614901</v>
      </c>
      <c r="X16" s="97">
        <v>9.2571157608912618</v>
      </c>
      <c r="Y16" s="97">
        <f t="shared" si="7"/>
        <v>9.2785716693741929</v>
      </c>
      <c r="AA16">
        <v>2.523849847022739E-2</v>
      </c>
      <c r="AB16">
        <v>3.3309714628311331E-2</v>
      </c>
      <c r="AC16">
        <v>2.7816067590730728E-2</v>
      </c>
      <c r="AD16">
        <f t="shared" si="8"/>
        <v>8.6364280689269449E-2</v>
      </c>
      <c r="AE16">
        <f t="shared" si="9"/>
        <v>7.9699696503060802E-2</v>
      </c>
      <c r="AF16">
        <f t="shared" si="10"/>
        <v>0.16606397719233024</v>
      </c>
    </row>
    <row r="17" spans="1:32">
      <c r="A17" s="39">
        <v>13</v>
      </c>
      <c r="B17" s="31">
        <v>80</v>
      </c>
      <c r="C17" s="31">
        <f t="shared" si="11"/>
        <v>1080</v>
      </c>
      <c r="D17" s="13">
        <f t="shared" si="0"/>
        <v>18</v>
      </c>
      <c r="E17" s="89"/>
      <c r="F17" s="89"/>
      <c r="G17" s="90"/>
      <c r="H17" s="96">
        <f t="shared" si="1"/>
        <v>2.449697462717694</v>
      </c>
      <c r="I17" s="96">
        <f t="shared" si="2"/>
        <v>2.449697462717694</v>
      </c>
      <c r="J17" s="96">
        <f t="shared" si="3"/>
        <v>2.449697462717694</v>
      </c>
      <c r="K17" s="90">
        <f>((H17-'Calibration F. prausnitzii'!$D$45)/'Calibration F. prausnitzii'!$D$44)+$B$65</f>
        <v>13.988865790037485</v>
      </c>
      <c r="L17" s="90">
        <f>((I17-'Calibration F. prausnitzii'!$D$45)/'Calibration F. prausnitzii'!$D$44)+$B$65</f>
        <v>13.988865790037485</v>
      </c>
      <c r="M17" s="90">
        <f>((J17-'Calibration F. prausnitzii'!$D$45)/'Calibration F. prausnitzii'!$D$44)+$B$65</f>
        <v>13.988865790037485</v>
      </c>
      <c r="N17" s="97">
        <f t="shared" si="4"/>
        <v>13.988865790037485</v>
      </c>
      <c r="O17" s="97">
        <f t="shared" si="5"/>
        <v>0</v>
      </c>
      <c r="P17" s="98">
        <f>(AVERAGE(POWER(10,K17),POWER(10,L17),POWER(10,M17)))*(Calculation!$I17/Calculation!$K16)</f>
        <v>100356200589403.95</v>
      </c>
      <c r="Q17" s="98">
        <f>(STDEV(POWER(10,K17),POWER(10,L17),POWER(10,M17))*(Calculation!$I17/Calculation!$K16))</f>
        <v>0</v>
      </c>
      <c r="R17" s="97">
        <f t="shared" si="6"/>
        <v>14.001544210889971</v>
      </c>
      <c r="S17" s="97">
        <f>O17*(Calculation!$I17/Calculation!$K16)</f>
        <v>0</v>
      </c>
      <c r="V17" s="97">
        <v>9.342081098294253</v>
      </c>
      <c r="W17" s="97">
        <v>9.3577610418241548</v>
      </c>
      <c r="X17" s="97">
        <v>9.0661322328226497</v>
      </c>
      <c r="Y17" s="97">
        <f t="shared" si="7"/>
        <v>9.2553247909803513</v>
      </c>
      <c r="AA17">
        <v>3.202677466184705E-2</v>
      </c>
      <c r="AB17">
        <v>6.6887334395468845E-2</v>
      </c>
      <c r="AC17">
        <v>1.4039563628166095E-2</v>
      </c>
      <c r="AD17">
        <f t="shared" si="8"/>
        <v>0.112953672685482</v>
      </c>
      <c r="AE17">
        <f t="shared" si="9"/>
        <v>0.16403302473577402</v>
      </c>
      <c r="AF17">
        <f t="shared" si="10"/>
        <v>0.27698669742125603</v>
      </c>
    </row>
    <row r="18" spans="1:32">
      <c r="A18" s="39">
        <v>14</v>
      </c>
      <c r="B18" s="31">
        <v>360</v>
      </c>
      <c r="C18" s="31">
        <f t="shared" si="11"/>
        <v>1440</v>
      </c>
      <c r="D18" s="13">
        <f t="shared" si="0"/>
        <v>24</v>
      </c>
      <c r="E18" s="89"/>
      <c r="F18" s="89"/>
      <c r="G18" s="90"/>
      <c r="H18" s="96">
        <f t="shared" si="1"/>
        <v>2.449697462717694</v>
      </c>
      <c r="I18" s="96">
        <f t="shared" si="2"/>
        <v>2.449697462717694</v>
      </c>
      <c r="J18" s="96">
        <f t="shared" si="3"/>
        <v>2.449697462717694</v>
      </c>
      <c r="K18" s="90">
        <f>((H18-'Calibration F. prausnitzii'!$D$45)/'Calibration F. prausnitzii'!$D$44)+$B$65</f>
        <v>13.988865790037485</v>
      </c>
      <c r="L18" s="90">
        <f>((I18-'Calibration F. prausnitzii'!$D$45)/'Calibration F. prausnitzii'!$D$44)+$B$65</f>
        <v>13.988865790037485</v>
      </c>
      <c r="M18" s="90">
        <f>((J18-'Calibration F. prausnitzii'!$D$45)/'Calibration F. prausnitzii'!$D$44)+$B$65</f>
        <v>13.988865790037485</v>
      </c>
      <c r="N18" s="97">
        <f t="shared" si="4"/>
        <v>13.988865790037485</v>
      </c>
      <c r="O18" s="97">
        <f t="shared" si="5"/>
        <v>0</v>
      </c>
      <c r="P18" s="98">
        <f>(AVERAGE(POWER(10,K18),POWER(10,L18),POWER(10,M18)))*(Calculation!$I18/Calculation!$K17)</f>
        <v>100464928867398.98</v>
      </c>
      <c r="Q18" s="98">
        <f>(STDEV(POWER(10,K18),POWER(10,L18),POWER(10,M18))*(Calculation!$I18/Calculation!$K17))</f>
        <v>0</v>
      </c>
      <c r="R18" s="97">
        <f t="shared" si="6"/>
        <v>14.002014481084167</v>
      </c>
      <c r="S18" s="97">
        <f>O18*(Calculation!$I18/Calculation!$K17)</f>
        <v>0</v>
      </c>
      <c r="V18" s="97">
        <v>9.0766778683904814</v>
      </c>
      <c r="W18" s="97">
        <v>9.0512773216846814</v>
      </c>
      <c r="X18" s="97">
        <v>8.8338539273069969</v>
      </c>
      <c r="Y18" s="97">
        <f t="shared" si="7"/>
        <v>8.9872697057940538</v>
      </c>
      <c r="AA18">
        <v>9.5279682143756414E-2</v>
      </c>
      <c r="AB18">
        <v>3.4335072268284486E-2</v>
      </c>
      <c r="AC18">
        <v>6.9183615094577039E-3</v>
      </c>
      <c r="AD18">
        <f t="shared" si="8"/>
        <v>0.13653311592149861</v>
      </c>
      <c r="AE18">
        <f t="shared" si="9"/>
        <v>0.1334675906721573</v>
      </c>
      <c r="AF18">
        <f t="shared" si="10"/>
        <v>0.27000070659365594</v>
      </c>
    </row>
    <row r="19" spans="1:32">
      <c r="A19" s="39">
        <v>15</v>
      </c>
      <c r="B19" s="31">
        <v>360</v>
      </c>
      <c r="C19" s="31">
        <f>C18+B19</f>
        <v>1800</v>
      </c>
      <c r="D19" s="13">
        <f t="shared" si="0"/>
        <v>30</v>
      </c>
      <c r="E19" s="89"/>
      <c r="F19" s="89"/>
      <c r="G19" s="90"/>
      <c r="H19" s="96">
        <f t="shared" si="1"/>
        <v>2.449697462717694</v>
      </c>
      <c r="I19" s="96">
        <f t="shared" si="2"/>
        <v>2.449697462717694</v>
      </c>
      <c r="J19" s="96">
        <f t="shared" si="3"/>
        <v>2.449697462717694</v>
      </c>
      <c r="K19" s="90">
        <f>((H19-'Calibration F. prausnitzii'!$D$45)/'Calibration F. prausnitzii'!$D$44)+$B$65</f>
        <v>13.988865790037485</v>
      </c>
      <c r="L19" s="90">
        <f>((I19-'Calibration F. prausnitzii'!$D$45)/'Calibration F. prausnitzii'!$D$44)+$B$65</f>
        <v>13.988865790037485</v>
      </c>
      <c r="M19" s="90">
        <f>((J19-'Calibration F. prausnitzii'!$D$45)/'Calibration F. prausnitzii'!$D$44)+$B$65</f>
        <v>13.988865790037485</v>
      </c>
      <c r="N19" s="97">
        <f t="shared" si="4"/>
        <v>13.988865790037485</v>
      </c>
      <c r="O19" s="97">
        <f t="shared" si="5"/>
        <v>0</v>
      </c>
      <c r="P19" s="98">
        <f>(AVERAGE(POWER(10,K19),POWER(10,L19),POWER(10,M19)))*(Calculation!$I19/Calculation!$K18)</f>
        <v>100464928867398.98</v>
      </c>
      <c r="Q19" s="98">
        <f>(STDEV(POWER(10,K19),POWER(10,L19),POWER(10,M19))*(Calculation!$I19/Calculation!$K18))</f>
        <v>0</v>
      </c>
      <c r="R19" s="97">
        <f t="shared" si="6"/>
        <v>14.002014481084167</v>
      </c>
      <c r="S19" s="97">
        <f>O19*(Calculation!$I19/Calculation!$K18)</f>
        <v>0</v>
      </c>
      <c r="V19" s="97">
        <v>8.6005304412118946</v>
      </c>
      <c r="W19" s="97">
        <v>8.7350477854450777</v>
      </c>
      <c r="X19" s="97">
        <v>8.2938940382181059</v>
      </c>
      <c r="Y19" s="97">
        <f t="shared" si="7"/>
        <v>8.5431574216250254</v>
      </c>
      <c r="Z19" s="74"/>
      <c r="AA19">
        <v>8.9944120787704737E-2</v>
      </c>
      <c r="AB19">
        <v>2.7828180546200103E-2</v>
      </c>
      <c r="AC19">
        <v>1.2825265993194149E-2</v>
      </c>
      <c r="AD19">
        <f t="shared" si="8"/>
        <v>0.13059756732709898</v>
      </c>
      <c r="AE19">
        <f t="shared" si="9"/>
        <v>0.2261037476590915</v>
      </c>
      <c r="AF19">
        <f t="shared" si="10"/>
        <v>0.35670131498619051</v>
      </c>
    </row>
    <row r="20" spans="1:32">
      <c r="A20" s="39">
        <v>16</v>
      </c>
      <c r="B20" s="31">
        <v>1080</v>
      </c>
      <c r="C20" s="31">
        <f>C19+B20</f>
        <v>2880</v>
      </c>
      <c r="D20" s="13">
        <f t="shared" si="0"/>
        <v>48</v>
      </c>
      <c r="E20" s="89"/>
      <c r="F20" s="89"/>
      <c r="G20" s="90"/>
      <c r="H20" s="96">
        <f t="shared" si="1"/>
        <v>2.449697462717694</v>
      </c>
      <c r="I20" s="96">
        <f t="shared" si="2"/>
        <v>2.449697462717694</v>
      </c>
      <c r="J20" s="96">
        <f t="shared" si="3"/>
        <v>2.449697462717694</v>
      </c>
      <c r="K20" s="90">
        <f>((H20-'Calibration F. prausnitzii'!$D$45)/'Calibration F. prausnitzii'!$D$44)+$B$65</f>
        <v>13.988865790037485</v>
      </c>
      <c r="L20" s="90">
        <f>((I20-'Calibration F. prausnitzii'!$D$45)/'Calibration F. prausnitzii'!$D$44)+$B$65</f>
        <v>13.988865790037485</v>
      </c>
      <c r="M20" s="90">
        <f>((J20-'Calibration F. prausnitzii'!$D$45)/'Calibration F. prausnitzii'!$D$44)+$B$65</f>
        <v>13.988865790037485</v>
      </c>
      <c r="N20" s="97">
        <f t="shared" si="4"/>
        <v>13.988865790037485</v>
      </c>
      <c r="O20" s="97">
        <f t="shared" si="5"/>
        <v>0</v>
      </c>
      <c r="P20" s="98">
        <f>(AVERAGE(POWER(10,K20),POWER(10,L20),POWER(10,M20)))*(Calculation!$I20/Calculation!$K19)</f>
        <v>100464928867398.98</v>
      </c>
      <c r="Q20" s="98">
        <f>(STDEV(POWER(10,K20),POWER(10,L20),POWER(10,M20))*(Calculation!$I20/Calculation!$K19))</f>
        <v>0</v>
      </c>
      <c r="R20" s="97">
        <f t="shared" si="6"/>
        <v>14.002014481084167</v>
      </c>
      <c r="S20" s="97">
        <f>O20*(Calculation!$I20/Calculation!$K19)</f>
        <v>0</v>
      </c>
      <c r="V20" s="97">
        <v>8.2613535255265127</v>
      </c>
      <c r="W20" s="97">
        <v>8.1125373357081774</v>
      </c>
      <c r="X20" s="97">
        <v>8.2542916618149071</v>
      </c>
      <c r="Y20" s="97">
        <f t="shared" si="7"/>
        <v>8.2093941743498657</v>
      </c>
      <c r="Z20" s="74"/>
      <c r="AA20">
        <v>4.1488224327030553E-2</v>
      </c>
      <c r="AB20">
        <v>1.7386017336312211E-2</v>
      </c>
      <c r="AC20">
        <v>1.9908331441595845E-2</v>
      </c>
      <c r="AD20">
        <f t="shared" si="8"/>
        <v>7.8782573104938608E-2</v>
      </c>
      <c r="AE20">
        <f t="shared" si="9"/>
        <v>8.3954766830221531E-2</v>
      </c>
      <c r="AF20">
        <f t="shared" si="10"/>
        <v>0.16273733993516015</v>
      </c>
    </row>
    <row r="21" spans="1:32">
      <c r="A21" s="10"/>
      <c r="B21" s="10"/>
      <c r="C21" s="10"/>
      <c r="D21" s="103"/>
      <c r="E21" s="104"/>
      <c r="F21" s="104"/>
      <c r="G21" s="105"/>
      <c r="H21" s="102"/>
      <c r="I21" s="102"/>
      <c r="J21" s="102"/>
      <c r="K21" s="105"/>
      <c r="L21" s="105"/>
      <c r="M21" s="105"/>
      <c r="N21" s="106"/>
      <c r="O21" s="106"/>
      <c r="P21" s="107"/>
      <c r="Q21" s="107"/>
      <c r="R21" s="106"/>
      <c r="S21" s="106"/>
    </row>
    <row r="22" spans="1:32">
      <c r="A22" s="95" t="s">
        <v>213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</row>
    <row r="23" spans="1:32">
      <c r="A23" s="114" t="s">
        <v>4</v>
      </c>
      <c r="B23" s="114" t="s">
        <v>116</v>
      </c>
      <c r="C23" s="114" t="s">
        <v>116</v>
      </c>
      <c r="D23" s="114" t="s">
        <v>5</v>
      </c>
      <c r="E23" s="128" t="s">
        <v>214</v>
      </c>
      <c r="F23" s="128" t="s">
        <v>215</v>
      </c>
      <c r="G23" s="128" t="s">
        <v>216</v>
      </c>
      <c r="H23" s="130" t="s">
        <v>217</v>
      </c>
      <c r="I23" s="130" t="s">
        <v>218</v>
      </c>
      <c r="J23" s="130" t="s">
        <v>219</v>
      </c>
      <c r="K23" s="128" t="s">
        <v>220</v>
      </c>
      <c r="L23" s="128" t="s">
        <v>221</v>
      </c>
      <c r="M23" s="128" t="s">
        <v>222</v>
      </c>
      <c r="N23" s="128" t="s">
        <v>223</v>
      </c>
      <c r="O23" s="128" t="s">
        <v>224</v>
      </c>
      <c r="P23" s="130" t="s">
        <v>225</v>
      </c>
      <c r="Q23" s="130" t="s">
        <v>226</v>
      </c>
      <c r="R23" s="130" t="s">
        <v>227</v>
      </c>
      <c r="S23" s="130" t="s">
        <v>228</v>
      </c>
    </row>
    <row r="24" spans="1:32">
      <c r="A24" s="115"/>
      <c r="B24" s="115"/>
      <c r="C24" s="115"/>
      <c r="D24" s="115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</row>
    <row r="25" spans="1:32">
      <c r="A25" s="39">
        <v>0</v>
      </c>
      <c r="B25" s="31">
        <v>10</v>
      </c>
      <c r="C25" s="31">
        <f>B25</f>
        <v>10</v>
      </c>
      <c r="D25" s="13">
        <f t="shared" ref="D25:D41" si="12">C25/60</f>
        <v>0.16666666666666666</v>
      </c>
      <c r="E25" s="89"/>
      <c r="F25" s="89"/>
      <c r="G25" s="90"/>
      <c r="H25" s="96">
        <f t="shared" ref="H25:H41" si="13">E25-$H$75+$H$81</f>
        <v>0.35423943201701036</v>
      </c>
      <c r="I25" s="96">
        <f t="shared" ref="I25:I41" si="14">F25-$H$75+$H$81</f>
        <v>0.35423943201701036</v>
      </c>
      <c r="J25" s="96">
        <f t="shared" ref="J25:J41" si="15">G25-$H$75+$H$81</f>
        <v>0.35423943201701036</v>
      </c>
      <c r="K25" s="90">
        <f>((H25-'Calibration F. prausnitzii'!$D$45)/'Calibration F. prausnitzii'!$D$44)+$B$65</f>
        <v>14.633959540830418</v>
      </c>
      <c r="L25" s="90">
        <f>((I25-'Calibration F. prausnitzii'!$D$45)/'Calibration F. prausnitzii'!$D$44)+$B$65</f>
        <v>14.633959540830418</v>
      </c>
      <c r="M25" s="90">
        <f>((J25-'Calibration F. prausnitzii'!$D$45)/'Calibration F. prausnitzii'!$D$44)+$B$65</f>
        <v>14.633959540830418</v>
      </c>
      <c r="N25" s="97">
        <f>AVERAGE(K25:M25)</f>
        <v>14.633959540830418</v>
      </c>
      <c r="O25" s="97">
        <f>STDEV(K25:M25)</f>
        <v>0</v>
      </c>
      <c r="P25" s="98">
        <f>(AVERAGE(POWER(10,K25),POWER(10,L25),POWER(10,M25)))*(Calculation!$I4/Calculation!$K3)</f>
        <v>430486504207789.5</v>
      </c>
      <c r="Q25" s="98">
        <f>(STDEV(POWER(10,K25),POWER(10,L25),POWER(10,M25))*(Calculation!$I4/Calculation!$K3))</f>
        <v>0</v>
      </c>
      <c r="R25" s="97">
        <f>LOG(P25)</f>
        <v>14.633959540830419</v>
      </c>
      <c r="S25" s="97">
        <f>O25*(Calculation!$I4/Calculation!$K3)</f>
        <v>0</v>
      </c>
    </row>
    <row r="26" spans="1:32">
      <c r="A26" s="39">
        <v>1</v>
      </c>
      <c r="B26" s="31">
        <v>110</v>
      </c>
      <c r="C26" s="31">
        <f>C25+B26</f>
        <v>120</v>
      </c>
      <c r="D26" s="13">
        <f t="shared" si="12"/>
        <v>2</v>
      </c>
      <c r="E26" s="89"/>
      <c r="F26" s="89"/>
      <c r="G26" s="90"/>
      <c r="H26" s="96">
        <f t="shared" si="13"/>
        <v>0.35423943201701036</v>
      </c>
      <c r="I26" s="96">
        <f t="shared" si="14"/>
        <v>0.35423943201701036</v>
      </c>
      <c r="J26" s="96">
        <f t="shared" si="15"/>
        <v>0.35423943201701036</v>
      </c>
      <c r="K26" s="90">
        <f>((H26-'Calibration F. prausnitzii'!$D$45)/'Calibration F. prausnitzii'!$D$44)+$B$65</f>
        <v>14.633959540830418</v>
      </c>
      <c r="L26" s="90">
        <f>((I26-'Calibration F. prausnitzii'!$D$45)/'Calibration F. prausnitzii'!$D$44)+$B$65</f>
        <v>14.633959540830418</v>
      </c>
      <c r="M26" s="90">
        <f>((J26-'Calibration F. prausnitzii'!$D$45)/'Calibration F. prausnitzii'!$D$44)+$B$65</f>
        <v>14.633959540830418</v>
      </c>
      <c r="N26" s="97">
        <f t="shared" ref="N26:N41" si="16">AVERAGE(K26:M26)</f>
        <v>14.633959540830418</v>
      </c>
      <c r="O26" s="97">
        <f t="shared" ref="O26:O41" si="17">STDEV(K26:M26)</f>
        <v>0</v>
      </c>
      <c r="P26" s="98">
        <f>(AVERAGE(POWER(10,K26),POWER(10,L26),POWER(10,M26)))*(Calculation!$I5/Calculation!$K4)</f>
        <v>430486504207789.5</v>
      </c>
      <c r="Q26" s="98">
        <f>(STDEV(POWER(10,K26),POWER(10,L26),POWER(10,M26))*(Calculation!$I5/Calculation!$K4))</f>
        <v>0</v>
      </c>
      <c r="R26" s="97">
        <f t="shared" ref="R26:R41" si="18">LOG(P26)</f>
        <v>14.633959540830419</v>
      </c>
      <c r="S26" s="97">
        <f>O26*(Calculation!$I5/Calculation!$K4)</f>
        <v>0</v>
      </c>
    </row>
    <row r="27" spans="1:32">
      <c r="A27" s="39">
        <v>2</v>
      </c>
      <c r="B27" s="31">
        <v>80</v>
      </c>
      <c r="C27" s="31">
        <f>C26+B27</f>
        <v>200</v>
      </c>
      <c r="D27" s="13">
        <f t="shared" si="12"/>
        <v>3.3333333333333335</v>
      </c>
      <c r="E27" s="89"/>
      <c r="F27" s="89"/>
      <c r="G27" s="90"/>
      <c r="H27" s="96">
        <f t="shared" si="13"/>
        <v>0.35423943201701036</v>
      </c>
      <c r="I27" s="96">
        <f t="shared" si="14"/>
        <v>0.35423943201701036</v>
      </c>
      <c r="J27" s="96">
        <f t="shared" si="15"/>
        <v>0.35423943201701036</v>
      </c>
      <c r="K27" s="90">
        <f>((H27-'Calibration F. prausnitzii'!$D$45)/'Calibration F. prausnitzii'!$D$44)+$B$65</f>
        <v>14.633959540830418</v>
      </c>
      <c r="L27" s="90">
        <f>((I27-'Calibration F. prausnitzii'!$D$45)/'Calibration F. prausnitzii'!$D$44)+$B$65</f>
        <v>14.633959540830418</v>
      </c>
      <c r="M27" s="90">
        <f>((J27-'Calibration F. prausnitzii'!$D$45)/'Calibration F. prausnitzii'!$D$44)+$B$65</f>
        <v>14.633959540830418</v>
      </c>
      <c r="N27" s="97">
        <f t="shared" si="16"/>
        <v>14.633959540830418</v>
      </c>
      <c r="O27" s="97">
        <f t="shared" si="17"/>
        <v>0</v>
      </c>
      <c r="P27" s="98">
        <f>(AVERAGE(POWER(10,K27),POWER(10,L27),POWER(10,M27)))*(Calculation!$I6/Calculation!$K5)</f>
        <v>430486504207789.5</v>
      </c>
      <c r="Q27" s="98">
        <f>(STDEV(POWER(10,K27),POWER(10,L27),POWER(10,M27))*(Calculation!$I6/Calculation!$K5))</f>
        <v>0</v>
      </c>
      <c r="R27" s="97">
        <f t="shared" si="18"/>
        <v>14.633959540830419</v>
      </c>
      <c r="S27" s="97">
        <f>O27*(Calculation!$I6/Calculation!$K5)</f>
        <v>0</v>
      </c>
    </row>
    <row r="28" spans="1:32">
      <c r="A28" s="39">
        <v>3</v>
      </c>
      <c r="B28" s="31">
        <v>80</v>
      </c>
      <c r="C28" s="31">
        <f>C27+B28</f>
        <v>280</v>
      </c>
      <c r="D28" s="13">
        <f t="shared" si="12"/>
        <v>4.666666666666667</v>
      </c>
      <c r="E28" s="89"/>
      <c r="F28" s="89"/>
      <c r="G28" s="90"/>
      <c r="H28" s="96">
        <f t="shared" si="13"/>
        <v>0.35423943201701036</v>
      </c>
      <c r="I28" s="96">
        <f t="shared" si="14"/>
        <v>0.35423943201701036</v>
      </c>
      <c r="J28" s="96">
        <f t="shared" si="15"/>
        <v>0.35423943201701036</v>
      </c>
      <c r="K28" s="90">
        <f>((H28-'Calibration F. prausnitzii'!$D$45)/'Calibration F. prausnitzii'!$D$44)+$B$65</f>
        <v>14.633959540830418</v>
      </c>
      <c r="L28" s="90">
        <f>((I28-'Calibration F. prausnitzii'!$D$45)/'Calibration F. prausnitzii'!$D$44)+$B$65</f>
        <v>14.633959540830418</v>
      </c>
      <c r="M28" s="90">
        <f>((J28-'Calibration F. prausnitzii'!$D$45)/'Calibration F. prausnitzii'!$D$44)+$B$65</f>
        <v>14.633959540830418</v>
      </c>
      <c r="N28" s="97">
        <f t="shared" si="16"/>
        <v>14.633959540830418</v>
      </c>
      <c r="O28" s="97">
        <f t="shared" si="17"/>
        <v>0</v>
      </c>
      <c r="P28" s="98">
        <f>(AVERAGE(POWER(10,K28),POWER(10,L28),POWER(10,M28)))*(Calculation!$I7/Calculation!$K6)</f>
        <v>430795761753915.81</v>
      </c>
      <c r="Q28" s="98">
        <f>(STDEV(POWER(10,K28),POWER(10,L28),POWER(10,M28))*(Calculation!$I7/Calculation!$K6))</f>
        <v>0</v>
      </c>
      <c r="R28" s="97">
        <f t="shared" si="18"/>
        <v>14.63427142197984</v>
      </c>
      <c r="S28" s="97">
        <f>O28*(Calculation!$I7/Calculation!$K6)</f>
        <v>0</v>
      </c>
    </row>
    <row r="29" spans="1:32">
      <c r="A29" s="39">
        <v>4</v>
      </c>
      <c r="B29" s="31">
        <v>80</v>
      </c>
      <c r="C29" s="31">
        <f t="shared" ref="C29:C39" si="19">C28+B29</f>
        <v>360</v>
      </c>
      <c r="D29" s="13">
        <f t="shared" si="12"/>
        <v>6</v>
      </c>
      <c r="E29" s="89"/>
      <c r="F29" s="89"/>
      <c r="G29" s="90"/>
      <c r="H29" s="96">
        <f t="shared" si="13"/>
        <v>0.35423943201701036</v>
      </c>
      <c r="I29" s="96">
        <f t="shared" si="14"/>
        <v>0.35423943201701036</v>
      </c>
      <c r="J29" s="96">
        <f t="shared" si="15"/>
        <v>0.35423943201701036</v>
      </c>
      <c r="K29" s="90">
        <f>((H29-'Calibration F. prausnitzii'!$D$45)/'Calibration F. prausnitzii'!$D$44)+$B$65</f>
        <v>14.633959540830418</v>
      </c>
      <c r="L29" s="90">
        <f>((I29-'Calibration F. prausnitzii'!$D$45)/'Calibration F. prausnitzii'!$D$44)+$B$65</f>
        <v>14.633959540830418</v>
      </c>
      <c r="M29" s="90">
        <f>((J29-'Calibration F. prausnitzii'!$D$45)/'Calibration F. prausnitzii'!$D$44)+$B$65</f>
        <v>14.633959540830418</v>
      </c>
      <c r="N29" s="97">
        <f t="shared" si="16"/>
        <v>14.633959540830418</v>
      </c>
      <c r="O29" s="97">
        <f t="shared" si="17"/>
        <v>0</v>
      </c>
      <c r="P29" s="98">
        <f>(AVERAGE(POWER(10,K29),POWER(10,L29),POWER(10,M29)))*(Calculation!$I8/Calculation!$K7)</f>
        <v>431114397672372.88</v>
      </c>
      <c r="Q29" s="98">
        <f>(STDEV(POWER(10,K29),POWER(10,L29),POWER(10,M29))*(Calculation!$I8/Calculation!$K7))</f>
        <v>0</v>
      </c>
      <c r="R29" s="97">
        <f t="shared" si="18"/>
        <v>14.634592526971845</v>
      </c>
      <c r="S29" s="97">
        <f>O29*(Calculation!$I8/Calculation!$K7)</f>
        <v>0</v>
      </c>
    </row>
    <row r="30" spans="1:32">
      <c r="A30" s="39">
        <v>5</v>
      </c>
      <c r="B30" s="31">
        <v>80</v>
      </c>
      <c r="C30" s="31">
        <f t="shared" si="19"/>
        <v>440</v>
      </c>
      <c r="D30" s="13">
        <f t="shared" si="12"/>
        <v>7.333333333333333</v>
      </c>
      <c r="E30" s="89"/>
      <c r="F30" s="89"/>
      <c r="G30" s="90"/>
      <c r="H30" s="96">
        <f t="shared" si="13"/>
        <v>0.35423943201701036</v>
      </c>
      <c r="I30" s="96">
        <f t="shared" si="14"/>
        <v>0.35423943201701036</v>
      </c>
      <c r="J30" s="96">
        <f t="shared" si="15"/>
        <v>0.35423943201701036</v>
      </c>
      <c r="K30" s="90">
        <f>((H30-'Calibration F. prausnitzii'!$D$45)/'Calibration F. prausnitzii'!$D$44)+$B$65</f>
        <v>14.633959540830418</v>
      </c>
      <c r="L30" s="90">
        <f>((I30-'Calibration F. prausnitzii'!$D$45)/'Calibration F. prausnitzii'!$D$44)+$B$65</f>
        <v>14.633959540830418</v>
      </c>
      <c r="M30" s="90">
        <f>((J30-'Calibration F. prausnitzii'!$D$45)/'Calibration F. prausnitzii'!$D$44)+$B$65</f>
        <v>14.633959540830418</v>
      </c>
      <c r="N30" s="97">
        <f t="shared" si="16"/>
        <v>14.633959540830418</v>
      </c>
      <c r="O30" s="97">
        <f t="shared" si="17"/>
        <v>0</v>
      </c>
      <c r="P30" s="98">
        <f>(AVERAGE(POWER(10,K30),POWER(10,L30),POWER(10,M30)))*(Calculation!$I9/Calculation!$K8)</f>
        <v>432433799042448.94</v>
      </c>
      <c r="Q30" s="98">
        <f>(STDEV(POWER(10,K30),POWER(10,L30),POWER(10,M30))*(Calculation!$I9/Calculation!$K8))</f>
        <v>0</v>
      </c>
      <c r="R30" s="97">
        <f t="shared" si="18"/>
        <v>14.635919631081386</v>
      </c>
      <c r="S30" s="97">
        <f>O30*(Calculation!$I9/Calculation!$K8)</f>
        <v>0</v>
      </c>
    </row>
    <row r="31" spans="1:32">
      <c r="A31" s="39">
        <v>6</v>
      </c>
      <c r="B31" s="31">
        <v>80</v>
      </c>
      <c r="C31" s="31">
        <f t="shared" si="19"/>
        <v>520</v>
      </c>
      <c r="D31" s="13">
        <f t="shared" si="12"/>
        <v>8.6666666666666661</v>
      </c>
      <c r="E31" s="89"/>
      <c r="F31" s="89"/>
      <c r="G31" s="90"/>
      <c r="H31" s="96">
        <f t="shared" si="13"/>
        <v>0.35423943201701036</v>
      </c>
      <c r="I31" s="96">
        <f t="shared" si="14"/>
        <v>0.35423943201701036</v>
      </c>
      <c r="J31" s="96">
        <f t="shared" si="15"/>
        <v>0.35423943201701036</v>
      </c>
      <c r="K31" s="90">
        <f>((H31-'Calibration F. prausnitzii'!$D$45)/'Calibration F. prausnitzii'!$D$44)+$B$65</f>
        <v>14.633959540830418</v>
      </c>
      <c r="L31" s="90">
        <f>((I31-'Calibration F. prausnitzii'!$D$45)/'Calibration F. prausnitzii'!$D$44)+$B$65</f>
        <v>14.633959540830418</v>
      </c>
      <c r="M31" s="90">
        <f>((J31-'Calibration F. prausnitzii'!$D$45)/'Calibration F. prausnitzii'!$D$44)+$B$65</f>
        <v>14.633959540830418</v>
      </c>
      <c r="N31" s="97">
        <f t="shared" si="16"/>
        <v>14.633959540830418</v>
      </c>
      <c r="O31" s="97">
        <f t="shared" si="17"/>
        <v>0</v>
      </c>
      <c r="P31" s="98">
        <f>(AVERAGE(POWER(10,K31),POWER(10,L31),POWER(10,M31)))*(Calculation!$I10/Calculation!$K9)</f>
        <v>435166398088530.81</v>
      </c>
      <c r="Q31" s="98">
        <f>(STDEV(POWER(10,K31),POWER(10,L31),POWER(10,M31))*(Calculation!$I10/Calculation!$K9))</f>
        <v>0</v>
      </c>
      <c r="R31" s="97">
        <f t="shared" si="18"/>
        <v>14.638655353399381</v>
      </c>
      <c r="S31" s="97">
        <f>O31*(Calculation!$I10/Calculation!$K9)</f>
        <v>0</v>
      </c>
    </row>
    <row r="32" spans="1:32">
      <c r="A32" s="39">
        <v>7</v>
      </c>
      <c r="B32" s="31">
        <v>80</v>
      </c>
      <c r="C32" s="31">
        <f t="shared" si="19"/>
        <v>600</v>
      </c>
      <c r="D32" s="13">
        <f t="shared" si="12"/>
        <v>10</v>
      </c>
      <c r="E32" s="89"/>
      <c r="F32" s="89"/>
      <c r="G32" s="90"/>
      <c r="H32" s="96">
        <f t="shared" si="13"/>
        <v>0.35423943201701036</v>
      </c>
      <c r="I32" s="96">
        <f t="shared" si="14"/>
        <v>0.35423943201701036</v>
      </c>
      <c r="J32" s="96">
        <f t="shared" si="15"/>
        <v>0.35423943201701036</v>
      </c>
      <c r="K32" s="90">
        <f>((H32-'Calibration F. prausnitzii'!$D$45)/'Calibration F. prausnitzii'!$D$44)+$B$65</f>
        <v>14.633959540830418</v>
      </c>
      <c r="L32" s="90">
        <f>((I32-'Calibration F. prausnitzii'!$D$45)/'Calibration F. prausnitzii'!$D$44)+$B$65</f>
        <v>14.633959540830418</v>
      </c>
      <c r="M32" s="90">
        <f>((J32-'Calibration F. prausnitzii'!$D$45)/'Calibration F. prausnitzii'!$D$44)+$B$65</f>
        <v>14.633959540830418</v>
      </c>
      <c r="N32" s="97">
        <f t="shared" si="16"/>
        <v>14.633959540830418</v>
      </c>
      <c r="O32" s="97">
        <f t="shared" si="17"/>
        <v>0</v>
      </c>
      <c r="P32" s="98">
        <f>(AVERAGE(POWER(10,K32),POWER(10,L32),POWER(10,M32)))*(Calculation!$I11/Calculation!$K10)</f>
        <v>437980732110121.94</v>
      </c>
      <c r="Q32" s="98">
        <f>(STDEV(POWER(10,K32),POWER(10,L32),POWER(10,M32))*(Calculation!$I11/Calculation!$K10))</f>
        <v>0</v>
      </c>
      <c r="R32" s="97">
        <f t="shared" si="18"/>
        <v>14.641455005202015</v>
      </c>
      <c r="S32" s="97">
        <f>O32*(Calculation!$I11/Calculation!$K10)</f>
        <v>0</v>
      </c>
    </row>
    <row r="33" spans="1:19">
      <c r="A33" s="39">
        <v>8</v>
      </c>
      <c r="B33" s="31">
        <v>80</v>
      </c>
      <c r="C33" s="31">
        <f t="shared" si="19"/>
        <v>680</v>
      </c>
      <c r="D33" s="13">
        <f t="shared" si="12"/>
        <v>11.333333333333334</v>
      </c>
      <c r="E33" s="89"/>
      <c r="F33" s="89"/>
      <c r="G33" s="90"/>
      <c r="H33" s="96">
        <f t="shared" si="13"/>
        <v>0.35423943201701036</v>
      </c>
      <c r="I33" s="96">
        <f t="shared" si="14"/>
        <v>0.35423943201701036</v>
      </c>
      <c r="J33" s="96">
        <f t="shared" si="15"/>
        <v>0.35423943201701036</v>
      </c>
      <c r="K33" s="90">
        <f>((H33-'Calibration F. prausnitzii'!$D$45)/'Calibration F. prausnitzii'!$D$44)+$B$65</f>
        <v>14.633959540830418</v>
      </c>
      <c r="L33" s="90">
        <f>((I33-'Calibration F. prausnitzii'!$D$45)/'Calibration F. prausnitzii'!$D$44)+$B$65</f>
        <v>14.633959540830418</v>
      </c>
      <c r="M33" s="90">
        <f>((J33-'Calibration F. prausnitzii'!$D$45)/'Calibration F. prausnitzii'!$D$44)+$B$65</f>
        <v>14.633959540830418</v>
      </c>
      <c r="N33" s="97">
        <f t="shared" si="16"/>
        <v>14.633959540830418</v>
      </c>
      <c r="O33" s="97">
        <f t="shared" si="17"/>
        <v>0</v>
      </c>
      <c r="P33" s="98">
        <f>(AVERAGE(POWER(10,K33),POWER(10,L33),POWER(10,M33)))*(Calculation!$I12/Calculation!$K11)</f>
        <v>440518699928640.88</v>
      </c>
      <c r="Q33" s="98">
        <f>(STDEV(POWER(10,K33),POWER(10,L33),POWER(10,M33))*(Calculation!$I12/Calculation!$K11))</f>
        <v>0</v>
      </c>
      <c r="R33" s="97">
        <f t="shared" si="18"/>
        <v>14.643964348851233</v>
      </c>
      <c r="S33" s="97">
        <f>O33*(Calculation!$I12/Calculation!$K11)</f>
        <v>0</v>
      </c>
    </row>
    <row r="34" spans="1:19">
      <c r="A34" s="39">
        <v>9</v>
      </c>
      <c r="B34" s="31">
        <v>80</v>
      </c>
      <c r="C34" s="31">
        <f t="shared" si="19"/>
        <v>760</v>
      </c>
      <c r="D34" s="13">
        <f t="shared" si="12"/>
        <v>12.666666666666666</v>
      </c>
      <c r="E34" s="89"/>
      <c r="F34" s="89"/>
      <c r="G34" s="90"/>
      <c r="H34" s="96">
        <f t="shared" si="13"/>
        <v>0.35423943201701036</v>
      </c>
      <c r="I34" s="96">
        <f t="shared" si="14"/>
        <v>0.35423943201701036</v>
      </c>
      <c r="J34" s="96">
        <f t="shared" si="15"/>
        <v>0.35423943201701036</v>
      </c>
      <c r="K34" s="90">
        <f>((H34-'Calibration F. prausnitzii'!$D$45)/'Calibration F. prausnitzii'!$D$44)+$B$65</f>
        <v>14.633959540830418</v>
      </c>
      <c r="L34" s="90">
        <f>((I34-'Calibration F. prausnitzii'!$D$45)/'Calibration F. prausnitzii'!$D$44)+$B$65</f>
        <v>14.633959540830418</v>
      </c>
      <c r="M34" s="90">
        <f>((J34-'Calibration F. prausnitzii'!$D$45)/'Calibration F. prausnitzii'!$D$44)+$B$65</f>
        <v>14.633959540830418</v>
      </c>
      <c r="N34" s="97">
        <f t="shared" si="16"/>
        <v>14.633959540830418</v>
      </c>
      <c r="O34" s="97">
        <f t="shared" si="17"/>
        <v>0</v>
      </c>
      <c r="P34" s="98">
        <f>(AVERAGE(POWER(10,K34),POWER(10,L34),POWER(10,M34)))*(Calculation!$I13/Calculation!$K12)</f>
        <v>442020894983811</v>
      </c>
      <c r="Q34" s="98">
        <f>(STDEV(POWER(10,K34),POWER(10,L34),POWER(10,M34))*(Calculation!$I13/Calculation!$K12))</f>
        <v>0</v>
      </c>
      <c r="R34" s="97">
        <f t="shared" si="18"/>
        <v>14.64544279957914</v>
      </c>
      <c r="S34" s="97">
        <f>O34*(Calculation!$I13/Calculation!$K12)</f>
        <v>0</v>
      </c>
    </row>
    <row r="35" spans="1:19">
      <c r="A35" s="39">
        <v>10</v>
      </c>
      <c r="B35" s="31">
        <v>80</v>
      </c>
      <c r="C35" s="31">
        <f t="shared" si="19"/>
        <v>840</v>
      </c>
      <c r="D35" s="13">
        <f t="shared" si="12"/>
        <v>14</v>
      </c>
      <c r="E35" s="89"/>
      <c r="F35" s="89"/>
      <c r="G35" s="90"/>
      <c r="H35" s="96">
        <f t="shared" si="13"/>
        <v>0.35423943201701036</v>
      </c>
      <c r="I35" s="96">
        <f t="shared" si="14"/>
        <v>0.35423943201701036</v>
      </c>
      <c r="J35" s="96">
        <f t="shared" si="15"/>
        <v>0.35423943201701036</v>
      </c>
      <c r="K35" s="90">
        <f>((H35-'Calibration F. prausnitzii'!$D$45)/'Calibration F. prausnitzii'!$D$44)+$B$65</f>
        <v>14.633959540830418</v>
      </c>
      <c r="L35" s="90">
        <f>((I35-'Calibration F. prausnitzii'!$D$45)/'Calibration F. prausnitzii'!$D$44)+$B$65</f>
        <v>14.633959540830418</v>
      </c>
      <c r="M35" s="90">
        <f>((J35-'Calibration F. prausnitzii'!$D$45)/'Calibration F. prausnitzii'!$D$44)+$B$65</f>
        <v>14.633959540830418</v>
      </c>
      <c r="N35" s="97">
        <f t="shared" si="16"/>
        <v>14.633959540830418</v>
      </c>
      <c r="O35" s="97">
        <f t="shared" si="17"/>
        <v>0</v>
      </c>
      <c r="P35" s="98">
        <f>(AVERAGE(POWER(10,K35),POWER(10,L35),POWER(10,M35)))*(Calculation!$I14/Calculation!$K13)</f>
        <v>442807409031824.81</v>
      </c>
      <c r="Q35" s="98">
        <f>(STDEV(POWER(10,K35),POWER(10,L35),POWER(10,M35))*(Calculation!$I14/Calculation!$K13))</f>
        <v>0</v>
      </c>
      <c r="R35" s="97">
        <f t="shared" si="18"/>
        <v>14.646214878861423</v>
      </c>
      <c r="S35" s="97">
        <f>O35*(Calculation!$I14/Calculation!$K13)</f>
        <v>0</v>
      </c>
    </row>
    <row r="36" spans="1:19">
      <c r="A36" s="39">
        <v>11</v>
      </c>
      <c r="B36" s="31">
        <v>80</v>
      </c>
      <c r="C36" s="31">
        <f t="shared" si="19"/>
        <v>920</v>
      </c>
      <c r="D36" s="13">
        <f t="shared" si="12"/>
        <v>15.333333333333334</v>
      </c>
      <c r="E36" s="89"/>
      <c r="F36" s="89"/>
      <c r="G36" s="90"/>
      <c r="H36" s="96">
        <f t="shared" si="13"/>
        <v>0.35423943201701036</v>
      </c>
      <c r="I36" s="96">
        <f t="shared" si="14"/>
        <v>0.35423943201701036</v>
      </c>
      <c r="J36" s="96">
        <f t="shared" si="15"/>
        <v>0.35423943201701036</v>
      </c>
      <c r="K36" s="90">
        <f>((H36-'Calibration F. prausnitzii'!$D$45)/'Calibration F. prausnitzii'!$D$44)+$B$65</f>
        <v>14.633959540830418</v>
      </c>
      <c r="L36" s="90">
        <f>((I36-'Calibration F. prausnitzii'!$D$45)/'Calibration F. prausnitzii'!$D$44)+$B$65</f>
        <v>14.633959540830418</v>
      </c>
      <c r="M36" s="90">
        <f>((J36-'Calibration F. prausnitzii'!$D$45)/'Calibration F. prausnitzii'!$D$44)+$B$65</f>
        <v>14.633959540830418</v>
      </c>
      <c r="N36" s="97">
        <f t="shared" si="16"/>
        <v>14.633959540830418</v>
      </c>
      <c r="O36" s="97">
        <f t="shared" si="17"/>
        <v>0</v>
      </c>
      <c r="P36" s="98">
        <f>(AVERAGE(POWER(10,K36),POWER(10,L36),POWER(10,M36)))*(Calculation!$I15/Calculation!$K14)</f>
        <v>442807409031824.81</v>
      </c>
      <c r="Q36" s="98">
        <f>(STDEV(POWER(10,K36),POWER(10,L36),POWER(10,M36))*(Calculation!$I15/Calculation!$K14))</f>
        <v>0</v>
      </c>
      <c r="R36" s="97">
        <f t="shared" si="18"/>
        <v>14.646214878861423</v>
      </c>
      <c r="S36" s="97">
        <f>O36*(Calculation!$I15/Calculation!$K14)</f>
        <v>0</v>
      </c>
    </row>
    <row r="37" spans="1:19">
      <c r="A37" s="39">
        <v>12</v>
      </c>
      <c r="B37" s="31">
        <v>80</v>
      </c>
      <c r="C37" s="31">
        <f t="shared" si="19"/>
        <v>1000</v>
      </c>
      <c r="D37" s="13">
        <f t="shared" si="12"/>
        <v>16.666666666666668</v>
      </c>
      <c r="E37" s="89"/>
      <c r="F37" s="89"/>
      <c r="G37" s="90"/>
      <c r="H37" s="96">
        <f t="shared" si="13"/>
        <v>0.35423943201701036</v>
      </c>
      <c r="I37" s="96">
        <f t="shared" si="14"/>
        <v>0.35423943201701036</v>
      </c>
      <c r="J37" s="96">
        <f t="shared" si="15"/>
        <v>0.35423943201701036</v>
      </c>
      <c r="K37" s="90">
        <f>((H37-'Calibration F. prausnitzii'!$D$45)/'Calibration F. prausnitzii'!$D$44)+$B$65</f>
        <v>14.633959540830418</v>
      </c>
      <c r="L37" s="90">
        <f>((I37-'Calibration F. prausnitzii'!$D$45)/'Calibration F. prausnitzii'!$D$44)+$B$65</f>
        <v>14.633959540830418</v>
      </c>
      <c r="M37" s="90">
        <f>((J37-'Calibration F. prausnitzii'!$D$45)/'Calibration F. prausnitzii'!$D$44)+$B$65</f>
        <v>14.633959540830418</v>
      </c>
      <c r="N37" s="97">
        <f t="shared" si="16"/>
        <v>14.633959540830418</v>
      </c>
      <c r="O37" s="97">
        <f t="shared" si="17"/>
        <v>0</v>
      </c>
      <c r="P37" s="98">
        <f>(AVERAGE(POWER(10,K37),POWER(10,L37),POWER(10,M37)))*(Calculation!$I16/Calculation!$K15)</f>
        <v>443238995200471.81</v>
      </c>
      <c r="Q37" s="98">
        <f>(STDEV(POWER(10,K37),POWER(10,L37),POWER(10,M37))*(Calculation!$I16/Calculation!$K15))</f>
        <v>0</v>
      </c>
      <c r="R37" s="97">
        <f t="shared" si="18"/>
        <v>14.646637961682904</v>
      </c>
      <c r="S37" s="97">
        <f>O37*(Calculation!$I16/Calculation!$K15)</f>
        <v>0</v>
      </c>
    </row>
    <row r="38" spans="1:19">
      <c r="A38" s="39">
        <v>13</v>
      </c>
      <c r="B38" s="31">
        <v>80</v>
      </c>
      <c r="C38" s="31">
        <f t="shared" si="19"/>
        <v>1080</v>
      </c>
      <c r="D38" s="13">
        <f t="shared" si="12"/>
        <v>18</v>
      </c>
      <c r="E38" s="89"/>
      <c r="F38" s="89"/>
      <c r="G38" s="90"/>
      <c r="H38" s="96">
        <f t="shared" si="13"/>
        <v>0.35423943201701036</v>
      </c>
      <c r="I38" s="96">
        <f t="shared" si="14"/>
        <v>0.35423943201701036</v>
      </c>
      <c r="J38" s="96">
        <f t="shared" si="15"/>
        <v>0.35423943201701036</v>
      </c>
      <c r="K38" s="90">
        <f>((H38-'Calibration F. prausnitzii'!$D$45)/'Calibration F. prausnitzii'!$D$44)+$B$65</f>
        <v>14.633959540830418</v>
      </c>
      <c r="L38" s="90">
        <f>((I38-'Calibration F. prausnitzii'!$D$45)/'Calibration F. prausnitzii'!$D$44)+$B$65</f>
        <v>14.633959540830418</v>
      </c>
      <c r="M38" s="90">
        <f>((J38-'Calibration F. prausnitzii'!$D$45)/'Calibration F. prausnitzii'!$D$44)+$B$65</f>
        <v>14.633959540830418</v>
      </c>
      <c r="N38" s="97">
        <f t="shared" si="16"/>
        <v>14.633959540830418</v>
      </c>
      <c r="O38" s="97">
        <f t="shared" si="17"/>
        <v>0</v>
      </c>
      <c r="P38" s="98">
        <f>(AVERAGE(POWER(10,K38),POWER(10,L38),POWER(10,M38)))*(Calculation!$I17/Calculation!$K16)</f>
        <v>443238995200471.81</v>
      </c>
      <c r="Q38" s="98">
        <f>(STDEV(POWER(10,K38),POWER(10,L38),POWER(10,M38))*(Calculation!$I17/Calculation!$K16))</f>
        <v>0</v>
      </c>
      <c r="R38" s="97">
        <f t="shared" si="18"/>
        <v>14.646637961682904</v>
      </c>
      <c r="S38" s="97">
        <f>O38*(Calculation!$I17/Calculation!$K16)</f>
        <v>0</v>
      </c>
    </row>
    <row r="39" spans="1:19">
      <c r="A39" s="39">
        <v>14</v>
      </c>
      <c r="B39" s="31">
        <v>360</v>
      </c>
      <c r="C39" s="31">
        <f t="shared" si="19"/>
        <v>1440</v>
      </c>
      <c r="D39" s="13">
        <f t="shared" si="12"/>
        <v>24</v>
      </c>
      <c r="E39" s="89"/>
      <c r="F39" s="89"/>
      <c r="G39" s="90"/>
      <c r="H39" s="96">
        <f t="shared" si="13"/>
        <v>0.35423943201701036</v>
      </c>
      <c r="I39" s="96">
        <f t="shared" si="14"/>
        <v>0.35423943201701036</v>
      </c>
      <c r="J39" s="96">
        <f t="shared" si="15"/>
        <v>0.35423943201701036</v>
      </c>
      <c r="K39" s="90">
        <f>((H39-'Calibration F. prausnitzii'!$D$45)/'Calibration F. prausnitzii'!$D$44)+$B$65</f>
        <v>14.633959540830418</v>
      </c>
      <c r="L39" s="90">
        <f>((I39-'Calibration F. prausnitzii'!$D$45)/'Calibration F. prausnitzii'!$D$44)+$B$65</f>
        <v>14.633959540830418</v>
      </c>
      <c r="M39" s="90">
        <f>((J39-'Calibration F. prausnitzii'!$D$45)/'Calibration F. prausnitzii'!$D$44)+$B$65</f>
        <v>14.633959540830418</v>
      </c>
      <c r="N39" s="97">
        <f t="shared" si="16"/>
        <v>14.633959540830418</v>
      </c>
      <c r="O39" s="97">
        <f t="shared" si="17"/>
        <v>0</v>
      </c>
      <c r="P39" s="98">
        <f>(AVERAGE(POWER(10,K39),POWER(10,L39),POWER(10,M39)))*(Calculation!$I18/Calculation!$K17)</f>
        <v>443719210796572</v>
      </c>
      <c r="Q39" s="98">
        <f>(STDEV(POWER(10,K39),POWER(10,L39),POWER(10,M39))*(Calculation!$I18/Calculation!$K17))</f>
        <v>0</v>
      </c>
      <c r="R39" s="97">
        <f t="shared" si="18"/>
        <v>14.6471082318771</v>
      </c>
      <c r="S39" s="97">
        <f>O39*(Calculation!$I18/Calculation!$K17)</f>
        <v>0</v>
      </c>
    </row>
    <row r="40" spans="1:19">
      <c r="A40" s="39">
        <v>15</v>
      </c>
      <c r="B40" s="31">
        <v>360</v>
      </c>
      <c r="C40" s="31">
        <f>C39+B40</f>
        <v>1800</v>
      </c>
      <c r="D40" s="13">
        <f t="shared" si="12"/>
        <v>30</v>
      </c>
      <c r="E40" s="89"/>
      <c r="F40" s="89"/>
      <c r="G40" s="90"/>
      <c r="H40" s="96">
        <f t="shared" si="13"/>
        <v>0.35423943201701036</v>
      </c>
      <c r="I40" s="96">
        <f t="shared" si="14"/>
        <v>0.35423943201701036</v>
      </c>
      <c r="J40" s="96">
        <f t="shared" si="15"/>
        <v>0.35423943201701036</v>
      </c>
      <c r="K40" s="90">
        <f>((H40-'Calibration F. prausnitzii'!$D$45)/'Calibration F. prausnitzii'!$D$44)+$B$65</f>
        <v>14.633959540830418</v>
      </c>
      <c r="L40" s="90">
        <f>((I40-'Calibration F. prausnitzii'!$D$45)/'Calibration F. prausnitzii'!$D$44)+$B$65</f>
        <v>14.633959540830418</v>
      </c>
      <c r="M40" s="90">
        <f>((J40-'Calibration F. prausnitzii'!$D$45)/'Calibration F. prausnitzii'!$D$44)+$B$65</f>
        <v>14.633959540830418</v>
      </c>
      <c r="N40" s="97">
        <f t="shared" si="16"/>
        <v>14.633959540830418</v>
      </c>
      <c r="O40" s="97">
        <f t="shared" si="17"/>
        <v>0</v>
      </c>
      <c r="P40" s="98">
        <f>(AVERAGE(POWER(10,K40),POWER(10,L40),POWER(10,M40)))*(Calculation!$I19/Calculation!$K18)</f>
        <v>443719210796572</v>
      </c>
      <c r="Q40" s="98">
        <f>(STDEV(POWER(10,K40),POWER(10,L40),POWER(10,M40))*(Calculation!$I19/Calculation!$K18))</f>
        <v>0</v>
      </c>
      <c r="R40" s="97">
        <f t="shared" si="18"/>
        <v>14.6471082318771</v>
      </c>
      <c r="S40" s="97">
        <f>O40*(Calculation!$I19/Calculation!$K18)</f>
        <v>0</v>
      </c>
    </row>
    <row r="41" spans="1:19">
      <c r="A41" s="39">
        <v>16</v>
      </c>
      <c r="B41" s="31">
        <v>1080</v>
      </c>
      <c r="C41" s="31">
        <f>C40+B41</f>
        <v>2880</v>
      </c>
      <c r="D41" s="13">
        <f t="shared" si="12"/>
        <v>48</v>
      </c>
      <c r="E41" s="89"/>
      <c r="F41" s="89"/>
      <c r="G41" s="90"/>
      <c r="H41" s="96">
        <f t="shared" si="13"/>
        <v>0.35423943201701036</v>
      </c>
      <c r="I41" s="96">
        <f t="shared" si="14"/>
        <v>0.35423943201701036</v>
      </c>
      <c r="J41" s="96">
        <f t="shared" si="15"/>
        <v>0.35423943201701036</v>
      </c>
      <c r="K41" s="90">
        <f>((H41-'Calibration F. prausnitzii'!$D$45)/'Calibration F. prausnitzii'!$D$44)+$B$65</f>
        <v>14.633959540830418</v>
      </c>
      <c r="L41" s="90">
        <f>((I41-'Calibration F. prausnitzii'!$D$45)/'Calibration F. prausnitzii'!$D$44)+$B$65</f>
        <v>14.633959540830418</v>
      </c>
      <c r="M41" s="90">
        <f>((J41-'Calibration F. prausnitzii'!$D$45)/'Calibration F. prausnitzii'!$D$44)+$B$65</f>
        <v>14.633959540830418</v>
      </c>
      <c r="N41" s="97">
        <f t="shared" si="16"/>
        <v>14.633959540830418</v>
      </c>
      <c r="O41" s="97">
        <f t="shared" si="17"/>
        <v>0</v>
      </c>
      <c r="P41" s="98">
        <f>(AVERAGE(POWER(10,K41),POWER(10,L41),POWER(10,M41)))*(Calculation!$I20/Calculation!$K19)</f>
        <v>443719210796572</v>
      </c>
      <c r="Q41" s="98">
        <f>(STDEV(POWER(10,K41),POWER(10,L41),POWER(10,M41))*(Calculation!$I20/Calculation!$K19))</f>
        <v>0</v>
      </c>
      <c r="R41" s="97">
        <f t="shared" si="18"/>
        <v>14.6471082318771</v>
      </c>
      <c r="S41" s="97">
        <f>O41*(Calculation!$I20/Calculation!$K19)</f>
        <v>0</v>
      </c>
    </row>
    <row r="42" spans="1:19"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</row>
    <row r="43" spans="1:19">
      <c r="A43" s="95" t="s">
        <v>213</v>
      </c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</row>
    <row r="44" spans="1:19">
      <c r="A44" s="114" t="s">
        <v>4</v>
      </c>
      <c r="B44" s="114" t="s">
        <v>116</v>
      </c>
      <c r="C44" s="114" t="s">
        <v>116</v>
      </c>
      <c r="D44" s="114" t="s">
        <v>5</v>
      </c>
      <c r="E44" s="128" t="s">
        <v>214</v>
      </c>
      <c r="F44" s="128" t="s">
        <v>215</v>
      </c>
      <c r="G44" s="128" t="s">
        <v>216</v>
      </c>
      <c r="H44" s="130" t="s">
        <v>217</v>
      </c>
      <c r="I44" s="130" t="s">
        <v>218</v>
      </c>
      <c r="J44" s="130" t="s">
        <v>219</v>
      </c>
      <c r="K44" s="128" t="s">
        <v>220</v>
      </c>
      <c r="L44" s="128" t="s">
        <v>221</v>
      </c>
      <c r="M44" s="128" t="s">
        <v>222</v>
      </c>
      <c r="N44" s="128" t="s">
        <v>223</v>
      </c>
      <c r="O44" s="128" t="s">
        <v>224</v>
      </c>
      <c r="P44" s="130" t="s">
        <v>225</v>
      </c>
      <c r="Q44" s="130" t="s">
        <v>226</v>
      </c>
      <c r="R44" s="130" t="s">
        <v>227</v>
      </c>
      <c r="S44" s="130" t="s">
        <v>228</v>
      </c>
    </row>
    <row r="45" spans="1:19">
      <c r="A45" s="115"/>
      <c r="B45" s="115"/>
      <c r="C45" s="115"/>
      <c r="D45" s="115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</row>
    <row r="46" spans="1:19">
      <c r="A46" s="39">
        <v>0</v>
      </c>
      <c r="B46" s="31">
        <v>10</v>
      </c>
      <c r="C46" s="31">
        <f>B46</f>
        <v>10</v>
      </c>
      <c r="D46" s="13">
        <f t="shared" ref="D46:D62" si="20">C46/60</f>
        <v>0.16666666666666666</v>
      </c>
      <c r="E46" s="89"/>
      <c r="F46" s="89"/>
      <c r="G46" s="90"/>
      <c r="H46" s="96">
        <f t="shared" ref="H46:J52" si="21">E46-$H$75+$H$81</f>
        <v>0.35423943201701036</v>
      </c>
      <c r="I46" s="96">
        <f t="shared" si="21"/>
        <v>0.35423943201701036</v>
      </c>
      <c r="J46" s="96">
        <f t="shared" si="21"/>
        <v>0.35423943201701036</v>
      </c>
      <c r="K46" s="90">
        <f>((H46-'Calibration F. prausnitzii'!$D$45)/'Calibration F. prausnitzii'!$D$44)+$B$65</f>
        <v>14.633959540830418</v>
      </c>
      <c r="L46" s="90">
        <f>((I46-'Calibration F. prausnitzii'!$D$45)/'Calibration F. prausnitzii'!$D$44)+$B$65</f>
        <v>14.633959540830418</v>
      </c>
      <c r="M46" s="90">
        <f>((J46-'Calibration F. prausnitzii'!$D$45)/'Calibration F. prausnitzii'!$D$44)+$B$65</f>
        <v>14.633959540830418</v>
      </c>
      <c r="N46" s="97">
        <f>AVERAGE(K46:M46)</f>
        <v>14.633959540830418</v>
      </c>
      <c r="O46" s="97">
        <f>STDEV(K46:M46)</f>
        <v>0</v>
      </c>
      <c r="P46" s="98">
        <f>(AVERAGE(POWER(10,K46),POWER(10,L46),POWER(10,M46)))*(Calculation!$I4/Calculation!$K3)</f>
        <v>430486504207789.5</v>
      </c>
      <c r="Q46" s="98">
        <f>(STDEV(POWER(10,K46),POWER(10,L46),POWER(10,M46))*(Calculation!$I4/Calculation!$K3))</f>
        <v>0</v>
      </c>
      <c r="R46" s="97">
        <f>LOG(P46)</f>
        <v>14.633959540830419</v>
      </c>
      <c r="S46" s="97">
        <f>O46*(Calculation!$I4/Calculation!$K3)</f>
        <v>0</v>
      </c>
    </row>
    <row r="47" spans="1:19">
      <c r="A47" s="39">
        <v>1</v>
      </c>
      <c r="B47" s="31">
        <v>110</v>
      </c>
      <c r="C47" s="31">
        <f>C46+B47</f>
        <v>120</v>
      </c>
      <c r="D47" s="13">
        <f t="shared" si="20"/>
        <v>2</v>
      </c>
      <c r="E47" s="89"/>
      <c r="F47" s="89"/>
      <c r="G47" s="90"/>
      <c r="H47" s="96">
        <f t="shared" si="21"/>
        <v>0.35423943201701036</v>
      </c>
      <c r="I47" s="96">
        <f t="shared" si="21"/>
        <v>0.35423943201701036</v>
      </c>
      <c r="J47" s="96">
        <f t="shared" si="21"/>
        <v>0.35423943201701036</v>
      </c>
      <c r="K47" s="90">
        <f>((H47-'Calibration F. prausnitzii'!$D$45)/'Calibration F. prausnitzii'!$D$44)+$B$65</f>
        <v>14.633959540830418</v>
      </c>
      <c r="L47" s="90">
        <f>((I47-'Calibration F. prausnitzii'!$D$45)/'Calibration F. prausnitzii'!$D$44)+$B$65</f>
        <v>14.633959540830418</v>
      </c>
      <c r="M47" s="90">
        <f>((J47-'Calibration F. prausnitzii'!$D$45)/'Calibration F. prausnitzii'!$D$44)+$B$65</f>
        <v>14.633959540830418</v>
      </c>
      <c r="N47" s="97">
        <f t="shared" ref="N47:N62" si="22">AVERAGE(K47:M47)</f>
        <v>14.633959540830418</v>
      </c>
      <c r="O47" s="97">
        <f t="shared" ref="O47:O62" si="23">STDEV(K47:M47)</f>
        <v>0</v>
      </c>
      <c r="P47" s="98">
        <f>(AVERAGE(POWER(10,K47),POWER(10,L47),POWER(10,M47)))*(Calculation!$I5/Calculation!$K4)</f>
        <v>430486504207789.5</v>
      </c>
      <c r="Q47" s="98">
        <f>(STDEV(POWER(10,K47),POWER(10,L47),POWER(10,M47))*(Calculation!$I5/Calculation!$K4))</f>
        <v>0</v>
      </c>
      <c r="R47" s="97">
        <f t="shared" ref="R47:R62" si="24">LOG(P47)</f>
        <v>14.633959540830419</v>
      </c>
      <c r="S47" s="97">
        <f>O47*(Calculation!$I5/Calculation!$K4)</f>
        <v>0</v>
      </c>
    </row>
    <row r="48" spans="1:19">
      <c r="A48" s="39">
        <v>2</v>
      </c>
      <c r="B48" s="31">
        <v>80</v>
      </c>
      <c r="C48" s="31">
        <f>C47+B48</f>
        <v>200</v>
      </c>
      <c r="D48" s="13">
        <f t="shared" si="20"/>
        <v>3.3333333333333335</v>
      </c>
      <c r="E48" s="89"/>
      <c r="F48" s="89"/>
      <c r="G48" s="90"/>
      <c r="H48" s="96">
        <f t="shared" si="21"/>
        <v>0.35423943201701036</v>
      </c>
      <c r="I48" s="96">
        <f t="shared" si="21"/>
        <v>0.35423943201701036</v>
      </c>
      <c r="J48" s="96">
        <f t="shared" si="21"/>
        <v>0.35423943201701036</v>
      </c>
      <c r="K48" s="90">
        <f>((H48-'Calibration F. prausnitzii'!$D$45)/'Calibration F. prausnitzii'!$D$44)+$B$65</f>
        <v>14.633959540830418</v>
      </c>
      <c r="L48" s="90">
        <f>((I48-'Calibration F. prausnitzii'!$D$45)/'Calibration F. prausnitzii'!$D$44)+$B$65</f>
        <v>14.633959540830418</v>
      </c>
      <c r="M48" s="90">
        <f>((J48-'Calibration F. prausnitzii'!$D$45)/'Calibration F. prausnitzii'!$D$44)+$B$65</f>
        <v>14.633959540830418</v>
      </c>
      <c r="N48" s="97">
        <f t="shared" si="22"/>
        <v>14.633959540830418</v>
      </c>
      <c r="O48" s="97">
        <f t="shared" si="23"/>
        <v>0</v>
      </c>
      <c r="P48" s="98">
        <f>(AVERAGE(POWER(10,K48),POWER(10,L48),POWER(10,M48)))*(Calculation!$I6/Calculation!$K5)</f>
        <v>430486504207789.5</v>
      </c>
      <c r="Q48" s="98">
        <f>(STDEV(POWER(10,K48),POWER(10,L48),POWER(10,M48))*(Calculation!$I6/Calculation!$K5))</f>
        <v>0</v>
      </c>
      <c r="R48" s="97">
        <f t="shared" si="24"/>
        <v>14.633959540830419</v>
      </c>
      <c r="S48" s="97">
        <f>O48*(Calculation!$I6/Calculation!$K5)</f>
        <v>0</v>
      </c>
    </row>
    <row r="49" spans="1:19">
      <c r="A49" s="39">
        <v>3</v>
      </c>
      <c r="B49" s="31">
        <v>80</v>
      </c>
      <c r="C49" s="31">
        <f>C48+B49</f>
        <v>280</v>
      </c>
      <c r="D49" s="13">
        <f t="shared" si="20"/>
        <v>4.666666666666667</v>
      </c>
      <c r="E49" s="89"/>
      <c r="F49" s="89"/>
      <c r="G49" s="90"/>
      <c r="H49" s="96">
        <f t="shared" si="21"/>
        <v>0.35423943201701036</v>
      </c>
      <c r="I49" s="96">
        <f t="shared" si="21"/>
        <v>0.35423943201701036</v>
      </c>
      <c r="J49" s="96">
        <f t="shared" si="21"/>
        <v>0.35423943201701036</v>
      </c>
      <c r="K49" s="90">
        <f>((H49-'Calibration F. prausnitzii'!$D$45)/'Calibration F. prausnitzii'!$D$44)+$B$65</f>
        <v>14.633959540830418</v>
      </c>
      <c r="L49" s="90">
        <f>((I49-'Calibration F. prausnitzii'!$D$45)/'Calibration F. prausnitzii'!$D$44)+$B$65</f>
        <v>14.633959540830418</v>
      </c>
      <c r="M49" s="90">
        <f>((J49-'Calibration F. prausnitzii'!$D$45)/'Calibration F. prausnitzii'!$D$44)+$B$65</f>
        <v>14.633959540830418</v>
      </c>
      <c r="N49" s="97">
        <f t="shared" si="22"/>
        <v>14.633959540830418</v>
      </c>
      <c r="O49" s="97">
        <f t="shared" si="23"/>
        <v>0</v>
      </c>
      <c r="P49" s="98">
        <f>(AVERAGE(POWER(10,K49),POWER(10,L49),POWER(10,M49)))*(Calculation!$I7/Calculation!$K6)</f>
        <v>430795761753915.81</v>
      </c>
      <c r="Q49" s="98">
        <f>(STDEV(POWER(10,K49),POWER(10,L49),POWER(10,M49))*(Calculation!$I7/Calculation!$K6))</f>
        <v>0</v>
      </c>
      <c r="R49" s="97">
        <f t="shared" si="24"/>
        <v>14.63427142197984</v>
      </c>
      <c r="S49" s="97">
        <f>O49*(Calculation!$I7/Calculation!$K6)</f>
        <v>0</v>
      </c>
    </row>
    <row r="50" spans="1:19">
      <c r="A50" s="39">
        <v>4</v>
      </c>
      <c r="B50" s="31">
        <v>80</v>
      </c>
      <c r="C50" s="31">
        <f t="shared" ref="C50:C60" si="25">C49+B50</f>
        <v>360</v>
      </c>
      <c r="D50" s="13">
        <f t="shared" si="20"/>
        <v>6</v>
      </c>
      <c r="E50" s="89"/>
      <c r="F50" s="89"/>
      <c r="G50" s="90"/>
      <c r="H50" s="96">
        <f t="shared" si="21"/>
        <v>0.35423943201701036</v>
      </c>
      <c r="I50" s="96">
        <f t="shared" si="21"/>
        <v>0.35423943201701036</v>
      </c>
      <c r="J50" s="96">
        <f t="shared" si="21"/>
        <v>0.35423943201701036</v>
      </c>
      <c r="K50" s="90">
        <f>((H50-'Calibration F. prausnitzii'!$D$45)/'Calibration F. prausnitzii'!$D$44)+$B$65</f>
        <v>14.633959540830418</v>
      </c>
      <c r="L50" s="90">
        <f>((I50-'Calibration F. prausnitzii'!$D$45)/'Calibration F. prausnitzii'!$D$44)+$B$65</f>
        <v>14.633959540830418</v>
      </c>
      <c r="M50" s="90">
        <f>((J50-'Calibration F. prausnitzii'!$D$45)/'Calibration F. prausnitzii'!$D$44)+$B$65</f>
        <v>14.633959540830418</v>
      </c>
      <c r="N50" s="97">
        <f t="shared" si="22"/>
        <v>14.633959540830418</v>
      </c>
      <c r="O50" s="97">
        <f t="shared" si="23"/>
        <v>0</v>
      </c>
      <c r="P50" s="98">
        <f>(AVERAGE(POWER(10,K50),POWER(10,L50),POWER(10,M50)))*(Calculation!$I8/Calculation!$K7)</f>
        <v>431114397672372.88</v>
      </c>
      <c r="Q50" s="98">
        <f>(STDEV(POWER(10,K50),POWER(10,L50),POWER(10,M50))*(Calculation!$I8/Calculation!$K7))</f>
        <v>0</v>
      </c>
      <c r="R50" s="97">
        <f t="shared" si="24"/>
        <v>14.634592526971845</v>
      </c>
      <c r="S50" s="97">
        <f>O50*(Calculation!$I8/Calculation!$K7)</f>
        <v>0</v>
      </c>
    </row>
    <row r="51" spans="1:19">
      <c r="A51" s="39">
        <v>5</v>
      </c>
      <c r="B51" s="31">
        <v>80</v>
      </c>
      <c r="C51" s="31">
        <f t="shared" si="25"/>
        <v>440</v>
      </c>
      <c r="D51" s="13">
        <f t="shared" si="20"/>
        <v>7.333333333333333</v>
      </c>
      <c r="E51" s="89"/>
      <c r="F51" s="89"/>
      <c r="G51" s="90"/>
      <c r="H51" s="96">
        <f t="shared" si="21"/>
        <v>0.35423943201701036</v>
      </c>
      <c r="I51" s="96">
        <f t="shared" si="21"/>
        <v>0.35423943201701036</v>
      </c>
      <c r="J51" s="96">
        <f t="shared" si="21"/>
        <v>0.35423943201701036</v>
      </c>
      <c r="K51" s="90">
        <f>((H51-'Calibration F. prausnitzii'!$D$45)/'Calibration F. prausnitzii'!$D$44)+$B$65</f>
        <v>14.633959540830418</v>
      </c>
      <c r="L51" s="90">
        <f>((I51-'Calibration F. prausnitzii'!$D$45)/'Calibration F. prausnitzii'!$D$44)+$B$65</f>
        <v>14.633959540830418</v>
      </c>
      <c r="M51" s="90">
        <f>((J51-'Calibration F. prausnitzii'!$D$45)/'Calibration F. prausnitzii'!$D$44)+$B$65</f>
        <v>14.633959540830418</v>
      </c>
      <c r="N51" s="97">
        <f t="shared" si="22"/>
        <v>14.633959540830418</v>
      </c>
      <c r="O51" s="97">
        <f t="shared" si="23"/>
        <v>0</v>
      </c>
      <c r="P51" s="98">
        <f>(AVERAGE(POWER(10,K51),POWER(10,L51),POWER(10,M51)))*(Calculation!$I9/Calculation!$K8)</f>
        <v>432433799042448.94</v>
      </c>
      <c r="Q51" s="98">
        <f>(STDEV(POWER(10,K51),POWER(10,L51),POWER(10,M51))*(Calculation!$I9/Calculation!$K8))</f>
        <v>0</v>
      </c>
      <c r="R51" s="97">
        <f t="shared" si="24"/>
        <v>14.635919631081386</v>
      </c>
      <c r="S51" s="97">
        <f>O51*(Calculation!$I9/Calculation!$K8)</f>
        <v>0</v>
      </c>
    </row>
    <row r="52" spans="1:19">
      <c r="A52" s="39">
        <v>6</v>
      </c>
      <c r="B52" s="31">
        <v>80</v>
      </c>
      <c r="C52" s="31">
        <f t="shared" si="25"/>
        <v>520</v>
      </c>
      <c r="D52" s="13">
        <f t="shared" si="20"/>
        <v>8.6666666666666661</v>
      </c>
      <c r="E52" s="89"/>
      <c r="F52" s="89"/>
      <c r="G52" s="90"/>
      <c r="H52" s="96">
        <f t="shared" si="21"/>
        <v>0.35423943201701036</v>
      </c>
      <c r="I52" s="96">
        <f t="shared" si="21"/>
        <v>0.35423943201701036</v>
      </c>
      <c r="J52" s="96">
        <f t="shared" si="21"/>
        <v>0.35423943201701036</v>
      </c>
      <c r="K52" s="90">
        <f>((H52-'Calibration F. prausnitzii'!$D$45)/'Calibration F. prausnitzii'!$D$44)+$B$65</f>
        <v>14.633959540830418</v>
      </c>
      <c r="L52" s="90">
        <f>((I52-'Calibration F. prausnitzii'!$D$45)/'Calibration F. prausnitzii'!$D$44)+$B$65</f>
        <v>14.633959540830418</v>
      </c>
      <c r="M52" s="90">
        <f>((J52-'Calibration F. prausnitzii'!$D$45)/'Calibration F. prausnitzii'!$D$44)+$B$65</f>
        <v>14.633959540830418</v>
      </c>
      <c r="N52" s="97">
        <f t="shared" si="22"/>
        <v>14.633959540830418</v>
      </c>
      <c r="O52" s="97">
        <f t="shared" si="23"/>
        <v>0</v>
      </c>
      <c r="P52" s="98">
        <f>(AVERAGE(POWER(10,K52),POWER(10,L52),POWER(10,M52)))*(Calculation!$I10/Calculation!$K9)</f>
        <v>435166398088530.81</v>
      </c>
      <c r="Q52" s="98">
        <f>(STDEV(POWER(10,K52),POWER(10,L52),POWER(10,M52))*(Calculation!$I10/Calculation!$K9))</f>
        <v>0</v>
      </c>
      <c r="R52" s="97">
        <f t="shared" si="24"/>
        <v>14.638655353399381</v>
      </c>
      <c r="S52" s="97">
        <f>O52*(Calculation!$I10/Calculation!$K9)</f>
        <v>0</v>
      </c>
    </row>
    <row r="53" spans="1:19">
      <c r="A53" s="39">
        <v>7</v>
      </c>
      <c r="B53" s="31">
        <v>80</v>
      </c>
      <c r="C53" s="31">
        <f t="shared" si="25"/>
        <v>600</v>
      </c>
      <c r="D53" s="13">
        <f t="shared" si="20"/>
        <v>10</v>
      </c>
      <c r="E53" s="89"/>
      <c r="F53" s="89"/>
      <c r="G53" s="90"/>
      <c r="H53" s="96">
        <f>E53-$H$76+$H$81</f>
        <v>-0.96108026504516353</v>
      </c>
      <c r="I53" s="96">
        <f t="shared" ref="I53:J62" si="26">F53-$H$76+$H$81</f>
        <v>-0.96108026504516353</v>
      </c>
      <c r="J53" s="96">
        <f t="shared" si="26"/>
        <v>-0.96108026504516353</v>
      </c>
      <c r="K53" s="90">
        <f>((H53-'Calibration F. prausnitzii'!$D$45)/'Calibration F. prausnitzii'!$D$44)+$B$65</f>
        <v>15.038885100988706</v>
      </c>
      <c r="L53" s="90">
        <f>((I53-'Calibration F. prausnitzii'!$D$45)/'Calibration F. prausnitzii'!$D$44)+$B$65</f>
        <v>15.038885100988706</v>
      </c>
      <c r="M53" s="90">
        <f>((J53-'Calibration F. prausnitzii'!$D$45)/'Calibration F. prausnitzii'!$D$44)+$B$65</f>
        <v>15.038885100988706</v>
      </c>
      <c r="N53" s="97">
        <f t="shared" si="22"/>
        <v>15.038885100988706</v>
      </c>
      <c r="O53" s="97">
        <f t="shared" si="23"/>
        <v>0</v>
      </c>
      <c r="P53" s="98">
        <f>(AVERAGE(POWER(10,K53),POWER(10,L53),POWER(10,M53)))*(Calculation!$I11/Calculation!$K10)</f>
        <v>1112706347105648.9</v>
      </c>
      <c r="Q53" s="98">
        <f>(STDEV(POWER(10,K53),POWER(10,L53),POWER(10,M53))*(Calculation!$I11/Calculation!$K10))</f>
        <v>0</v>
      </c>
      <c r="R53" s="97">
        <f t="shared" si="24"/>
        <v>15.046380565360304</v>
      </c>
      <c r="S53" s="97">
        <f>O53*(Calculation!$I11/Calculation!$K10)</f>
        <v>0</v>
      </c>
    </row>
    <row r="54" spans="1:19">
      <c r="A54" s="39">
        <v>8</v>
      </c>
      <c r="B54" s="31">
        <v>80</v>
      </c>
      <c r="C54" s="31">
        <f t="shared" si="25"/>
        <v>680</v>
      </c>
      <c r="D54" s="13">
        <f t="shared" si="20"/>
        <v>11.333333333333334</v>
      </c>
      <c r="E54" s="89"/>
      <c r="F54" s="89"/>
      <c r="G54" s="90"/>
      <c r="H54" s="96">
        <f t="shared" ref="H54:H62" si="27">E54-$H$76+$H$81</f>
        <v>-0.96108026504516353</v>
      </c>
      <c r="I54" s="96">
        <f t="shared" si="26"/>
        <v>-0.96108026504516353</v>
      </c>
      <c r="J54" s="96">
        <f t="shared" si="26"/>
        <v>-0.96108026504516353</v>
      </c>
      <c r="K54" s="90">
        <f>((H54-'Calibration F. prausnitzii'!$D$45)/'Calibration F. prausnitzii'!$D$44)+$B$65</f>
        <v>15.038885100988706</v>
      </c>
      <c r="L54" s="90">
        <f>((I54-'Calibration F. prausnitzii'!$D$45)/'Calibration F. prausnitzii'!$D$44)+$B$65</f>
        <v>15.038885100988706</v>
      </c>
      <c r="M54" s="90">
        <f>((J54-'Calibration F. prausnitzii'!$D$45)/'Calibration F. prausnitzii'!$D$44)+$B$65</f>
        <v>15.038885100988706</v>
      </c>
      <c r="N54" s="97">
        <f t="shared" si="22"/>
        <v>15.038885100988706</v>
      </c>
      <c r="O54" s="97">
        <f t="shared" si="23"/>
        <v>0</v>
      </c>
      <c r="P54" s="98">
        <f>(AVERAGE(POWER(10,K54),POWER(10,L54),POWER(10,M54)))*(Calculation!$I12/Calculation!$K11)</f>
        <v>1119154148785896.8</v>
      </c>
      <c r="Q54" s="98">
        <f>(STDEV(POWER(10,K54),POWER(10,L54),POWER(10,M54))*(Calculation!$I12/Calculation!$K11))</f>
        <v>0</v>
      </c>
      <c r="R54" s="97">
        <f t="shared" si="24"/>
        <v>15.048889909009523</v>
      </c>
      <c r="S54" s="97">
        <f>O54*(Calculation!$I12/Calculation!$K11)</f>
        <v>0</v>
      </c>
    </row>
    <row r="55" spans="1:19">
      <c r="A55" s="39">
        <v>9</v>
      </c>
      <c r="B55" s="31">
        <v>80</v>
      </c>
      <c r="C55" s="31">
        <f t="shared" si="25"/>
        <v>760</v>
      </c>
      <c r="D55" s="13">
        <f t="shared" si="20"/>
        <v>12.666666666666666</v>
      </c>
      <c r="E55" s="89"/>
      <c r="F55" s="89"/>
      <c r="G55" s="90"/>
      <c r="H55" s="96">
        <f t="shared" si="27"/>
        <v>-0.96108026504516353</v>
      </c>
      <c r="I55" s="96">
        <f t="shared" si="26"/>
        <v>-0.96108026504516353</v>
      </c>
      <c r="J55" s="96">
        <f t="shared" si="26"/>
        <v>-0.96108026504516353</v>
      </c>
      <c r="K55" s="90">
        <f>((H55-'Calibration F. prausnitzii'!$D$45)/'Calibration F. prausnitzii'!$D$44)+$B$65</f>
        <v>15.038885100988706</v>
      </c>
      <c r="L55" s="90">
        <f>((I55-'Calibration F. prausnitzii'!$D$45)/'Calibration F. prausnitzii'!$D$44)+$B$65</f>
        <v>15.038885100988706</v>
      </c>
      <c r="M55" s="90">
        <f>((J55-'Calibration F. prausnitzii'!$D$45)/'Calibration F. prausnitzii'!$D$44)+$B$65</f>
        <v>15.038885100988706</v>
      </c>
      <c r="N55" s="97">
        <f t="shared" si="22"/>
        <v>15.038885100988706</v>
      </c>
      <c r="O55" s="97">
        <f t="shared" si="23"/>
        <v>0</v>
      </c>
      <c r="P55" s="98">
        <f>(AVERAGE(POWER(10,K55),POWER(10,L55),POWER(10,M55)))*(Calculation!$I13/Calculation!$K12)</f>
        <v>1122970531219949.2</v>
      </c>
      <c r="Q55" s="98">
        <f>(STDEV(POWER(10,K55),POWER(10,L55),POWER(10,M55))*(Calculation!$I13/Calculation!$K12))</f>
        <v>0</v>
      </c>
      <c r="R55" s="97">
        <f t="shared" si="24"/>
        <v>15.050368359737428</v>
      </c>
      <c r="S55" s="97">
        <f>O55*(Calculation!$I13/Calculation!$K12)</f>
        <v>0</v>
      </c>
    </row>
    <row r="56" spans="1:19">
      <c r="A56" s="39">
        <v>10</v>
      </c>
      <c r="B56" s="31">
        <v>80</v>
      </c>
      <c r="C56" s="31">
        <f t="shared" si="25"/>
        <v>840</v>
      </c>
      <c r="D56" s="13">
        <f t="shared" si="20"/>
        <v>14</v>
      </c>
      <c r="E56" s="89"/>
      <c r="F56" s="89"/>
      <c r="G56" s="90"/>
      <c r="H56" s="96">
        <f t="shared" si="27"/>
        <v>-0.96108026504516353</v>
      </c>
      <c r="I56" s="96">
        <f t="shared" si="26"/>
        <v>-0.96108026504516353</v>
      </c>
      <c r="J56" s="96">
        <f t="shared" si="26"/>
        <v>-0.96108026504516353</v>
      </c>
      <c r="K56" s="90">
        <f>((H56-'Calibration F. prausnitzii'!$D$45)/'Calibration F. prausnitzii'!$D$44)+$B$65</f>
        <v>15.038885100988706</v>
      </c>
      <c r="L56" s="90">
        <f>((I56-'Calibration F. prausnitzii'!$D$45)/'Calibration F. prausnitzii'!$D$44)+$B$65</f>
        <v>15.038885100988706</v>
      </c>
      <c r="M56" s="90">
        <f>((J56-'Calibration F. prausnitzii'!$D$45)/'Calibration F. prausnitzii'!$D$44)+$B$65</f>
        <v>15.038885100988706</v>
      </c>
      <c r="N56" s="97">
        <f t="shared" si="22"/>
        <v>15.038885100988706</v>
      </c>
      <c r="O56" s="97">
        <f t="shared" si="23"/>
        <v>0</v>
      </c>
      <c r="P56" s="98">
        <f>(AVERAGE(POWER(10,K56),POWER(10,L56),POWER(10,M56)))*(Calculation!$I14/Calculation!$K13)</f>
        <v>1124968699424966.8</v>
      </c>
      <c r="Q56" s="98">
        <f>(STDEV(POWER(10,K56),POWER(10,L56),POWER(10,M56))*(Calculation!$I14/Calculation!$K13))</f>
        <v>0</v>
      </c>
      <c r="R56" s="97">
        <f t="shared" si="24"/>
        <v>15.051140439019713</v>
      </c>
      <c r="S56" s="97">
        <f>O56*(Calculation!$I14/Calculation!$K13)</f>
        <v>0</v>
      </c>
    </row>
    <row r="57" spans="1:19">
      <c r="A57" s="39">
        <v>11</v>
      </c>
      <c r="B57" s="31">
        <v>80</v>
      </c>
      <c r="C57" s="31">
        <f t="shared" si="25"/>
        <v>920</v>
      </c>
      <c r="D57" s="13">
        <f t="shared" si="20"/>
        <v>15.333333333333334</v>
      </c>
      <c r="E57" s="89"/>
      <c r="F57" s="89"/>
      <c r="G57" s="90"/>
      <c r="H57" s="96">
        <f t="shared" si="27"/>
        <v>-0.96108026504516353</v>
      </c>
      <c r="I57" s="96">
        <f t="shared" si="26"/>
        <v>-0.96108026504516353</v>
      </c>
      <c r="J57" s="96">
        <f t="shared" si="26"/>
        <v>-0.96108026504516353</v>
      </c>
      <c r="K57" s="90">
        <f>((H57-'Calibration F. prausnitzii'!$D$45)/'Calibration F. prausnitzii'!$D$44)+$B$65</f>
        <v>15.038885100988706</v>
      </c>
      <c r="L57" s="90">
        <f>((I57-'Calibration F. prausnitzii'!$D$45)/'Calibration F. prausnitzii'!$D$44)+$B$65</f>
        <v>15.038885100988706</v>
      </c>
      <c r="M57" s="90">
        <f>((J57-'Calibration F. prausnitzii'!$D$45)/'Calibration F. prausnitzii'!$D$44)+$B$65</f>
        <v>15.038885100988706</v>
      </c>
      <c r="N57" s="97">
        <f t="shared" si="22"/>
        <v>15.038885100988706</v>
      </c>
      <c r="O57" s="97">
        <f t="shared" si="23"/>
        <v>0</v>
      </c>
      <c r="P57" s="98">
        <f>(AVERAGE(POWER(10,K57),POWER(10,L57),POWER(10,M57)))*(Calculation!$I15/Calculation!$K14)</f>
        <v>1124968699424966.8</v>
      </c>
      <c r="Q57" s="98">
        <f>(STDEV(POWER(10,K57),POWER(10,L57),POWER(10,M57))*(Calculation!$I15/Calculation!$K14))</f>
        <v>0</v>
      </c>
      <c r="R57" s="97">
        <f t="shared" si="24"/>
        <v>15.051140439019713</v>
      </c>
      <c r="S57" s="97">
        <f>O57*(Calculation!$I15/Calculation!$K14)</f>
        <v>0</v>
      </c>
    </row>
    <row r="58" spans="1:19">
      <c r="A58" s="39">
        <v>12</v>
      </c>
      <c r="B58" s="31">
        <v>80</v>
      </c>
      <c r="C58" s="31">
        <f t="shared" si="25"/>
        <v>1000</v>
      </c>
      <c r="D58" s="13">
        <f t="shared" si="20"/>
        <v>16.666666666666668</v>
      </c>
      <c r="E58" s="89"/>
      <c r="F58" s="89"/>
      <c r="G58" s="90"/>
      <c r="H58" s="96">
        <f t="shared" si="27"/>
        <v>-0.96108026504516353</v>
      </c>
      <c r="I58" s="96">
        <f t="shared" si="26"/>
        <v>-0.96108026504516353</v>
      </c>
      <c r="J58" s="96">
        <f t="shared" si="26"/>
        <v>-0.96108026504516353</v>
      </c>
      <c r="K58" s="90">
        <f>((H58-'Calibration F. prausnitzii'!$D$45)/'Calibration F. prausnitzii'!$D$44)+$B$65</f>
        <v>15.038885100988706</v>
      </c>
      <c r="L58" s="90">
        <f>((I58-'Calibration F. prausnitzii'!$D$45)/'Calibration F. prausnitzii'!$D$44)+$B$65</f>
        <v>15.038885100988706</v>
      </c>
      <c r="M58" s="90">
        <f>((J58-'Calibration F. prausnitzii'!$D$45)/'Calibration F. prausnitzii'!$D$44)+$B$65</f>
        <v>15.038885100988706</v>
      </c>
      <c r="N58" s="97">
        <f t="shared" si="22"/>
        <v>15.038885100988706</v>
      </c>
      <c r="O58" s="97">
        <f t="shared" si="23"/>
        <v>0</v>
      </c>
      <c r="P58" s="98">
        <f>(AVERAGE(POWER(10,K58),POWER(10,L58),POWER(10,M58)))*(Calculation!$I16/Calculation!$K15)</f>
        <v>1126065160145653.8</v>
      </c>
      <c r="Q58" s="98">
        <f>(STDEV(POWER(10,K58),POWER(10,L58),POWER(10,M58))*(Calculation!$I16/Calculation!$K15))</f>
        <v>0</v>
      </c>
      <c r="R58" s="97">
        <f t="shared" si="24"/>
        <v>15.051563521841194</v>
      </c>
      <c r="S58" s="97">
        <f>O58*(Calculation!$I16/Calculation!$K15)</f>
        <v>0</v>
      </c>
    </row>
    <row r="59" spans="1:19">
      <c r="A59" s="39">
        <v>13</v>
      </c>
      <c r="B59" s="31">
        <v>80</v>
      </c>
      <c r="C59" s="31">
        <f t="shared" si="25"/>
        <v>1080</v>
      </c>
      <c r="D59" s="13">
        <f t="shared" si="20"/>
        <v>18</v>
      </c>
      <c r="E59" s="89"/>
      <c r="F59" s="89"/>
      <c r="G59" s="90"/>
      <c r="H59" s="96">
        <f t="shared" si="27"/>
        <v>-0.96108026504516353</v>
      </c>
      <c r="I59" s="96">
        <f t="shared" si="26"/>
        <v>-0.96108026504516353</v>
      </c>
      <c r="J59" s="96">
        <f t="shared" si="26"/>
        <v>-0.96108026504516353</v>
      </c>
      <c r="K59" s="90">
        <f>((H59-'Calibration F. prausnitzii'!$D$45)/'Calibration F. prausnitzii'!$D$44)+$B$65</f>
        <v>15.038885100988706</v>
      </c>
      <c r="L59" s="90">
        <f>((I59-'Calibration F. prausnitzii'!$D$45)/'Calibration F. prausnitzii'!$D$44)+$B$65</f>
        <v>15.038885100988706</v>
      </c>
      <c r="M59" s="90">
        <f>((J59-'Calibration F. prausnitzii'!$D$45)/'Calibration F. prausnitzii'!$D$44)+$B$65</f>
        <v>15.038885100988706</v>
      </c>
      <c r="N59" s="97">
        <f t="shared" si="22"/>
        <v>15.038885100988706</v>
      </c>
      <c r="O59" s="97">
        <f t="shared" si="23"/>
        <v>0</v>
      </c>
      <c r="P59" s="98">
        <f>(AVERAGE(POWER(10,K59),POWER(10,L59),POWER(10,M59)))*(Calculation!$I17/Calculation!$K16)</f>
        <v>1126065160145653.8</v>
      </c>
      <c r="Q59" s="98">
        <f>(STDEV(POWER(10,K59),POWER(10,L59),POWER(10,M59))*(Calculation!$I17/Calculation!$K16))</f>
        <v>0</v>
      </c>
      <c r="R59" s="97">
        <f t="shared" si="24"/>
        <v>15.051563521841194</v>
      </c>
      <c r="S59" s="97">
        <f>O59*(Calculation!$I17/Calculation!$K16)</f>
        <v>0</v>
      </c>
    </row>
    <row r="60" spans="1:19">
      <c r="A60" s="39">
        <v>14</v>
      </c>
      <c r="B60" s="31">
        <v>360</v>
      </c>
      <c r="C60" s="31">
        <f t="shared" si="25"/>
        <v>1440</v>
      </c>
      <c r="D60" s="13">
        <f t="shared" si="20"/>
        <v>24</v>
      </c>
      <c r="E60" s="89"/>
      <c r="F60" s="89"/>
      <c r="G60" s="90"/>
      <c r="H60" s="96">
        <f t="shared" si="27"/>
        <v>-0.96108026504516353</v>
      </c>
      <c r="I60" s="96">
        <f t="shared" si="26"/>
        <v>-0.96108026504516353</v>
      </c>
      <c r="J60" s="96">
        <f t="shared" si="26"/>
        <v>-0.96108026504516353</v>
      </c>
      <c r="K60" s="90">
        <f>((H60-'Calibration F. prausnitzii'!$D$45)/'Calibration F. prausnitzii'!$D$44)+$B$65</f>
        <v>15.038885100988706</v>
      </c>
      <c r="L60" s="90">
        <f>((I60-'Calibration F. prausnitzii'!$D$45)/'Calibration F. prausnitzii'!$D$44)+$B$65</f>
        <v>15.038885100988706</v>
      </c>
      <c r="M60" s="90">
        <f>((J60-'Calibration F. prausnitzii'!$D$45)/'Calibration F. prausnitzii'!$D$44)+$B$65</f>
        <v>15.038885100988706</v>
      </c>
      <c r="N60" s="97">
        <f t="shared" si="22"/>
        <v>15.038885100988706</v>
      </c>
      <c r="O60" s="97">
        <f t="shared" si="23"/>
        <v>0</v>
      </c>
      <c r="P60" s="98">
        <f>(AVERAGE(POWER(10,K60),POWER(10,L60),POWER(10,M60)))*(Calculation!$I18/Calculation!$K17)</f>
        <v>1127285165736277.5</v>
      </c>
      <c r="Q60" s="98">
        <f>(STDEV(POWER(10,K60),POWER(10,L60),POWER(10,M60))*(Calculation!$I18/Calculation!$K17))</f>
        <v>0</v>
      </c>
      <c r="R60" s="97">
        <f t="shared" si="24"/>
        <v>15.052033792035388</v>
      </c>
      <c r="S60" s="97">
        <f>O60*(Calculation!$I18/Calculation!$K17)</f>
        <v>0</v>
      </c>
    </row>
    <row r="61" spans="1:19">
      <c r="A61" s="39">
        <v>15</v>
      </c>
      <c r="B61" s="31">
        <v>360</v>
      </c>
      <c r="C61" s="31">
        <f>C60+B61</f>
        <v>1800</v>
      </c>
      <c r="D61" s="13">
        <f t="shared" si="20"/>
        <v>30</v>
      </c>
      <c r="E61" s="89"/>
      <c r="F61" s="89"/>
      <c r="G61" s="90"/>
      <c r="H61" s="96">
        <f t="shared" si="27"/>
        <v>-0.96108026504516353</v>
      </c>
      <c r="I61" s="96">
        <f t="shared" si="26"/>
        <v>-0.96108026504516353</v>
      </c>
      <c r="J61" s="96">
        <f t="shared" si="26"/>
        <v>-0.96108026504516353</v>
      </c>
      <c r="K61" s="90">
        <f>((H61-'Calibration F. prausnitzii'!$D$45)/'Calibration F. prausnitzii'!$D$44)+$B$65</f>
        <v>15.038885100988706</v>
      </c>
      <c r="L61" s="90">
        <f>((I61-'Calibration F. prausnitzii'!$D$45)/'Calibration F. prausnitzii'!$D$44)+$B$65</f>
        <v>15.038885100988706</v>
      </c>
      <c r="M61" s="90">
        <f>((J61-'Calibration F. prausnitzii'!$D$45)/'Calibration F. prausnitzii'!$D$44)+$B$65</f>
        <v>15.038885100988706</v>
      </c>
      <c r="N61" s="97">
        <f t="shared" si="22"/>
        <v>15.038885100988706</v>
      </c>
      <c r="O61" s="97">
        <f t="shared" si="23"/>
        <v>0</v>
      </c>
      <c r="P61" s="98">
        <f>(AVERAGE(POWER(10,K61),POWER(10,L61),POWER(10,M61)))*(Calculation!$I19/Calculation!$K18)</f>
        <v>1127285165736277.5</v>
      </c>
      <c r="Q61" s="98">
        <f>(STDEV(POWER(10,K61),POWER(10,L61),POWER(10,M61))*(Calculation!$I19/Calculation!$K18))</f>
        <v>0</v>
      </c>
      <c r="R61" s="97">
        <f t="shared" si="24"/>
        <v>15.052033792035388</v>
      </c>
      <c r="S61" s="97">
        <f>O61*(Calculation!$I19/Calculation!$K18)</f>
        <v>0</v>
      </c>
    </row>
    <row r="62" spans="1:19">
      <c r="A62" s="39">
        <v>16</v>
      </c>
      <c r="B62" s="31">
        <v>1080</v>
      </c>
      <c r="C62" s="31">
        <f>C61+B62</f>
        <v>2880</v>
      </c>
      <c r="D62" s="13">
        <f t="shared" si="20"/>
        <v>48</v>
      </c>
      <c r="E62" s="89"/>
      <c r="F62" s="89"/>
      <c r="G62" s="90"/>
      <c r="H62" s="96">
        <f t="shared" si="27"/>
        <v>-0.96108026504516353</v>
      </c>
      <c r="I62" s="96">
        <f t="shared" si="26"/>
        <v>-0.96108026504516353</v>
      </c>
      <c r="J62" s="96">
        <f t="shared" si="26"/>
        <v>-0.96108026504516353</v>
      </c>
      <c r="K62" s="90">
        <f>((H62-'Calibration F. prausnitzii'!$D$45)/'Calibration F. prausnitzii'!$D$44)+$B$65</f>
        <v>15.038885100988706</v>
      </c>
      <c r="L62" s="90">
        <f>((I62-'Calibration F. prausnitzii'!$D$45)/'Calibration F. prausnitzii'!$D$44)+$B$65</f>
        <v>15.038885100988706</v>
      </c>
      <c r="M62" s="90">
        <f>((J62-'Calibration F. prausnitzii'!$D$45)/'Calibration F. prausnitzii'!$D$44)+$B$65</f>
        <v>15.038885100988706</v>
      </c>
      <c r="N62" s="97">
        <f t="shared" si="22"/>
        <v>15.038885100988706</v>
      </c>
      <c r="O62" s="97">
        <f t="shared" si="23"/>
        <v>0</v>
      </c>
      <c r="P62" s="98">
        <f>(AVERAGE(POWER(10,K62),POWER(10,L62),POWER(10,M62)))*(Calculation!$I20/Calculation!$K19)</f>
        <v>1127285165736277.5</v>
      </c>
      <c r="Q62" s="98">
        <f>(STDEV(POWER(10,K62),POWER(10,L62),POWER(10,M62))*(Calculation!$I20/Calculation!$K19))</f>
        <v>0</v>
      </c>
      <c r="R62" s="97">
        <f t="shared" si="24"/>
        <v>15.052033792035388</v>
      </c>
      <c r="S62" s="97">
        <f>O62*(Calculation!$I20/Calculation!$K19)</f>
        <v>0</v>
      </c>
    </row>
    <row r="63" spans="1:19"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</row>
    <row r="64" spans="1:19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</row>
    <row r="65" spans="1:19">
      <c r="A65" s="92" t="s">
        <v>229</v>
      </c>
      <c r="B65" s="99">
        <f>LOG(B66)</f>
        <v>3.6532125137753435</v>
      </c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</row>
    <row r="66" spans="1:19">
      <c r="A66" s="74" t="s">
        <v>230</v>
      </c>
      <c r="B66" s="74">
        <f>20*1800/4/2</f>
        <v>4500</v>
      </c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</row>
    <row r="67" spans="1:19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</row>
    <row r="68" spans="1:19">
      <c r="A68" s="85" t="s">
        <v>231</v>
      </c>
      <c r="B68" s="74"/>
      <c r="C68" s="74"/>
      <c r="D68" s="74"/>
      <c r="E68" s="100">
        <f>'[1]Calibration F. prausnitzii'!C40</f>
        <v>14.390941619873047</v>
      </c>
      <c r="F68" s="96">
        <f>'[1]Calibration F. prausnitzii'!D40</f>
        <v>14.411395072937012</v>
      </c>
      <c r="G68" s="96">
        <f>'[1]Calibration F. prausnitzii'!E40</f>
        <v>14.301624298095703</v>
      </c>
      <c r="H68" s="96">
        <f>'[1]Calibration F. prausnitzii'!F40</f>
        <v>14.367986996968588</v>
      </c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</row>
    <row r="69" spans="1:19">
      <c r="A69" s="101" t="s">
        <v>232</v>
      </c>
      <c r="C69" s="74"/>
      <c r="D69" s="74"/>
      <c r="E69" s="100">
        <v>13.95859432220459</v>
      </c>
      <c r="F69" s="96">
        <v>13.837825775146484</v>
      </c>
      <c r="G69" s="96">
        <v>14.070391654968262</v>
      </c>
      <c r="H69" s="96">
        <f>AVERAGE(E69:G69)</f>
        <v>13.955603917439779</v>
      </c>
    </row>
    <row r="70" spans="1:19">
      <c r="A70" s="101" t="s">
        <v>233</v>
      </c>
      <c r="E70" s="100">
        <v>14.085451126098633</v>
      </c>
      <c r="F70" s="96">
        <v>14.111333847045898</v>
      </c>
      <c r="G70" s="96">
        <v>14.077548980712891</v>
      </c>
      <c r="H70" s="96">
        <f>AVERAGE(E70:G70)</f>
        <v>14.091444651285807</v>
      </c>
    </row>
    <row r="71" spans="1:19">
      <c r="A71" s="101" t="s">
        <v>234</v>
      </c>
      <c r="E71" s="100">
        <v>13.838394165039062</v>
      </c>
      <c r="F71" s="96">
        <v>14.03663444519043</v>
      </c>
      <c r="G71" s="96">
        <v>13.97320556640625</v>
      </c>
      <c r="H71" s="96">
        <f>AVERAGE(E71:G71)</f>
        <v>13.949411392211914</v>
      </c>
    </row>
    <row r="72" spans="1:19">
      <c r="A72" s="101" t="s">
        <v>236</v>
      </c>
      <c r="E72" s="100">
        <v>11.618982315063477</v>
      </c>
      <c r="F72" s="96">
        <v>11.485271453857422</v>
      </c>
      <c r="G72" s="96">
        <v>11.470490455627441</v>
      </c>
      <c r="H72" s="96">
        <f>AVERAGE(E72:G72)</f>
        <v>11.524914741516113</v>
      </c>
    </row>
    <row r="73" spans="1:19">
      <c r="A73" s="101" t="s">
        <v>239</v>
      </c>
      <c r="E73" s="100">
        <v>14.489413261413574</v>
      </c>
      <c r="F73" s="96">
        <v>14.78773021697998</v>
      </c>
      <c r="G73" s="96">
        <v>14.708776473999023</v>
      </c>
      <c r="H73" s="96">
        <f>AVERAGE(E73:G73)</f>
        <v>14.661973317464193</v>
      </c>
    </row>
    <row r="74" spans="1:19">
      <c r="A74" s="101" t="s">
        <v>238</v>
      </c>
      <c r="E74" s="100">
        <v>14.322483062744141</v>
      </c>
      <c r="F74" s="96">
        <v>14.812288284301758</v>
      </c>
      <c r="G74" s="96">
        <v>14.651363372802734</v>
      </c>
      <c r="H74" s="96">
        <f t="shared" ref="H74" si="28">AVERAGE(E74:G74)</f>
        <v>14.595378239949545</v>
      </c>
    </row>
    <row r="75" spans="1:19">
      <c r="A75" s="101" t="s">
        <v>237</v>
      </c>
      <c r="E75" s="100">
        <v>13.079689025878906</v>
      </c>
      <c r="F75" s="96">
        <v>13.297797203063965</v>
      </c>
      <c r="G75" s="96">
        <v>14.48363208770752</v>
      </c>
      <c r="H75" s="96">
        <f>AVERAGE(E75:G75)</f>
        <v>13.620372772216797</v>
      </c>
    </row>
    <row r="76" spans="1:19">
      <c r="A76" s="101" t="s">
        <v>240</v>
      </c>
      <c r="B76" s="74"/>
      <c r="C76" s="74"/>
      <c r="D76" s="74"/>
      <c r="E76" s="100">
        <v>14.77447509765625</v>
      </c>
      <c r="F76" s="96">
        <v>15.046281814575195</v>
      </c>
      <c r="G76" s="96">
        <v>14.986320495605469</v>
      </c>
      <c r="H76" s="96">
        <f t="shared" ref="H76" si="29">AVERAGE(E76:G76)</f>
        <v>14.935692469278971</v>
      </c>
    </row>
    <row r="77" spans="1:19">
      <c r="A77" s="101" t="s">
        <v>240</v>
      </c>
      <c r="C77" s="74"/>
      <c r="D77" s="74"/>
      <c r="E77" s="100">
        <v>13.851560592651367</v>
      </c>
      <c r="F77" s="96">
        <v>14.262241363525391</v>
      </c>
      <c r="G77" s="96">
        <v>14.016228675842285</v>
      </c>
      <c r="H77" s="96">
        <f>AVERAGE(E77:G77)</f>
        <v>14.043343544006348</v>
      </c>
    </row>
    <row r="78" spans="1:19">
      <c r="A78" s="101"/>
      <c r="E78" s="102"/>
      <c r="F78" s="102"/>
      <c r="G78" s="102"/>
      <c r="H78" s="102"/>
    </row>
    <row r="79" spans="1:19">
      <c r="A79" s="101"/>
      <c r="E79" s="102"/>
      <c r="F79" s="102"/>
      <c r="G79" s="102"/>
      <c r="H79" s="102"/>
    </row>
    <row r="81" spans="7:8">
      <c r="G81" t="s">
        <v>235</v>
      </c>
      <c r="H81" s="69">
        <f>AVERAGE(H68:H77)</f>
        <v>13.974612204233807</v>
      </c>
    </row>
  </sheetData>
  <mergeCells count="59">
    <mergeCell ref="R44:R45"/>
    <mergeCell ref="S44:S45"/>
    <mergeCell ref="V2:Y3"/>
    <mergeCell ref="AA2:AF3"/>
    <mergeCell ref="M44:M45"/>
    <mergeCell ref="N44:N45"/>
    <mergeCell ref="O44:O45"/>
    <mergeCell ref="P44:P45"/>
    <mergeCell ref="Q44:Q45"/>
    <mergeCell ref="P23:P24"/>
    <mergeCell ref="Q23:Q24"/>
    <mergeCell ref="R23:R24"/>
    <mergeCell ref="S23:S24"/>
    <mergeCell ref="N23:N24"/>
    <mergeCell ref="O23:O24"/>
    <mergeCell ref="S2:S3"/>
    <mergeCell ref="A44:A45"/>
    <mergeCell ref="B44:B45"/>
    <mergeCell ref="C44:C45"/>
    <mergeCell ref="D44:D45"/>
    <mergeCell ref="E44:E45"/>
    <mergeCell ref="F44:F45"/>
    <mergeCell ref="G44:G45"/>
    <mergeCell ref="H44:H45"/>
    <mergeCell ref="I44:I45"/>
    <mergeCell ref="J44:J45"/>
    <mergeCell ref="K44:K45"/>
    <mergeCell ref="L44:L45"/>
    <mergeCell ref="K23:K24"/>
    <mergeCell ref="L23:L24"/>
    <mergeCell ref="M23:M24"/>
    <mergeCell ref="F23:F24"/>
    <mergeCell ref="G23:G24"/>
    <mergeCell ref="H23:H24"/>
    <mergeCell ref="I23:I24"/>
    <mergeCell ref="J23:J24"/>
    <mergeCell ref="A23:A24"/>
    <mergeCell ref="B23:B24"/>
    <mergeCell ref="C23:C24"/>
    <mergeCell ref="D23:D24"/>
    <mergeCell ref="E23:E24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R2:R3"/>
    <mergeCell ref="M2:M3"/>
    <mergeCell ref="N2:N3"/>
    <mergeCell ref="O2:O3"/>
    <mergeCell ref="P2:P3"/>
    <mergeCell ref="Q2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0" sqref="G20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14" t="s">
        <v>4</v>
      </c>
      <c r="B1" s="114" t="s">
        <v>116</v>
      </c>
      <c r="C1" s="114" t="s">
        <v>116</v>
      </c>
      <c r="D1" s="114" t="s">
        <v>5</v>
      </c>
      <c r="E1" s="114" t="s">
        <v>19</v>
      </c>
      <c r="F1" s="114" t="s">
        <v>24</v>
      </c>
      <c r="G1" s="113" t="s">
        <v>25</v>
      </c>
      <c r="H1" s="110" t="s">
        <v>26</v>
      </c>
      <c r="I1" s="4" t="s">
        <v>27</v>
      </c>
      <c r="J1" s="52" t="s">
        <v>27</v>
      </c>
    </row>
    <row r="2" spans="1:10">
      <c r="A2" s="115"/>
      <c r="B2" s="115"/>
      <c r="C2" s="115"/>
      <c r="D2" s="115"/>
      <c r="E2" s="115"/>
      <c r="F2" s="115"/>
      <c r="G2" s="113"/>
      <c r="H2" s="110"/>
      <c r="I2" s="5" t="s">
        <v>28</v>
      </c>
      <c r="J2" s="53" t="s">
        <v>23</v>
      </c>
    </row>
    <row r="3" spans="1:10">
      <c r="A3" s="39" t="s">
        <v>6</v>
      </c>
      <c r="B3" s="31">
        <v>-10</v>
      </c>
      <c r="C3" s="31">
        <f>B3</f>
        <v>-10</v>
      </c>
      <c r="D3" s="13">
        <f>C3/60</f>
        <v>-0.16666666666666666</v>
      </c>
      <c r="E3" s="39">
        <v>1</v>
      </c>
      <c r="F3" s="49">
        <v>0.11799999999999999</v>
      </c>
      <c r="G3" s="49">
        <v>0.11799999999999999</v>
      </c>
      <c r="H3" s="49">
        <v>0.11799999999999999</v>
      </c>
      <c r="I3" s="50">
        <f>E3*(AVERAGE(F3:H3)*1.6007-0.0118)</f>
        <v>0.17708259999999998</v>
      </c>
      <c r="J3" s="50">
        <f>E3*(STDEV(F3:H3)*1.6007)</f>
        <v>0</v>
      </c>
    </row>
    <row r="4" spans="1:10">
      <c r="A4" s="39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39">
        <v>1</v>
      </c>
      <c r="F4" s="49">
        <v>0.153</v>
      </c>
      <c r="G4" s="49">
        <v>0.153</v>
      </c>
      <c r="H4" s="49">
        <v>0.153</v>
      </c>
      <c r="I4" s="50">
        <f>E4*(AVERAGE(F4:H4)*1.6007-0.0118)</f>
        <v>0.23310709999999998</v>
      </c>
      <c r="J4" s="50">
        <f t="shared" ref="J4:J18" si="1">E4*(STDEV(F4:H4)*1.6007)</f>
        <v>0</v>
      </c>
    </row>
    <row r="5" spans="1:10">
      <c r="A5" s="39">
        <v>1</v>
      </c>
      <c r="B5" s="31">
        <v>110</v>
      </c>
      <c r="C5" s="31">
        <f>C4+B5</f>
        <v>120</v>
      </c>
      <c r="D5" s="13">
        <f t="shared" si="0"/>
        <v>2</v>
      </c>
      <c r="E5" s="39">
        <v>1</v>
      </c>
      <c r="F5" s="49">
        <v>0.19800000000000001</v>
      </c>
      <c r="G5" s="49">
        <v>0.19800000000000001</v>
      </c>
      <c r="H5" s="49">
        <v>0.19800000000000001</v>
      </c>
      <c r="I5" s="50">
        <f t="shared" ref="I5:I19" si="2">E5*(AVERAGE(F5:H5)*1.6007-0.0118)</f>
        <v>0.30513860000000009</v>
      </c>
      <c r="J5" s="50">
        <f t="shared" si="1"/>
        <v>5.4413393669642165E-17</v>
      </c>
    </row>
    <row r="6" spans="1:10">
      <c r="A6" s="39">
        <v>2</v>
      </c>
      <c r="B6" s="31">
        <v>80</v>
      </c>
      <c r="C6" s="31">
        <f>C5+B6</f>
        <v>200</v>
      </c>
      <c r="D6" s="13">
        <f t="shared" si="0"/>
        <v>3.3333333333333335</v>
      </c>
      <c r="E6" s="39">
        <v>1</v>
      </c>
      <c r="F6" s="49">
        <v>0.23699999999999999</v>
      </c>
      <c r="G6" s="49">
        <v>0.23699999999999999</v>
      </c>
      <c r="H6" s="49">
        <v>0.23699999999999999</v>
      </c>
      <c r="I6" s="50">
        <f t="shared" si="2"/>
        <v>0.3675659</v>
      </c>
      <c r="J6" s="50">
        <f t="shared" si="1"/>
        <v>0</v>
      </c>
    </row>
    <row r="7" spans="1:10">
      <c r="A7" s="39">
        <v>3</v>
      </c>
      <c r="B7" s="31">
        <v>80</v>
      </c>
      <c r="C7" s="31">
        <f>C6+B7</f>
        <v>280</v>
      </c>
      <c r="D7" s="13">
        <f t="shared" si="0"/>
        <v>4.666666666666667</v>
      </c>
      <c r="E7" s="39">
        <v>1</v>
      </c>
      <c r="F7" s="49">
        <v>0.29599999999999999</v>
      </c>
      <c r="G7" s="49">
        <v>0.29599999999999999</v>
      </c>
      <c r="H7" s="49">
        <v>0.29599999999999999</v>
      </c>
      <c r="I7" s="50">
        <f t="shared" si="2"/>
        <v>0.46200720000000001</v>
      </c>
      <c r="J7" s="50">
        <f t="shared" si="1"/>
        <v>0</v>
      </c>
    </row>
    <row r="8" spans="1:10">
      <c r="A8" s="39">
        <v>4</v>
      </c>
      <c r="B8" s="31">
        <v>80</v>
      </c>
      <c r="C8" s="31">
        <f t="shared" ref="C8:C18" si="3">C7+B8</f>
        <v>360</v>
      </c>
      <c r="D8" s="13">
        <f t="shared" si="0"/>
        <v>6</v>
      </c>
      <c r="E8" s="39">
        <v>2</v>
      </c>
      <c r="F8" s="49">
        <v>0.23599999999999999</v>
      </c>
      <c r="G8" s="49">
        <v>0.245</v>
      </c>
      <c r="H8" s="49">
        <v>0.24299999999999999</v>
      </c>
      <c r="I8" s="50">
        <f t="shared" si="2"/>
        <v>0.74900453333333328</v>
      </c>
      <c r="J8" s="50">
        <f t="shared" si="1"/>
        <v>1.5129226145885114E-2</v>
      </c>
    </row>
    <row r="9" spans="1:10">
      <c r="A9" s="39">
        <v>5</v>
      </c>
      <c r="B9" s="31">
        <v>80</v>
      </c>
      <c r="C9" s="31">
        <f t="shared" si="3"/>
        <v>440</v>
      </c>
      <c r="D9" s="13">
        <f t="shared" si="0"/>
        <v>7.333333333333333</v>
      </c>
      <c r="E9" s="39">
        <v>10</v>
      </c>
      <c r="F9" s="49">
        <v>8.7999999999999995E-2</v>
      </c>
      <c r="G9" s="49">
        <v>9.7000000000000003E-2</v>
      </c>
      <c r="H9" s="49">
        <v>9.5000000000000001E-2</v>
      </c>
      <c r="I9" s="50">
        <f t="shared" si="2"/>
        <v>1.3759866666666667</v>
      </c>
      <c r="J9" s="50">
        <f t="shared" si="1"/>
        <v>7.5646130729425567E-2</v>
      </c>
    </row>
    <row r="10" spans="1:10">
      <c r="A10" s="39">
        <v>6</v>
      </c>
      <c r="B10" s="31">
        <v>80</v>
      </c>
      <c r="C10" s="31">
        <f t="shared" si="3"/>
        <v>520</v>
      </c>
      <c r="D10" s="13">
        <f t="shared" si="0"/>
        <v>8.6666666666666661</v>
      </c>
      <c r="E10" s="39">
        <v>10</v>
      </c>
      <c r="F10" s="49">
        <v>0.18099999999999999</v>
      </c>
      <c r="G10" s="49">
        <v>0.17899999999999999</v>
      </c>
      <c r="H10" s="49">
        <v>0.16700000000000001</v>
      </c>
      <c r="I10" s="50">
        <f t="shared" si="2"/>
        <v>2.6938963333333339</v>
      </c>
      <c r="J10" s="50">
        <f t="shared" si="1"/>
        <v>0.12120304785496649</v>
      </c>
    </row>
    <row r="11" spans="1:10">
      <c r="A11" s="39">
        <v>7</v>
      </c>
      <c r="B11" s="31">
        <v>80</v>
      </c>
      <c r="C11" s="31">
        <f t="shared" si="3"/>
        <v>600</v>
      </c>
      <c r="D11" s="13">
        <f t="shared" si="0"/>
        <v>10</v>
      </c>
      <c r="E11" s="39">
        <v>10</v>
      </c>
      <c r="F11" s="49">
        <v>0.24399999999999999</v>
      </c>
      <c r="G11" s="49">
        <v>0.23599999999999999</v>
      </c>
      <c r="H11" s="49">
        <v>0.26</v>
      </c>
      <c r="I11" s="50">
        <f t="shared" si="2"/>
        <v>3.8303933333333333</v>
      </c>
      <c r="J11" s="50">
        <f t="shared" si="1"/>
        <v>0.19560877106442187</v>
      </c>
    </row>
    <row r="12" spans="1:10">
      <c r="A12" s="39">
        <v>8</v>
      </c>
      <c r="B12" s="31">
        <v>80</v>
      </c>
      <c r="C12" s="31">
        <f t="shared" si="3"/>
        <v>680</v>
      </c>
      <c r="D12" s="13">
        <f t="shared" si="0"/>
        <v>11.333333333333334</v>
      </c>
      <c r="E12" s="39">
        <v>10</v>
      </c>
      <c r="F12" s="49">
        <v>0.33</v>
      </c>
      <c r="G12" s="49">
        <v>0.32300000000000001</v>
      </c>
      <c r="H12" s="49">
        <v>0.30599999999999999</v>
      </c>
      <c r="I12" s="50">
        <f t="shared" si="2"/>
        <v>4.9989043333333347</v>
      </c>
      <c r="J12" s="50">
        <f t="shared" si="1"/>
        <v>0.19756382124349942</v>
      </c>
    </row>
    <row r="13" spans="1:10">
      <c r="A13" s="39">
        <v>9</v>
      </c>
      <c r="B13" s="31">
        <v>80</v>
      </c>
      <c r="C13" s="31">
        <f t="shared" si="3"/>
        <v>760</v>
      </c>
      <c r="D13" s="13">
        <f t="shared" si="0"/>
        <v>12.666666666666666</v>
      </c>
      <c r="E13" s="39">
        <v>20</v>
      </c>
      <c r="F13" s="49">
        <v>0.2</v>
      </c>
      <c r="G13" s="49">
        <v>0.20499999999999999</v>
      </c>
      <c r="H13" s="49">
        <v>0.20699999999999999</v>
      </c>
      <c r="I13" s="50">
        <f t="shared" si="2"/>
        <v>6.2948559999999993</v>
      </c>
      <c r="J13" s="50">
        <f t="shared" si="1"/>
        <v>0.11542811853270377</v>
      </c>
    </row>
    <row r="14" spans="1:10">
      <c r="A14" s="39">
        <v>10</v>
      </c>
      <c r="B14" s="31">
        <v>80</v>
      </c>
      <c r="C14" s="31">
        <f t="shared" si="3"/>
        <v>840</v>
      </c>
      <c r="D14" s="13">
        <f t="shared" si="0"/>
        <v>14</v>
      </c>
      <c r="E14" s="39">
        <v>20</v>
      </c>
      <c r="F14" s="49">
        <v>0.217</v>
      </c>
      <c r="G14" s="49">
        <v>0.22</v>
      </c>
      <c r="H14" s="49">
        <v>0.224</v>
      </c>
      <c r="I14" s="50">
        <f t="shared" si="2"/>
        <v>6.8177513333333337</v>
      </c>
      <c r="J14" s="50">
        <f t="shared" si="1"/>
        <v>0.11242947308127597</v>
      </c>
    </row>
    <row r="15" spans="1:10">
      <c r="A15" s="39">
        <v>11</v>
      </c>
      <c r="B15" s="31">
        <v>80</v>
      </c>
      <c r="C15" s="31">
        <f t="shared" si="3"/>
        <v>920</v>
      </c>
      <c r="D15" s="13">
        <f t="shared" si="0"/>
        <v>15.333333333333334</v>
      </c>
      <c r="E15" s="39">
        <v>20</v>
      </c>
      <c r="F15" s="49">
        <v>0.22600000000000001</v>
      </c>
      <c r="G15" s="49">
        <v>0.2</v>
      </c>
      <c r="H15" s="49">
        <v>0.224</v>
      </c>
      <c r="I15" s="50">
        <f t="shared" si="2"/>
        <v>6.7003666666666675</v>
      </c>
      <c r="J15" s="50">
        <f t="shared" si="1"/>
        <v>0.46318995782436095</v>
      </c>
    </row>
    <row r="16" spans="1:10">
      <c r="A16" s="39">
        <v>12</v>
      </c>
      <c r="B16" s="31">
        <v>80</v>
      </c>
      <c r="C16" s="31">
        <f t="shared" si="3"/>
        <v>1000</v>
      </c>
      <c r="D16" s="13">
        <f t="shared" si="0"/>
        <v>16.666666666666668</v>
      </c>
      <c r="E16" s="39">
        <v>20</v>
      </c>
      <c r="F16" s="49">
        <v>0.17899999999999999</v>
      </c>
      <c r="G16" s="49">
        <v>0.17399999999999999</v>
      </c>
      <c r="H16" s="49">
        <v>0.16800000000000001</v>
      </c>
      <c r="I16" s="50">
        <f t="shared" si="2"/>
        <v>5.3237646666666674</v>
      </c>
      <c r="J16" s="50">
        <f t="shared" si="1"/>
        <v>0.17631936350081698</v>
      </c>
    </row>
    <row r="17" spans="1:10">
      <c r="A17" s="39">
        <v>13</v>
      </c>
      <c r="B17" s="31">
        <v>80</v>
      </c>
      <c r="C17" s="31">
        <f t="shared" si="3"/>
        <v>1080</v>
      </c>
      <c r="D17" s="13">
        <f t="shared" si="0"/>
        <v>18</v>
      </c>
      <c r="E17" s="39">
        <v>20</v>
      </c>
      <c r="F17" s="49">
        <v>0.16300000000000001</v>
      </c>
      <c r="G17" s="49">
        <v>0.19800000000000001</v>
      </c>
      <c r="H17" s="49">
        <v>0.18099999999999999</v>
      </c>
      <c r="I17" s="50">
        <f t="shared" si="2"/>
        <v>5.5478626666666671</v>
      </c>
      <c r="J17" s="50">
        <f t="shared" si="1"/>
        <v>0.560321218624936</v>
      </c>
    </row>
    <row r="18" spans="1:10">
      <c r="A18" s="39">
        <v>14</v>
      </c>
      <c r="B18" s="31">
        <v>360</v>
      </c>
      <c r="C18" s="31">
        <f t="shared" si="3"/>
        <v>1440</v>
      </c>
      <c r="D18" s="13">
        <f t="shared" si="0"/>
        <v>24</v>
      </c>
      <c r="E18" s="39">
        <v>20</v>
      </c>
      <c r="F18" s="49">
        <v>0.159</v>
      </c>
      <c r="G18" s="49">
        <v>0.17100000000000001</v>
      </c>
      <c r="H18" s="49">
        <v>0.16300000000000001</v>
      </c>
      <c r="I18" s="50">
        <f t="shared" si="2"/>
        <v>5.0249673333333336</v>
      </c>
      <c r="J18" s="50">
        <f t="shared" si="1"/>
        <v>0.19560877106442187</v>
      </c>
    </row>
    <row r="19" spans="1:10">
      <c r="A19" s="39">
        <v>15</v>
      </c>
      <c r="B19" s="31">
        <v>360</v>
      </c>
      <c r="C19" s="31">
        <f>C18+B19</f>
        <v>1800</v>
      </c>
      <c r="D19" s="13">
        <f t="shared" si="0"/>
        <v>30</v>
      </c>
      <c r="E19" s="39">
        <v>20</v>
      </c>
      <c r="F19" s="49">
        <v>0.154</v>
      </c>
      <c r="G19" s="49">
        <v>0.161</v>
      </c>
      <c r="H19" s="49">
        <v>0.16</v>
      </c>
      <c r="I19" s="50">
        <f t="shared" si="2"/>
        <v>4.8328833333333323</v>
      </c>
      <c r="J19" s="50">
        <f>E19*(STDEV(F19:H19)*1.6007)</f>
        <v>0.12120304785496674</v>
      </c>
    </row>
    <row r="20" spans="1:10">
      <c r="A20" s="39">
        <v>16</v>
      </c>
      <c r="B20" s="31">
        <v>1080</v>
      </c>
      <c r="C20" s="31">
        <f>C19+B20</f>
        <v>2880</v>
      </c>
      <c r="D20" s="13">
        <f t="shared" si="0"/>
        <v>48</v>
      </c>
      <c r="E20" s="39">
        <v>10</v>
      </c>
      <c r="F20" s="49">
        <v>0.13</v>
      </c>
      <c r="G20" s="49">
        <v>0.127</v>
      </c>
      <c r="H20" s="49">
        <v>0.127</v>
      </c>
      <c r="I20" s="50">
        <f t="shared" ref="I20" si="4">E20*(AVERAGE(F20:H20)*1.6007-0.0118)</f>
        <v>1.9308959999999999</v>
      </c>
      <c r="J20" s="50">
        <f t="shared" ref="J20" si="5">E20*(STDEV(F20:H20)*1.6007)</f>
        <v>2.7724937276755048E-2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20" sqref="D20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14" t="s">
        <v>4</v>
      </c>
      <c r="B1" s="114" t="s">
        <v>116</v>
      </c>
      <c r="C1" s="114" t="s">
        <v>116</v>
      </c>
      <c r="D1" s="114" t="s">
        <v>5</v>
      </c>
      <c r="E1" s="4" t="s">
        <v>29</v>
      </c>
      <c r="F1" s="4" t="s">
        <v>2</v>
      </c>
      <c r="G1" s="4" t="s">
        <v>32</v>
      </c>
    </row>
    <row r="2" spans="1:7">
      <c r="A2" s="115"/>
      <c r="B2" s="115"/>
      <c r="C2" s="115"/>
      <c r="D2" s="115"/>
      <c r="E2" s="5" t="s">
        <v>30</v>
      </c>
      <c r="F2" s="5" t="s">
        <v>31</v>
      </c>
      <c r="G2" s="5" t="s">
        <v>33</v>
      </c>
    </row>
    <row r="3" spans="1:7">
      <c r="A3" s="39" t="s">
        <v>6</v>
      </c>
      <c r="B3" s="31">
        <v>-10</v>
      </c>
      <c r="C3" s="31">
        <f>B3</f>
        <v>-10</v>
      </c>
      <c r="D3" s="62"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39">
        <v>0</v>
      </c>
      <c r="B4" s="31">
        <v>10</v>
      </c>
      <c r="C4" s="31">
        <f>B4</f>
        <v>10</v>
      </c>
      <c r="D4" s="63"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39">
        <v>1</v>
      </c>
      <c r="B5" s="31">
        <v>110</v>
      </c>
      <c r="C5" s="31">
        <f>C4+B5</f>
        <v>120</v>
      </c>
      <c r="D5" s="63">
        <v>2</v>
      </c>
      <c r="E5" s="1"/>
      <c r="F5" s="1"/>
      <c r="G5" s="1" t="e">
        <f>(F5-$C$22)/E5*1000*Calculation!I6/Calculation!K5</f>
        <v>#DIV/0!</v>
      </c>
    </row>
    <row r="6" spans="1:7">
      <c r="A6" s="39">
        <v>2</v>
      </c>
      <c r="B6" s="31">
        <v>80</v>
      </c>
      <c r="C6" s="31">
        <f>C5+B6</f>
        <v>200</v>
      </c>
      <c r="D6" s="63"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39">
        <v>3</v>
      </c>
      <c r="B7" s="31">
        <v>80</v>
      </c>
      <c r="C7" s="31">
        <f>C6+B7</f>
        <v>280</v>
      </c>
      <c r="D7" s="63">
        <v>4.666666666666667</v>
      </c>
      <c r="E7" s="1"/>
      <c r="F7" s="1"/>
      <c r="G7" s="1" t="e">
        <f>(F7-$C$22)/E7*1000*Calculation!I8/Calculation!K7</f>
        <v>#DIV/0!</v>
      </c>
    </row>
    <row r="8" spans="1:7">
      <c r="A8" s="39">
        <v>4</v>
      </c>
      <c r="B8" s="31">
        <v>80</v>
      </c>
      <c r="C8" s="31">
        <f t="shared" ref="C8:C18" si="0">C7+B8</f>
        <v>360</v>
      </c>
      <c r="D8" s="63">
        <v>6</v>
      </c>
      <c r="E8" s="1"/>
      <c r="F8" s="1"/>
      <c r="G8" s="1" t="e">
        <f>(F8-$C$22)/E8*1000*Calculation!I9/Calculation!K8</f>
        <v>#DIV/0!</v>
      </c>
    </row>
    <row r="9" spans="1:7">
      <c r="A9" s="39">
        <v>5</v>
      </c>
      <c r="B9" s="31">
        <v>80</v>
      </c>
      <c r="C9" s="31">
        <f t="shared" si="0"/>
        <v>440</v>
      </c>
      <c r="D9" s="63"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39">
        <v>6</v>
      </c>
      <c r="B10" s="31">
        <v>80</v>
      </c>
      <c r="C10" s="31">
        <f t="shared" si="0"/>
        <v>520</v>
      </c>
      <c r="D10" s="63">
        <v>8.6666666666666661</v>
      </c>
      <c r="E10" s="1"/>
      <c r="F10" s="1"/>
      <c r="G10" s="1" t="e">
        <f>(F10-$C$22)/E10*1000*Calculation!I11/Calculation!K10</f>
        <v>#DIV/0!</v>
      </c>
    </row>
    <row r="11" spans="1:7">
      <c r="A11" s="39">
        <v>7</v>
      </c>
      <c r="B11" s="31">
        <v>80</v>
      </c>
      <c r="C11" s="31">
        <f t="shared" si="0"/>
        <v>600</v>
      </c>
      <c r="D11" s="63">
        <v>10</v>
      </c>
      <c r="E11" s="1"/>
      <c r="F11" s="1"/>
      <c r="G11" s="1" t="e">
        <f>(F11-$C$22)/E11*1000*Calculation!I12/Calculation!K11</f>
        <v>#DIV/0!</v>
      </c>
    </row>
    <row r="12" spans="1:7">
      <c r="A12" s="39">
        <v>8</v>
      </c>
      <c r="B12" s="31">
        <v>80</v>
      </c>
      <c r="C12" s="31">
        <f t="shared" si="0"/>
        <v>680</v>
      </c>
      <c r="D12" s="63"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39">
        <v>9</v>
      </c>
      <c r="B13" s="31">
        <v>80</v>
      </c>
      <c r="C13" s="31">
        <f t="shared" si="0"/>
        <v>760</v>
      </c>
      <c r="D13" s="63">
        <v>12.666666666666666</v>
      </c>
      <c r="E13" s="36"/>
      <c r="F13" s="36"/>
      <c r="G13" s="36" t="e">
        <f>(F13-$C$22)/E13*1000*Calculation!I14/Calculation!K13</f>
        <v>#DIV/0!</v>
      </c>
    </row>
    <row r="14" spans="1:7">
      <c r="A14" s="39">
        <v>10</v>
      </c>
      <c r="B14" s="31">
        <v>80</v>
      </c>
      <c r="C14" s="31">
        <f t="shared" si="0"/>
        <v>840</v>
      </c>
      <c r="D14" s="63">
        <v>14</v>
      </c>
      <c r="E14" s="36"/>
      <c r="F14" s="36"/>
      <c r="G14" s="36" t="e">
        <f>(F14-$C$22)/E14*1000*Calculation!I15/Calculation!K14</f>
        <v>#DIV/0!</v>
      </c>
    </row>
    <row r="15" spans="1:7">
      <c r="A15" s="39">
        <v>11</v>
      </c>
      <c r="B15" s="31">
        <v>80</v>
      </c>
      <c r="C15" s="31">
        <f t="shared" si="0"/>
        <v>920</v>
      </c>
      <c r="D15" s="63">
        <v>15.333333333333334</v>
      </c>
      <c r="E15" s="36"/>
      <c r="F15" s="36"/>
      <c r="G15" s="36" t="e">
        <f>(F15-$C$22)/E15*1000*Calculation!I16/Calculation!K15</f>
        <v>#DIV/0!</v>
      </c>
    </row>
    <row r="16" spans="1:7">
      <c r="A16" s="39">
        <v>12</v>
      </c>
      <c r="B16" s="31">
        <v>80</v>
      </c>
      <c r="C16" s="31">
        <f t="shared" si="0"/>
        <v>1000</v>
      </c>
      <c r="D16" s="63">
        <v>16.666666666666668</v>
      </c>
      <c r="E16" s="36"/>
      <c r="F16" s="36"/>
      <c r="G16" s="36" t="e">
        <f>(F16-$C$22)/E16*1000*Calculation!I17/Calculation!K16</f>
        <v>#DIV/0!</v>
      </c>
    </row>
    <row r="17" spans="1:7" ht="15" customHeight="1">
      <c r="A17" s="39">
        <v>13</v>
      </c>
      <c r="B17" s="31">
        <v>80</v>
      </c>
      <c r="C17" s="31">
        <f t="shared" si="0"/>
        <v>1080</v>
      </c>
      <c r="D17" s="63">
        <v>18</v>
      </c>
      <c r="E17" s="36"/>
      <c r="F17" s="36"/>
      <c r="G17" s="36" t="e">
        <f>(F17-$C$22)/E17*1000*Calculation!I18/Calculation!K17</f>
        <v>#DIV/0!</v>
      </c>
    </row>
    <row r="18" spans="1:7">
      <c r="A18" s="39">
        <v>14</v>
      </c>
      <c r="B18" s="31">
        <v>360</v>
      </c>
      <c r="C18" s="31">
        <f t="shared" si="0"/>
        <v>1440</v>
      </c>
      <c r="D18" s="63">
        <v>19.333333333333332</v>
      </c>
      <c r="E18" s="36"/>
      <c r="F18" s="36"/>
      <c r="G18" s="36" t="e">
        <f>(F18-$C$22)/E18*1000*Calculation!I19/Calculation!K18</f>
        <v>#DIV/0!</v>
      </c>
    </row>
    <row r="19" spans="1:7">
      <c r="A19" s="39">
        <v>15</v>
      </c>
      <c r="B19" s="31">
        <v>360</v>
      </c>
      <c r="C19" s="31">
        <f>C18+B19</f>
        <v>1800</v>
      </c>
      <c r="D19" s="63">
        <v>24</v>
      </c>
      <c r="E19" s="39"/>
      <c r="F19" s="39"/>
      <c r="G19" s="39" t="e">
        <f>(F19-$C$22)/E19*1000*Calculation!I21/Calculation!K19</f>
        <v>#DIV/0!</v>
      </c>
    </row>
    <row r="20" spans="1:7">
      <c r="A20" s="39">
        <v>16</v>
      </c>
      <c r="B20" s="31">
        <v>1080</v>
      </c>
      <c r="C20" s="31">
        <f>C19+B20</f>
        <v>2880</v>
      </c>
      <c r="D20" s="63">
        <v>30</v>
      </c>
      <c r="E20" s="39"/>
      <c r="F20" s="39"/>
      <c r="G20" s="39" t="e">
        <f>(F20-$C$22)/E20*1000*Calculation!I22/Calculation!K20</f>
        <v>#DIV/0!</v>
      </c>
    </row>
    <row r="22" spans="1:7">
      <c r="A22" s="136" t="s">
        <v>3</v>
      </c>
      <c r="B22" s="137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9"/>
  <sheetViews>
    <sheetView workbookViewId="0">
      <selection activeCell="B5" sqref="B5:B109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</cols>
  <sheetData>
    <row r="1" spans="1:10">
      <c r="A1" s="23" t="s">
        <v>50</v>
      </c>
      <c r="B1" s="12">
        <v>69.3</v>
      </c>
      <c r="C1" s="26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13" t="s">
        <v>5</v>
      </c>
      <c r="B3" s="113" t="s">
        <v>36</v>
      </c>
      <c r="C3" s="113"/>
      <c r="D3" s="113" t="s">
        <v>52</v>
      </c>
      <c r="E3" s="113"/>
      <c r="F3" s="113"/>
      <c r="G3" s="23" t="s">
        <v>53</v>
      </c>
    </row>
    <row r="4" spans="1:10">
      <c r="A4" s="113"/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</row>
    <row r="5" spans="1:10">
      <c r="A5" s="12">
        <v>0</v>
      </c>
      <c r="B5" s="12">
        <v>0</v>
      </c>
      <c r="C5" s="12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  <c r="I5" s="12">
        <v>-0.16666666666666666</v>
      </c>
      <c r="J5" t="s">
        <v>149</v>
      </c>
    </row>
    <row r="6" spans="1:10">
      <c r="A6" s="12">
        <v>0.5</v>
      </c>
      <c r="B6" s="12">
        <v>0</v>
      </c>
      <c r="C6" s="12">
        <f t="shared" ref="C6:C69" si="0">B6/1000</f>
        <v>0</v>
      </c>
      <c r="D6" s="12">
        <f>C6/1000*$B$1</f>
        <v>0</v>
      </c>
      <c r="E6" s="12">
        <f>D6/22.4</f>
        <v>0</v>
      </c>
      <c r="F6" s="12">
        <f>E6/Calculation!K$4*1000</f>
        <v>0</v>
      </c>
      <c r="G6" s="12">
        <f>G5+(F6+F5)/2*30</f>
        <v>0</v>
      </c>
      <c r="I6" s="12">
        <v>0.16666666666666666</v>
      </c>
      <c r="J6" t="s">
        <v>150</v>
      </c>
    </row>
    <row r="7" spans="1:10">
      <c r="A7" s="12">
        <v>1</v>
      </c>
      <c r="B7" s="12">
        <v>0.99</v>
      </c>
      <c r="C7" s="12">
        <f t="shared" si="0"/>
        <v>9.8999999999999999E-4</v>
      </c>
      <c r="D7" s="12">
        <f t="shared" ref="D7:D69" si="1">C7/1000*$B$1</f>
        <v>6.8607000000000002E-5</v>
      </c>
      <c r="E7" s="12">
        <f t="shared" ref="E7:E69" si="2">D7/22.4</f>
        <v>3.0628125000000002E-6</v>
      </c>
      <c r="F7" s="12">
        <f>E7/Calculation!K$4*1000</f>
        <v>2.0652815239379636E-6</v>
      </c>
      <c r="G7" s="12">
        <f t="shared" ref="G7:G70" si="3">G6+(F7+F6)/2*30</f>
        <v>3.0979222859069451E-5</v>
      </c>
      <c r="I7" s="12">
        <v>2</v>
      </c>
      <c r="J7" t="s">
        <v>151</v>
      </c>
    </row>
    <row r="8" spans="1:10">
      <c r="A8" s="12">
        <v>1.5</v>
      </c>
      <c r="B8" s="12">
        <v>0</v>
      </c>
      <c r="C8" s="12">
        <f t="shared" si="0"/>
        <v>0</v>
      </c>
      <c r="D8" s="12">
        <f t="shared" si="1"/>
        <v>0</v>
      </c>
      <c r="E8" s="12">
        <f t="shared" si="2"/>
        <v>0</v>
      </c>
      <c r="F8" s="12">
        <f>E8/Calculation!K$4*1000</f>
        <v>0</v>
      </c>
      <c r="G8" s="12">
        <f t="shared" si="3"/>
        <v>6.1958445718138903E-5</v>
      </c>
      <c r="I8" s="12">
        <v>3.3333333333333335</v>
      </c>
      <c r="J8" t="s">
        <v>152</v>
      </c>
    </row>
    <row r="9" spans="1:10">
      <c r="A9" s="12">
        <v>2</v>
      </c>
      <c r="B9" s="12">
        <v>23.85</v>
      </c>
      <c r="C9" s="12">
        <f t="shared" si="0"/>
        <v>2.3850000000000003E-2</v>
      </c>
      <c r="D9" s="12">
        <f t="shared" si="1"/>
        <v>1.6528050000000002E-3</v>
      </c>
      <c r="E9" s="12">
        <f t="shared" si="2"/>
        <v>7.3785937500000021E-5</v>
      </c>
      <c r="F9" s="12">
        <f>E9/Calculation!K$5*1000</f>
        <v>5.131150034770516E-5</v>
      </c>
      <c r="G9" s="12">
        <f t="shared" si="3"/>
        <v>8.316309509337163E-4</v>
      </c>
      <c r="I9" s="12">
        <v>4.666666666666667</v>
      </c>
      <c r="J9" t="s">
        <v>153</v>
      </c>
    </row>
    <row r="10" spans="1:10">
      <c r="A10" s="12">
        <v>2.5</v>
      </c>
      <c r="B10" s="12">
        <v>0.99</v>
      </c>
      <c r="C10" s="12">
        <f t="shared" si="0"/>
        <v>9.8999999999999999E-4</v>
      </c>
      <c r="D10" s="12">
        <f t="shared" si="1"/>
        <v>6.8607000000000002E-5</v>
      </c>
      <c r="E10" s="12">
        <f t="shared" si="2"/>
        <v>3.0628125000000002E-6</v>
      </c>
      <c r="F10" s="12">
        <f>E10/Calculation!K$5*1000</f>
        <v>2.1299113351877608E-6</v>
      </c>
      <c r="G10" s="12">
        <f t="shared" si="3"/>
        <v>1.63325212617711E-3</v>
      </c>
      <c r="I10" s="12">
        <v>6</v>
      </c>
      <c r="J10" t="s">
        <v>154</v>
      </c>
    </row>
    <row r="11" spans="1:10">
      <c r="A11" s="12">
        <v>3</v>
      </c>
      <c r="B11" s="12">
        <v>14.91</v>
      </c>
      <c r="C11" s="12">
        <f t="shared" si="0"/>
        <v>1.491E-2</v>
      </c>
      <c r="D11" s="12">
        <f t="shared" si="1"/>
        <v>1.033263E-3</v>
      </c>
      <c r="E11" s="12">
        <f t="shared" si="2"/>
        <v>4.61278125E-5</v>
      </c>
      <c r="F11" s="12">
        <f>E11/Calculation!K$5*1000</f>
        <v>3.2077755563282341E-5</v>
      </c>
      <c r="G11" s="12">
        <f t="shared" si="3"/>
        <v>2.1463671296541613E-3</v>
      </c>
      <c r="I11" s="12">
        <v>7.333333333333333</v>
      </c>
      <c r="J11" t="s">
        <v>155</v>
      </c>
    </row>
    <row r="12" spans="1:10">
      <c r="A12" s="12">
        <v>3.5</v>
      </c>
      <c r="B12" s="12">
        <v>0</v>
      </c>
      <c r="C12" s="12">
        <f t="shared" si="0"/>
        <v>0</v>
      </c>
      <c r="D12" s="12">
        <f t="shared" si="1"/>
        <v>0</v>
      </c>
      <c r="E12" s="12">
        <f t="shared" si="2"/>
        <v>0</v>
      </c>
      <c r="F12" s="12">
        <f>E12/Calculation!K$6*1000</f>
        <v>0</v>
      </c>
      <c r="G12" s="12">
        <f t="shared" si="3"/>
        <v>2.6275334631033964E-3</v>
      </c>
      <c r="I12" s="12">
        <v>8.6666666666666661</v>
      </c>
      <c r="J12" t="s">
        <v>156</v>
      </c>
    </row>
    <row r="13" spans="1:10">
      <c r="A13" s="12">
        <v>4</v>
      </c>
      <c r="B13" s="12">
        <v>0</v>
      </c>
      <c r="C13" s="12">
        <f t="shared" si="0"/>
        <v>0</v>
      </c>
      <c r="D13" s="12">
        <f t="shared" si="1"/>
        <v>0</v>
      </c>
      <c r="E13" s="12">
        <f t="shared" si="2"/>
        <v>0</v>
      </c>
      <c r="F13" s="12">
        <f>E13/Calculation!K$6*1000</f>
        <v>0</v>
      </c>
      <c r="G13" s="12">
        <f t="shared" si="3"/>
        <v>2.6275334631033964E-3</v>
      </c>
      <c r="I13" s="12">
        <v>10</v>
      </c>
      <c r="J13" t="s">
        <v>157</v>
      </c>
    </row>
    <row r="14" spans="1:10">
      <c r="A14" s="12">
        <v>4.5</v>
      </c>
      <c r="B14" s="12">
        <v>6.96</v>
      </c>
      <c r="C14" s="12">
        <f t="shared" si="0"/>
        <v>6.96E-3</v>
      </c>
      <c r="D14" s="12">
        <f t="shared" si="1"/>
        <v>4.8232800000000002E-4</v>
      </c>
      <c r="E14" s="12">
        <f t="shared" si="2"/>
        <v>2.1532500000000001E-5</v>
      </c>
      <c r="F14" s="12">
        <f>E14/Calculation!K$6*1000</f>
        <v>1.546875E-5</v>
      </c>
      <c r="G14" s="12">
        <f t="shared" si="3"/>
        <v>2.8595647131033964E-3</v>
      </c>
      <c r="I14" s="12">
        <v>11.333333333333334</v>
      </c>
      <c r="J14" t="s">
        <v>158</v>
      </c>
    </row>
    <row r="15" spans="1:10">
      <c r="A15" s="12">
        <v>5</v>
      </c>
      <c r="B15" s="12">
        <v>1.99</v>
      </c>
      <c r="C15" s="12">
        <f t="shared" si="0"/>
        <v>1.99E-3</v>
      </c>
      <c r="D15" s="12">
        <f t="shared" si="1"/>
        <v>1.3790699999999999E-4</v>
      </c>
      <c r="E15" s="12">
        <f t="shared" si="2"/>
        <v>6.1565625000000004E-6</v>
      </c>
      <c r="F15" s="12">
        <f>E15/Calculation!K$7*1000</f>
        <v>4.5569418031715475E-6</v>
      </c>
      <c r="G15" s="12">
        <f t="shared" si="3"/>
        <v>3.1599500901509695E-3</v>
      </c>
      <c r="I15" s="12">
        <v>12.666666666666666</v>
      </c>
      <c r="J15" t="s">
        <v>159</v>
      </c>
    </row>
    <row r="16" spans="1:10">
      <c r="A16" s="12">
        <v>5.5</v>
      </c>
      <c r="B16" s="12">
        <v>0.99</v>
      </c>
      <c r="C16" s="12">
        <f t="shared" si="0"/>
        <v>9.8999999999999999E-4</v>
      </c>
      <c r="D16" s="12">
        <f t="shared" si="1"/>
        <v>6.8607000000000002E-5</v>
      </c>
      <c r="E16" s="12">
        <f t="shared" si="2"/>
        <v>3.0628125000000002E-6</v>
      </c>
      <c r="F16" s="12">
        <f>E16/Calculation!K$7*1000</f>
        <v>2.2670212990652418E-6</v>
      </c>
      <c r="G16" s="12">
        <f t="shared" si="3"/>
        <v>3.2623095366845212E-3</v>
      </c>
      <c r="I16" s="12">
        <v>14</v>
      </c>
      <c r="J16" t="s">
        <v>160</v>
      </c>
    </row>
    <row r="17" spans="1:10">
      <c r="A17" s="12">
        <v>6</v>
      </c>
      <c r="B17" s="12">
        <v>2.98</v>
      </c>
      <c r="C17" s="12">
        <f t="shared" si="0"/>
        <v>2.98E-3</v>
      </c>
      <c r="D17" s="12">
        <f t="shared" si="1"/>
        <v>2.0651399999999998E-4</v>
      </c>
      <c r="E17" s="12">
        <f t="shared" si="2"/>
        <v>9.2193750000000001E-6</v>
      </c>
      <c r="F17" s="12">
        <f>E17/Calculation!K$8*1000</f>
        <v>7.0641331884670044E-6</v>
      </c>
      <c r="G17" s="12">
        <f t="shared" si="3"/>
        <v>3.4022768539975047E-3</v>
      </c>
      <c r="I17" s="12">
        <v>15.333333333333334</v>
      </c>
      <c r="J17" t="s">
        <v>161</v>
      </c>
    </row>
    <row r="18" spans="1:10">
      <c r="A18" s="12">
        <v>6.5</v>
      </c>
      <c r="B18" s="12">
        <v>0.99</v>
      </c>
      <c r="C18" s="12">
        <f t="shared" si="0"/>
        <v>9.8999999999999999E-4</v>
      </c>
      <c r="D18" s="12">
        <f t="shared" si="1"/>
        <v>6.8607000000000002E-5</v>
      </c>
      <c r="E18" s="12">
        <f t="shared" si="2"/>
        <v>3.0628125000000002E-6</v>
      </c>
      <c r="F18" s="12">
        <f>E18/Calculation!K$8*1000</f>
        <v>2.3468093478464212E-6</v>
      </c>
      <c r="G18" s="12">
        <f t="shared" si="3"/>
        <v>3.5434409920422063E-3</v>
      </c>
      <c r="I18" s="12">
        <v>16.666666666666668</v>
      </c>
      <c r="J18" t="s">
        <v>162</v>
      </c>
    </row>
    <row r="19" spans="1:10">
      <c r="A19" s="12">
        <v>7</v>
      </c>
      <c r="B19" s="12">
        <v>0.99</v>
      </c>
      <c r="C19" s="12">
        <f t="shared" si="0"/>
        <v>9.8999999999999999E-4</v>
      </c>
      <c r="D19" s="12">
        <f t="shared" si="1"/>
        <v>6.8607000000000002E-5</v>
      </c>
      <c r="E19" s="12">
        <f t="shared" si="2"/>
        <v>3.0628125000000002E-6</v>
      </c>
      <c r="F19" s="12">
        <f>E19/Calculation!K$8*1000</f>
        <v>2.3468093478464212E-6</v>
      </c>
      <c r="G19" s="12">
        <f t="shared" si="3"/>
        <v>3.6138452724775992E-3</v>
      </c>
      <c r="I19" s="12">
        <v>18</v>
      </c>
      <c r="J19" t="s">
        <v>163</v>
      </c>
    </row>
    <row r="20" spans="1:10">
      <c r="A20" s="12">
        <v>7.5</v>
      </c>
      <c r="B20" s="12">
        <v>0</v>
      </c>
      <c r="C20" s="12">
        <f t="shared" si="0"/>
        <v>0</v>
      </c>
      <c r="D20" s="12">
        <f t="shared" si="1"/>
        <v>0</v>
      </c>
      <c r="E20" s="12">
        <f t="shared" si="2"/>
        <v>0</v>
      </c>
      <c r="F20" s="12">
        <f>E20/Calculation!K$9*1000</f>
        <v>0</v>
      </c>
      <c r="G20" s="12">
        <f t="shared" si="3"/>
        <v>3.6490474126952954E-3</v>
      </c>
      <c r="I20" s="12">
        <v>24</v>
      </c>
      <c r="J20" t="s">
        <v>164</v>
      </c>
    </row>
    <row r="21" spans="1:10">
      <c r="A21" s="12">
        <v>8</v>
      </c>
      <c r="B21" s="12">
        <v>36.770000000000003</v>
      </c>
      <c r="C21" s="12">
        <f t="shared" si="0"/>
        <v>3.6770000000000004E-2</v>
      </c>
      <c r="D21" s="12">
        <f t="shared" si="1"/>
        <v>2.5481610000000002E-3</v>
      </c>
      <c r="E21" s="12">
        <f t="shared" si="2"/>
        <v>1.1375718750000001E-4</v>
      </c>
      <c r="F21" s="12">
        <f>E21/Calculation!K$9*1000</f>
        <v>9.0262057872030109E-5</v>
      </c>
      <c r="G21" s="12">
        <f t="shared" si="3"/>
        <v>5.0029782807757472E-3</v>
      </c>
      <c r="I21" s="12">
        <v>30</v>
      </c>
      <c r="J21" t="s">
        <v>165</v>
      </c>
    </row>
    <row r="22" spans="1:10">
      <c r="A22" s="12">
        <v>8.5</v>
      </c>
      <c r="B22" s="12">
        <v>40.74</v>
      </c>
      <c r="C22" s="12">
        <f t="shared" si="0"/>
        <v>4.0740000000000005E-2</v>
      </c>
      <c r="D22" s="12">
        <f t="shared" si="1"/>
        <v>2.8232820000000003E-3</v>
      </c>
      <c r="E22" s="12">
        <f t="shared" si="2"/>
        <v>1.2603937500000001E-4</v>
      </c>
      <c r="F22" s="12">
        <f>E22/Calculation!K$9*1000</f>
        <v>1.000075125838049E-4</v>
      </c>
      <c r="G22" s="12">
        <f t="shared" si="3"/>
        <v>7.8570218376132726E-3</v>
      </c>
      <c r="I22" s="12">
        <v>48</v>
      </c>
      <c r="J22" t="s">
        <v>166</v>
      </c>
    </row>
    <row r="23" spans="1:10">
      <c r="A23" s="12">
        <v>9</v>
      </c>
      <c r="B23" s="12">
        <v>6.96</v>
      </c>
      <c r="C23" s="12">
        <f t="shared" si="0"/>
        <v>6.96E-3</v>
      </c>
      <c r="D23" s="12">
        <f t="shared" si="1"/>
        <v>4.8232800000000002E-4</v>
      </c>
      <c r="E23" s="12">
        <f t="shared" si="2"/>
        <v>2.1532500000000001E-5</v>
      </c>
      <c r="F23" s="12">
        <f>E23/Calculation!K$10*1000</f>
        <v>1.7596268038480939E-5</v>
      </c>
      <c r="G23" s="12">
        <f t="shared" si="3"/>
        <v>9.6210785469475601E-3</v>
      </c>
    </row>
    <row r="24" spans="1:10">
      <c r="A24" s="12">
        <v>9.5</v>
      </c>
      <c r="B24" s="12">
        <v>8.94</v>
      </c>
      <c r="C24" s="12">
        <f t="shared" si="0"/>
        <v>8.94E-3</v>
      </c>
      <c r="D24" s="12">
        <f t="shared" si="1"/>
        <v>6.1954200000000005E-4</v>
      </c>
      <c r="E24" s="12">
        <f t="shared" si="2"/>
        <v>2.7658125000000004E-5</v>
      </c>
      <c r="F24" s="12">
        <f>E24/Calculation!K$10*1000</f>
        <v>2.2602102911497071E-5</v>
      </c>
      <c r="G24" s="12">
        <f t="shared" si="3"/>
        <v>1.022405411119723E-2</v>
      </c>
    </row>
    <row r="25" spans="1:10">
      <c r="A25" s="12">
        <v>10</v>
      </c>
      <c r="B25" s="12">
        <v>1.99</v>
      </c>
      <c r="C25" s="12">
        <f t="shared" si="0"/>
        <v>1.99E-3</v>
      </c>
      <c r="D25" s="12">
        <f t="shared" si="1"/>
        <v>1.3790699999999999E-4</v>
      </c>
      <c r="E25" s="12">
        <f t="shared" si="2"/>
        <v>6.1565625000000004E-6</v>
      </c>
      <c r="F25" s="12">
        <f>E25/Calculation!K$11*1000</f>
        <v>5.1852156455453171E-6</v>
      </c>
      <c r="G25" s="12">
        <f t="shared" si="3"/>
        <v>1.0640863889552866E-2</v>
      </c>
    </row>
    <row r="26" spans="1:10">
      <c r="A26" s="12">
        <v>10.5</v>
      </c>
      <c r="B26" s="12">
        <v>23.85</v>
      </c>
      <c r="C26" s="12">
        <f t="shared" si="0"/>
        <v>2.3850000000000003E-2</v>
      </c>
      <c r="D26" s="12">
        <f t="shared" si="1"/>
        <v>1.6528050000000002E-3</v>
      </c>
      <c r="E26" s="12">
        <f t="shared" si="2"/>
        <v>7.3785937500000021E-5</v>
      </c>
      <c r="F26" s="12">
        <f>E26/Calculation!K$11*1000</f>
        <v>6.2144418666460217E-5</v>
      </c>
      <c r="G26" s="12">
        <f t="shared" si="3"/>
        <v>1.165080840423295E-2</v>
      </c>
    </row>
    <row r="27" spans="1:10">
      <c r="A27" s="12">
        <v>11</v>
      </c>
      <c r="B27" s="12">
        <v>21.86</v>
      </c>
      <c r="C27" s="12">
        <f t="shared" si="0"/>
        <v>2.1860000000000001E-2</v>
      </c>
      <c r="D27" s="12">
        <f t="shared" si="1"/>
        <v>1.514898E-3</v>
      </c>
      <c r="E27" s="12">
        <f t="shared" si="2"/>
        <v>6.7629375000000005E-5</v>
      </c>
      <c r="F27" s="12">
        <f>E27/Calculation!K$11*1000</f>
        <v>5.6959203020914887E-5</v>
      </c>
      <c r="G27" s="12">
        <f t="shared" si="3"/>
        <v>1.3437362729543576E-2</v>
      </c>
    </row>
    <row r="28" spans="1:10">
      <c r="A28" s="12">
        <v>11.5</v>
      </c>
      <c r="B28" s="12">
        <v>0.99</v>
      </c>
      <c r="C28" s="12">
        <f t="shared" si="0"/>
        <v>9.8999999999999999E-4</v>
      </c>
      <c r="D28" s="12">
        <f t="shared" si="1"/>
        <v>6.8607000000000002E-5</v>
      </c>
      <c r="E28" s="12">
        <f t="shared" si="2"/>
        <v>3.0628125000000002E-6</v>
      </c>
      <c r="F28" s="12">
        <f>E28/Calculation!K$12*1000</f>
        <v>2.6719431082283473E-6</v>
      </c>
      <c r="G28" s="12">
        <f t="shared" si="3"/>
        <v>1.4331829921480724E-2</v>
      </c>
    </row>
    <row r="29" spans="1:10">
      <c r="A29" s="12">
        <v>12</v>
      </c>
      <c r="B29" s="12">
        <v>4.97</v>
      </c>
      <c r="C29" s="12">
        <f t="shared" si="0"/>
        <v>4.9699999999999996E-3</v>
      </c>
      <c r="D29" s="12">
        <f t="shared" si="1"/>
        <v>3.4442099999999997E-4</v>
      </c>
      <c r="E29" s="12">
        <f t="shared" si="2"/>
        <v>1.5375937499999999E-5</v>
      </c>
      <c r="F29" s="12">
        <f>E29/Calculation!K$12*1000</f>
        <v>1.3413694189792811E-5</v>
      </c>
      <c r="G29" s="12">
        <f t="shared" si="3"/>
        <v>1.4573114480951041E-2</v>
      </c>
    </row>
    <row r="30" spans="1:10">
      <c r="A30" s="12">
        <v>12.5</v>
      </c>
      <c r="B30" s="12">
        <v>2.98</v>
      </c>
      <c r="C30" s="12">
        <f t="shared" si="0"/>
        <v>2.98E-3</v>
      </c>
      <c r="D30" s="12">
        <f t="shared" si="1"/>
        <v>2.0651399999999998E-4</v>
      </c>
      <c r="E30" s="12">
        <f t="shared" si="2"/>
        <v>9.2193750000000001E-6</v>
      </c>
      <c r="F30" s="12">
        <f>E30/Calculation!K$12*1000</f>
        <v>8.0428186490105808E-6</v>
      </c>
      <c r="G30" s="12">
        <f t="shared" si="3"/>
        <v>1.4894962173533092E-2</v>
      </c>
    </row>
    <row r="31" spans="1:10">
      <c r="A31" s="12">
        <v>13</v>
      </c>
      <c r="B31" s="12">
        <v>4.97</v>
      </c>
      <c r="C31" s="12">
        <f t="shared" si="0"/>
        <v>4.9699999999999996E-3</v>
      </c>
      <c r="D31" s="12">
        <f t="shared" si="1"/>
        <v>3.4442099999999997E-4</v>
      </c>
      <c r="E31" s="12">
        <f t="shared" si="2"/>
        <v>1.5375937499999999E-5</v>
      </c>
      <c r="F31" s="12">
        <f>E31/Calculation!K$13*1000</f>
        <v>1.4046190446073077E-5</v>
      </c>
      <c r="G31" s="12">
        <f t="shared" si="3"/>
        <v>1.5226297309959346E-2</v>
      </c>
    </row>
    <row r="32" spans="1:10">
      <c r="A32" s="12">
        <v>13.5</v>
      </c>
      <c r="B32" s="12">
        <v>1.99</v>
      </c>
      <c r="C32" s="12">
        <f t="shared" si="0"/>
        <v>1.99E-3</v>
      </c>
      <c r="D32" s="12">
        <f t="shared" si="1"/>
        <v>1.3790699999999999E-4</v>
      </c>
      <c r="E32" s="12">
        <f t="shared" si="2"/>
        <v>6.1565625000000004E-6</v>
      </c>
      <c r="F32" s="12">
        <f>E32/Calculation!K$13*1000</f>
        <v>5.6241285689507906E-6</v>
      </c>
      <c r="G32" s="12">
        <f t="shared" si="3"/>
        <v>1.5521352095184704E-2</v>
      </c>
    </row>
    <row r="33" spans="1:7">
      <c r="A33" s="12">
        <v>14</v>
      </c>
      <c r="B33" s="12">
        <v>30.81</v>
      </c>
      <c r="C33" s="12">
        <f t="shared" si="0"/>
        <v>3.0809999999999997E-2</v>
      </c>
      <c r="D33" s="12">
        <f t="shared" si="1"/>
        <v>2.135133E-3</v>
      </c>
      <c r="E33" s="12">
        <f t="shared" si="2"/>
        <v>9.5318437500000011E-5</v>
      </c>
      <c r="F33" s="12">
        <f>E33/Calculation!K$14*1000</f>
        <v>9.0952259330863484E-5</v>
      </c>
      <c r="G33" s="12">
        <f t="shared" si="3"/>
        <v>1.6969997913681919E-2</v>
      </c>
    </row>
    <row r="34" spans="1:7">
      <c r="A34" s="12">
        <v>14.5</v>
      </c>
      <c r="B34" s="12">
        <v>72.540000000000006</v>
      </c>
      <c r="C34" s="12">
        <f t="shared" si="0"/>
        <v>7.2540000000000007E-2</v>
      </c>
      <c r="D34" s="12">
        <f t="shared" si="1"/>
        <v>5.0270219999999999E-3</v>
      </c>
      <c r="E34" s="12">
        <f t="shared" si="2"/>
        <v>2.2442062500000002E-4</v>
      </c>
      <c r="F34" s="12">
        <f>E34/Calculation!K$14*1000</f>
        <v>2.1414076247519757E-4</v>
      </c>
      <c r="G34" s="12">
        <f t="shared" si="3"/>
        <v>2.1546393240772836E-2</v>
      </c>
    </row>
    <row r="35" spans="1:7">
      <c r="A35" s="12">
        <v>15</v>
      </c>
      <c r="B35" s="12">
        <v>13.91</v>
      </c>
      <c r="C35" s="12">
        <f t="shared" si="0"/>
        <v>1.391E-2</v>
      </c>
      <c r="D35" s="12">
        <f t="shared" si="1"/>
        <v>9.6396299999999997E-4</v>
      </c>
      <c r="E35" s="12">
        <f t="shared" si="2"/>
        <v>4.3034062500000003E-5</v>
      </c>
      <c r="F35" s="12">
        <f>E35/Calculation!K$14*1000</f>
        <v>4.1062834381444695E-5</v>
      </c>
      <c r="G35" s="12">
        <f t="shared" si="3"/>
        <v>2.537444719362247E-2</v>
      </c>
    </row>
    <row r="36" spans="1:7">
      <c r="A36" s="12">
        <v>15.5</v>
      </c>
      <c r="B36" s="12">
        <v>12.92</v>
      </c>
      <c r="C36" s="12">
        <f t="shared" si="0"/>
        <v>1.2919999999999999E-2</v>
      </c>
      <c r="D36" s="12">
        <f t="shared" si="1"/>
        <v>8.9535599999999993E-4</v>
      </c>
      <c r="E36" s="12">
        <f t="shared" si="2"/>
        <v>3.9971249999999998E-5</v>
      </c>
      <c r="F36" s="12">
        <f>E36/Calculation!K$15*1000</f>
        <v>4.0073355319879402E-5</v>
      </c>
      <c r="G36" s="12">
        <f t="shared" si="3"/>
        <v>2.6591490039142331E-2</v>
      </c>
    </row>
    <row r="37" spans="1:7">
      <c r="A37" s="12">
        <v>16</v>
      </c>
      <c r="B37" s="12">
        <v>0</v>
      </c>
      <c r="C37" s="12">
        <f t="shared" si="0"/>
        <v>0</v>
      </c>
      <c r="D37" s="12">
        <f t="shared" si="1"/>
        <v>0</v>
      </c>
      <c r="E37" s="12">
        <f t="shared" si="2"/>
        <v>0</v>
      </c>
      <c r="F37" s="12">
        <f>E37/Calculation!K$15*1000</f>
        <v>0</v>
      </c>
      <c r="G37" s="12">
        <f t="shared" si="3"/>
        <v>2.7192590368940523E-2</v>
      </c>
    </row>
    <row r="38" spans="1:7">
      <c r="A38" s="12">
        <v>16.5</v>
      </c>
      <c r="B38" s="12">
        <v>74.53</v>
      </c>
      <c r="C38" s="12">
        <f t="shared" si="0"/>
        <v>7.4529999999999999E-2</v>
      </c>
      <c r="D38" s="12">
        <f t="shared" si="1"/>
        <v>5.1649289999999995E-3</v>
      </c>
      <c r="E38" s="12">
        <f t="shared" si="2"/>
        <v>2.3057718749999999E-4</v>
      </c>
      <c r="F38" s="12">
        <f>E38/Calculation!K$15*1000</f>
        <v>2.3116618978255508E-4</v>
      </c>
      <c r="G38" s="12">
        <f t="shared" si="3"/>
        <v>3.0660083215678847E-2</v>
      </c>
    </row>
    <row r="39" spans="1:7">
      <c r="A39" s="12">
        <v>17</v>
      </c>
      <c r="B39" s="12">
        <v>17.89</v>
      </c>
      <c r="C39" s="12">
        <f t="shared" si="0"/>
        <v>1.789E-2</v>
      </c>
      <c r="D39" s="12">
        <f t="shared" si="1"/>
        <v>1.2397769999999998E-3</v>
      </c>
      <c r="E39" s="12">
        <f t="shared" si="2"/>
        <v>5.53471875E-5</v>
      </c>
      <c r="F39" s="12">
        <f>E39/Calculation!K$16*1000</f>
        <v>5.8031325428360949E-5</v>
      </c>
      <c r="G39" s="12">
        <f t="shared" si="3"/>
        <v>3.4998045943842586E-2</v>
      </c>
    </row>
    <row r="40" spans="1:7">
      <c r="A40" s="12">
        <v>17.5</v>
      </c>
      <c r="B40" s="12">
        <v>0.99</v>
      </c>
      <c r="C40" s="12">
        <f t="shared" si="0"/>
        <v>9.8999999999999999E-4</v>
      </c>
      <c r="D40" s="12">
        <f t="shared" si="1"/>
        <v>6.8607000000000002E-5</v>
      </c>
      <c r="E40" s="12">
        <f t="shared" si="2"/>
        <v>3.0628125000000002E-6</v>
      </c>
      <c r="F40" s="12">
        <f>E40/Calculation!K$16*1000</f>
        <v>3.2113478017930322E-6</v>
      </c>
      <c r="G40" s="12">
        <f t="shared" si="3"/>
        <v>3.5916686042294893E-2</v>
      </c>
    </row>
    <row r="41" spans="1:7">
      <c r="A41" s="12">
        <v>18</v>
      </c>
      <c r="B41" s="12">
        <v>33.79</v>
      </c>
      <c r="C41" s="12">
        <f t="shared" si="0"/>
        <v>3.3790000000000001E-2</v>
      </c>
      <c r="D41" s="12">
        <f t="shared" si="1"/>
        <v>2.3416470000000001E-3</v>
      </c>
      <c r="E41" s="12">
        <f t="shared" si="2"/>
        <v>1.0453781250000001E-4</v>
      </c>
      <c r="F41" s="12">
        <f>E41/Calculation!K$17*1000</f>
        <v>1.1661384841106624E-4</v>
      </c>
      <c r="G41" s="12">
        <f t="shared" si="3"/>
        <v>3.7714063985487781E-2</v>
      </c>
    </row>
    <row r="42" spans="1:7">
      <c r="A42" s="12">
        <v>18.5</v>
      </c>
      <c r="B42" s="12">
        <v>0</v>
      </c>
      <c r="C42" s="12">
        <f t="shared" si="0"/>
        <v>0</v>
      </c>
      <c r="D42" s="12">
        <f t="shared" si="1"/>
        <v>0</v>
      </c>
      <c r="E42" s="12">
        <f t="shared" si="2"/>
        <v>0</v>
      </c>
      <c r="F42" s="12">
        <f>E42/Calculation!K$17*1000</f>
        <v>0</v>
      </c>
      <c r="G42" s="12">
        <f t="shared" si="3"/>
        <v>3.9463271711653772E-2</v>
      </c>
    </row>
    <row r="43" spans="1:7">
      <c r="A43" s="12">
        <v>19</v>
      </c>
      <c r="B43" s="12">
        <v>2.98</v>
      </c>
      <c r="C43" s="12">
        <f t="shared" si="0"/>
        <v>2.98E-3</v>
      </c>
      <c r="D43" s="12">
        <f t="shared" si="1"/>
        <v>2.0651399999999998E-4</v>
      </c>
      <c r="E43" s="12">
        <f t="shared" si="2"/>
        <v>9.2193750000000001E-6</v>
      </c>
      <c r="F43" s="12">
        <f>E43/Calculation!K$17*1000</f>
        <v>1.0284382014352689E-5</v>
      </c>
      <c r="G43" s="12">
        <f t="shared" si="3"/>
        <v>3.9617537441869063E-2</v>
      </c>
    </row>
    <row r="44" spans="1:7">
      <c r="A44" s="12">
        <v>19.5</v>
      </c>
      <c r="B44" s="12">
        <v>0</v>
      </c>
      <c r="C44" s="12">
        <f t="shared" si="0"/>
        <v>0</v>
      </c>
      <c r="D44" s="12">
        <f t="shared" si="1"/>
        <v>0</v>
      </c>
      <c r="E44" s="12">
        <f t="shared" si="2"/>
        <v>0</v>
      </c>
      <c r="F44" s="12">
        <f>E44/Calculation!K$17*1000</f>
        <v>0</v>
      </c>
      <c r="G44" s="12">
        <f t="shared" si="3"/>
        <v>3.9771803172084355E-2</v>
      </c>
    </row>
    <row r="45" spans="1:7">
      <c r="A45" s="12">
        <v>20</v>
      </c>
      <c r="B45" s="12">
        <v>21.86</v>
      </c>
      <c r="C45" s="12">
        <f t="shared" si="0"/>
        <v>2.1860000000000001E-2</v>
      </c>
      <c r="D45" s="12">
        <f t="shared" si="1"/>
        <v>1.514898E-3</v>
      </c>
      <c r="E45" s="12">
        <f t="shared" si="2"/>
        <v>6.7629375000000005E-5</v>
      </c>
      <c r="F45" s="12">
        <f>E45/Calculation!K$17*1000</f>
        <v>7.544180900461403E-5</v>
      </c>
      <c r="G45" s="12">
        <f t="shared" si="3"/>
        <v>4.0903430307153564E-2</v>
      </c>
    </row>
    <row r="46" spans="1:7">
      <c r="A46" s="12">
        <v>20.5</v>
      </c>
      <c r="B46" s="12">
        <v>5.96</v>
      </c>
      <c r="C46" s="12">
        <f t="shared" si="0"/>
        <v>5.96E-3</v>
      </c>
      <c r="D46" s="12">
        <f t="shared" si="1"/>
        <v>4.1302799999999996E-4</v>
      </c>
      <c r="E46" s="12">
        <f t="shared" si="2"/>
        <v>1.843875E-5</v>
      </c>
      <c r="F46" s="12">
        <f>E46/Calculation!K$17*1000</f>
        <v>2.0568764028705378E-5</v>
      </c>
      <c r="G46" s="12">
        <f t="shared" si="3"/>
        <v>4.2343588902653356E-2</v>
      </c>
    </row>
    <row r="47" spans="1:7">
      <c r="A47" s="12">
        <v>21</v>
      </c>
      <c r="B47" s="12">
        <v>0.99</v>
      </c>
      <c r="C47" s="12">
        <f t="shared" si="0"/>
        <v>9.8999999999999999E-4</v>
      </c>
      <c r="D47" s="12">
        <f t="shared" si="1"/>
        <v>6.8607000000000002E-5</v>
      </c>
      <c r="E47" s="12">
        <f t="shared" si="2"/>
        <v>3.0628125000000002E-6</v>
      </c>
      <c r="F47" s="12">
        <f>E47/Calculation!K$17*1000</f>
        <v>3.4166235551037459E-6</v>
      </c>
      <c r="G47" s="12">
        <f t="shared" si="3"/>
        <v>4.2703369716410491E-2</v>
      </c>
    </row>
    <row r="48" spans="1:7">
      <c r="A48" s="12">
        <v>21.5</v>
      </c>
      <c r="B48" s="12">
        <v>5.96</v>
      </c>
      <c r="C48" s="12">
        <f t="shared" si="0"/>
        <v>5.96E-3</v>
      </c>
      <c r="D48" s="12">
        <f t="shared" si="1"/>
        <v>4.1302799999999996E-4</v>
      </c>
      <c r="E48" s="12">
        <f t="shared" si="2"/>
        <v>1.843875E-5</v>
      </c>
      <c r="F48" s="12">
        <f>E48/Calculation!K$17*1000</f>
        <v>2.0568764028705378E-5</v>
      </c>
      <c r="G48" s="12">
        <f t="shared" si="3"/>
        <v>4.3063150530167627E-2</v>
      </c>
    </row>
    <row r="49" spans="1:7">
      <c r="A49" s="12">
        <v>22</v>
      </c>
      <c r="B49" s="12">
        <v>0</v>
      </c>
      <c r="C49" s="12">
        <f t="shared" si="0"/>
        <v>0</v>
      </c>
      <c r="D49" s="12">
        <f t="shared" si="1"/>
        <v>0</v>
      </c>
      <c r="E49" s="12">
        <f t="shared" si="2"/>
        <v>0</v>
      </c>
      <c r="F49" s="12">
        <f>E49/Calculation!K$17*1000</f>
        <v>0</v>
      </c>
      <c r="G49" s="12">
        <f t="shared" si="3"/>
        <v>4.337168199059821E-2</v>
      </c>
    </row>
    <row r="50" spans="1:7">
      <c r="A50" s="12">
        <v>22.5</v>
      </c>
      <c r="B50" s="12">
        <v>1.99</v>
      </c>
      <c r="C50" s="12">
        <f t="shared" si="0"/>
        <v>1.99E-3</v>
      </c>
      <c r="D50" s="12">
        <f t="shared" si="1"/>
        <v>1.3790699999999999E-4</v>
      </c>
      <c r="E50" s="12">
        <f t="shared" si="2"/>
        <v>6.1565625000000004E-6</v>
      </c>
      <c r="F50" s="12">
        <f>E50/Calculation!K$17*1000</f>
        <v>6.8677584592489437E-6</v>
      </c>
      <c r="G50" s="12">
        <f t="shared" si="3"/>
        <v>4.3474698367486943E-2</v>
      </c>
    </row>
    <row r="51" spans="1:7">
      <c r="A51" s="12">
        <v>23</v>
      </c>
      <c r="B51" s="12">
        <v>0.99</v>
      </c>
      <c r="C51" s="12">
        <f t="shared" si="0"/>
        <v>9.8999999999999999E-4</v>
      </c>
      <c r="D51" s="12">
        <f t="shared" si="1"/>
        <v>6.8607000000000002E-5</v>
      </c>
      <c r="E51" s="12">
        <f t="shared" si="2"/>
        <v>3.0628125000000002E-6</v>
      </c>
      <c r="F51" s="12">
        <f>E51/Calculation!K$17*1000</f>
        <v>3.4166235551037459E-6</v>
      </c>
      <c r="G51" s="12">
        <f t="shared" si="3"/>
        <v>4.3628964097702234E-2</v>
      </c>
    </row>
    <row r="52" spans="1:7">
      <c r="A52" s="12">
        <v>23.5</v>
      </c>
      <c r="B52" s="12">
        <v>2.98</v>
      </c>
      <c r="C52" s="12">
        <f t="shared" si="0"/>
        <v>2.98E-3</v>
      </c>
      <c r="D52" s="12">
        <f t="shared" si="1"/>
        <v>2.0651399999999998E-4</v>
      </c>
      <c r="E52" s="12">
        <f t="shared" si="2"/>
        <v>9.2193750000000001E-6</v>
      </c>
      <c r="F52" s="12">
        <f>E52/Calculation!K$17*1000</f>
        <v>1.0284382014352689E-5</v>
      </c>
      <c r="G52" s="12">
        <f t="shared" si="3"/>
        <v>4.3834479181244078E-2</v>
      </c>
    </row>
    <row r="53" spans="1:7">
      <c r="A53" s="12">
        <v>24</v>
      </c>
      <c r="B53" s="12">
        <v>0</v>
      </c>
      <c r="C53" s="12">
        <f t="shared" si="0"/>
        <v>0</v>
      </c>
      <c r="D53" s="12">
        <f t="shared" si="1"/>
        <v>0</v>
      </c>
      <c r="E53" s="12">
        <f t="shared" si="2"/>
        <v>0</v>
      </c>
      <c r="F53" s="12">
        <f>E53/Calculation!K$18*1000</f>
        <v>0</v>
      </c>
      <c r="G53" s="12">
        <f t="shared" si="3"/>
        <v>4.398874491145937E-2</v>
      </c>
    </row>
    <row r="54" spans="1:7">
      <c r="A54" s="12">
        <v>24.5</v>
      </c>
      <c r="B54" s="12">
        <v>8.94</v>
      </c>
      <c r="C54" s="12">
        <f t="shared" si="0"/>
        <v>8.94E-3</v>
      </c>
      <c r="D54" s="12">
        <f t="shared" si="1"/>
        <v>6.1954200000000005E-4</v>
      </c>
      <c r="E54" s="12">
        <f t="shared" si="2"/>
        <v>2.7658125000000004E-5</v>
      </c>
      <c r="F54" s="12">
        <f>E54/Calculation!K$18*1000</f>
        <v>3.2881553568380228E-5</v>
      </c>
      <c r="G54" s="12">
        <f t="shared" si="3"/>
        <v>4.4481968214985075E-2</v>
      </c>
    </row>
    <row r="55" spans="1:7">
      <c r="A55" s="12">
        <v>25</v>
      </c>
      <c r="B55" s="12">
        <v>7.95</v>
      </c>
      <c r="C55" s="12">
        <f t="shared" si="0"/>
        <v>7.9500000000000005E-3</v>
      </c>
      <c r="D55" s="12">
        <f t="shared" si="1"/>
        <v>5.5093500000000001E-4</v>
      </c>
      <c r="E55" s="12">
        <f t="shared" si="2"/>
        <v>2.4595312500000002E-5</v>
      </c>
      <c r="F55" s="12">
        <f>E55/Calculation!K$18*1000</f>
        <v>2.924030770342537E-5</v>
      </c>
      <c r="G55" s="12">
        <f t="shared" si="3"/>
        <v>4.5413796134062157E-2</v>
      </c>
    </row>
    <row r="56" spans="1:7">
      <c r="A56" s="12">
        <v>25.5</v>
      </c>
      <c r="B56" s="12">
        <v>0.99</v>
      </c>
      <c r="C56" s="12">
        <f t="shared" si="0"/>
        <v>9.8999999999999999E-4</v>
      </c>
      <c r="D56" s="12">
        <f t="shared" si="1"/>
        <v>6.8607000000000002E-5</v>
      </c>
      <c r="E56" s="12">
        <f t="shared" si="2"/>
        <v>3.0628125000000002E-6</v>
      </c>
      <c r="F56" s="12">
        <f>E56/Calculation!K$18*1000</f>
        <v>3.6412458649548572E-6</v>
      </c>
      <c r="G56" s="12">
        <f t="shared" si="3"/>
        <v>4.5907019437587862E-2</v>
      </c>
    </row>
    <row r="57" spans="1:7">
      <c r="A57" s="12">
        <v>26</v>
      </c>
      <c r="B57" s="12">
        <v>7.95</v>
      </c>
      <c r="C57" s="12">
        <f t="shared" si="0"/>
        <v>7.9500000000000005E-3</v>
      </c>
      <c r="D57" s="12">
        <f t="shared" si="1"/>
        <v>5.5093500000000001E-4</v>
      </c>
      <c r="E57" s="12">
        <f t="shared" si="2"/>
        <v>2.4595312500000002E-5</v>
      </c>
      <c r="F57" s="12">
        <f>E57/Calculation!K$18*1000</f>
        <v>2.924030770342537E-5</v>
      </c>
      <c r="G57" s="12">
        <f t="shared" si="3"/>
        <v>4.6400242741113568E-2</v>
      </c>
    </row>
    <row r="58" spans="1:7">
      <c r="A58" s="12">
        <v>26.5</v>
      </c>
      <c r="B58" s="12">
        <v>10.93</v>
      </c>
      <c r="C58" s="12">
        <f t="shared" si="0"/>
        <v>1.093E-2</v>
      </c>
      <c r="D58" s="12">
        <f t="shared" si="1"/>
        <v>7.5744899999999999E-4</v>
      </c>
      <c r="E58" s="12">
        <f t="shared" si="2"/>
        <v>3.3814687500000003E-5</v>
      </c>
      <c r="F58" s="12">
        <f>E58/Calculation!K$18*1000</f>
        <v>4.0200825559552111E-5</v>
      </c>
      <c r="G58" s="12">
        <f t="shared" si="3"/>
        <v>4.7441859740058233E-2</v>
      </c>
    </row>
    <row r="59" spans="1:7">
      <c r="A59" s="12">
        <v>27</v>
      </c>
      <c r="B59" s="12">
        <v>13.91</v>
      </c>
      <c r="C59" s="12">
        <f t="shared" si="0"/>
        <v>1.391E-2</v>
      </c>
      <c r="D59" s="12">
        <f t="shared" si="1"/>
        <v>9.6396299999999997E-4</v>
      </c>
      <c r="E59" s="12">
        <f t="shared" si="2"/>
        <v>4.3034062500000003E-5</v>
      </c>
      <c r="F59" s="12">
        <f>E59/Calculation!K$18*1000</f>
        <v>5.1161343415678856E-5</v>
      </c>
      <c r="G59" s="12">
        <f t="shared" si="3"/>
        <v>4.8812292274686697E-2</v>
      </c>
    </row>
    <row r="60" spans="1:7">
      <c r="A60" s="12">
        <v>27.5</v>
      </c>
      <c r="B60" s="12">
        <v>0</v>
      </c>
      <c r="C60" s="12">
        <f t="shared" si="0"/>
        <v>0</v>
      </c>
      <c r="D60" s="12">
        <f t="shared" si="1"/>
        <v>0</v>
      </c>
      <c r="E60" s="12">
        <f t="shared" si="2"/>
        <v>0</v>
      </c>
      <c r="F60" s="12">
        <f>E60/Calculation!K$18*1000</f>
        <v>0</v>
      </c>
      <c r="G60" s="12">
        <f t="shared" si="3"/>
        <v>4.9579712425921879E-2</v>
      </c>
    </row>
    <row r="61" spans="1:7">
      <c r="A61" s="12">
        <v>28</v>
      </c>
      <c r="B61" s="12">
        <v>4.97</v>
      </c>
      <c r="C61" s="12">
        <f t="shared" si="0"/>
        <v>4.9699999999999996E-3</v>
      </c>
      <c r="D61" s="12">
        <f t="shared" si="1"/>
        <v>3.4442099999999997E-4</v>
      </c>
      <c r="E61" s="12">
        <f t="shared" si="2"/>
        <v>1.5375937499999999E-5</v>
      </c>
      <c r="F61" s="12">
        <f>E61/Calculation!K$18*1000</f>
        <v>1.8279789847298625E-5</v>
      </c>
      <c r="G61" s="12">
        <f t="shared" si="3"/>
        <v>4.9853909273631355E-2</v>
      </c>
    </row>
    <row r="62" spans="1:7">
      <c r="A62" s="12">
        <v>28.5</v>
      </c>
      <c r="B62" s="12">
        <v>0</v>
      </c>
      <c r="C62" s="12">
        <f t="shared" si="0"/>
        <v>0</v>
      </c>
      <c r="D62" s="12">
        <f t="shared" si="1"/>
        <v>0</v>
      </c>
      <c r="E62" s="12">
        <f t="shared" si="2"/>
        <v>0</v>
      </c>
      <c r="F62" s="12">
        <f>E62/Calculation!K$18*1000</f>
        <v>0</v>
      </c>
      <c r="G62" s="12">
        <f t="shared" si="3"/>
        <v>5.0128106121340832E-2</v>
      </c>
    </row>
    <row r="63" spans="1:7">
      <c r="A63" s="12">
        <v>29</v>
      </c>
      <c r="B63" s="12">
        <v>0</v>
      </c>
      <c r="C63" s="12">
        <f t="shared" si="0"/>
        <v>0</v>
      </c>
      <c r="D63" s="12">
        <f t="shared" si="1"/>
        <v>0</v>
      </c>
      <c r="E63" s="12">
        <f t="shared" si="2"/>
        <v>0</v>
      </c>
      <c r="F63" s="12">
        <f>E63/Calculation!K$18*1000</f>
        <v>0</v>
      </c>
      <c r="G63" s="12">
        <f t="shared" si="3"/>
        <v>5.0128106121340832E-2</v>
      </c>
    </row>
    <row r="64" spans="1:7">
      <c r="A64" s="12">
        <v>29.5</v>
      </c>
      <c r="B64" s="12">
        <v>0</v>
      </c>
      <c r="C64" s="12">
        <f t="shared" si="0"/>
        <v>0</v>
      </c>
      <c r="D64" s="12">
        <f t="shared" si="1"/>
        <v>0</v>
      </c>
      <c r="E64" s="12">
        <f t="shared" si="2"/>
        <v>0</v>
      </c>
      <c r="F64" s="12">
        <f>E64/Calculation!K$18*1000</f>
        <v>0</v>
      </c>
      <c r="G64" s="12">
        <f t="shared" si="3"/>
        <v>5.0128106121340832E-2</v>
      </c>
    </row>
    <row r="65" spans="1:7">
      <c r="A65" s="12">
        <v>30</v>
      </c>
      <c r="B65" s="12">
        <v>12.92</v>
      </c>
      <c r="C65" s="12">
        <f t="shared" si="0"/>
        <v>1.2919999999999999E-2</v>
      </c>
      <c r="D65" s="12">
        <f t="shared" si="1"/>
        <v>8.9535599999999993E-4</v>
      </c>
      <c r="E65" s="12">
        <f t="shared" si="2"/>
        <v>3.9971249999999998E-5</v>
      </c>
      <c r="F65" s="12">
        <f>E65/Calculation!K$19*1000</f>
        <v>5.0801386654103202E-5</v>
      </c>
      <c r="G65" s="12">
        <f t="shared" si="3"/>
        <v>5.0890126921152377E-2</v>
      </c>
    </row>
    <row r="66" spans="1:7">
      <c r="A66" s="12">
        <v>30.5</v>
      </c>
      <c r="B66" s="12">
        <v>0</v>
      </c>
      <c r="C66" s="12">
        <f t="shared" si="0"/>
        <v>0</v>
      </c>
      <c r="D66" s="12">
        <f t="shared" si="1"/>
        <v>0</v>
      </c>
      <c r="E66" s="12">
        <f t="shared" si="2"/>
        <v>0</v>
      </c>
      <c r="F66" s="12">
        <f>E66/Calculation!K$19*1000</f>
        <v>0</v>
      </c>
      <c r="G66" s="12">
        <f t="shared" si="3"/>
        <v>5.1652147720963923E-2</v>
      </c>
    </row>
    <row r="67" spans="1:7">
      <c r="A67" s="12">
        <v>31</v>
      </c>
      <c r="B67" s="12">
        <v>0</v>
      </c>
      <c r="C67" s="12">
        <f t="shared" si="0"/>
        <v>0</v>
      </c>
      <c r="D67" s="12">
        <f t="shared" si="1"/>
        <v>0</v>
      </c>
      <c r="E67" s="12">
        <f t="shared" si="2"/>
        <v>0</v>
      </c>
      <c r="F67" s="12">
        <f>E67/Calculation!K$19*1000</f>
        <v>0</v>
      </c>
      <c r="G67" s="12">
        <f t="shared" si="3"/>
        <v>5.1652147720963923E-2</v>
      </c>
    </row>
    <row r="68" spans="1:7">
      <c r="A68" s="12">
        <v>31.5</v>
      </c>
      <c r="B68" s="12">
        <v>5.96</v>
      </c>
      <c r="C68" s="12">
        <f t="shared" si="0"/>
        <v>5.96E-3</v>
      </c>
      <c r="D68" s="12">
        <f t="shared" si="1"/>
        <v>4.1302799999999996E-4</v>
      </c>
      <c r="E68" s="12">
        <f t="shared" si="2"/>
        <v>1.843875E-5</v>
      </c>
      <c r="F68" s="12">
        <f>E68/Calculation!K$19*1000</f>
        <v>2.3434695391521292E-5</v>
      </c>
      <c r="G68" s="12">
        <f t="shared" si="3"/>
        <v>5.2003668151836741E-2</v>
      </c>
    </row>
    <row r="69" spans="1:7">
      <c r="A69" s="12">
        <v>32</v>
      </c>
      <c r="B69" s="12">
        <v>4.97</v>
      </c>
      <c r="C69" s="12">
        <f t="shared" si="0"/>
        <v>4.9699999999999996E-3</v>
      </c>
      <c r="D69" s="12">
        <f t="shared" si="1"/>
        <v>3.4442099999999997E-4</v>
      </c>
      <c r="E69" s="12">
        <f t="shared" si="2"/>
        <v>1.5375937499999999E-5</v>
      </c>
      <c r="F69" s="12">
        <f>E69/Calculation!K$19*1000</f>
        <v>1.9542019479171281E-5</v>
      </c>
      <c r="G69" s="12">
        <f t="shared" si="3"/>
        <v>5.2648318874897126E-2</v>
      </c>
    </row>
    <row r="70" spans="1:7">
      <c r="A70" s="12">
        <v>32.5</v>
      </c>
      <c r="B70" s="12">
        <v>27.82</v>
      </c>
      <c r="C70" s="12">
        <f t="shared" ref="C70:C101" si="4">B70/1000</f>
        <v>2.7820000000000001E-2</v>
      </c>
      <c r="D70" s="12">
        <f t="shared" ref="D70:D101" si="5">C70/1000*$B$1</f>
        <v>1.9279259999999999E-3</v>
      </c>
      <c r="E70" s="12">
        <f t="shared" ref="E70:E101" si="6">D70/22.4</f>
        <v>8.6068125000000005E-5</v>
      </c>
      <c r="F70" s="12">
        <f>E70/Calculation!K$19*1000</f>
        <v>1.0938812513290644E-4</v>
      </c>
      <c r="G70" s="12">
        <f t="shared" si="3"/>
        <v>5.4582271044078291E-2</v>
      </c>
    </row>
    <row r="71" spans="1:7">
      <c r="A71" s="12">
        <v>33</v>
      </c>
      <c r="B71" s="12">
        <v>0</v>
      </c>
      <c r="C71" s="12">
        <f t="shared" si="4"/>
        <v>0</v>
      </c>
      <c r="D71" s="12">
        <f t="shared" si="5"/>
        <v>0</v>
      </c>
      <c r="E71" s="12">
        <f t="shared" si="6"/>
        <v>0</v>
      </c>
      <c r="F71" s="12">
        <f>E71/Calculation!K$19*1000</f>
        <v>0</v>
      </c>
      <c r="G71" s="12">
        <f t="shared" ref="G71:G101" si="7">G70+(F71+F70)/2*30</f>
        <v>5.6223092921071888E-2</v>
      </c>
    </row>
    <row r="72" spans="1:7">
      <c r="A72" s="12">
        <v>33.5</v>
      </c>
      <c r="B72" s="12">
        <v>5.96</v>
      </c>
      <c r="C72" s="12">
        <f t="shared" si="4"/>
        <v>5.96E-3</v>
      </c>
      <c r="D72" s="12">
        <f t="shared" si="5"/>
        <v>4.1302799999999996E-4</v>
      </c>
      <c r="E72" s="12">
        <f t="shared" si="6"/>
        <v>1.843875E-5</v>
      </c>
      <c r="F72" s="12">
        <f>E72/Calculation!K$19*1000</f>
        <v>2.3434695391521292E-5</v>
      </c>
      <c r="G72" s="12">
        <f t="shared" si="7"/>
        <v>5.6574613351944705E-2</v>
      </c>
    </row>
    <row r="73" spans="1:7">
      <c r="A73" s="12">
        <v>34</v>
      </c>
      <c r="B73" s="12">
        <v>12.92</v>
      </c>
      <c r="C73" s="12">
        <f t="shared" si="4"/>
        <v>1.2919999999999999E-2</v>
      </c>
      <c r="D73" s="12">
        <f t="shared" si="5"/>
        <v>8.9535599999999993E-4</v>
      </c>
      <c r="E73" s="12">
        <f t="shared" si="6"/>
        <v>3.9971249999999998E-5</v>
      </c>
      <c r="F73" s="12">
        <f>E73/Calculation!K$19*1000</f>
        <v>5.0801386654103202E-5</v>
      </c>
      <c r="G73" s="12">
        <f t="shared" si="7"/>
        <v>5.7688154582629075E-2</v>
      </c>
    </row>
    <row r="74" spans="1:7">
      <c r="A74" s="12">
        <v>34.5</v>
      </c>
      <c r="B74" s="12">
        <v>3.97</v>
      </c>
      <c r="C74" s="12">
        <f t="shared" si="4"/>
        <v>3.9700000000000004E-3</v>
      </c>
      <c r="D74" s="12">
        <f t="shared" si="5"/>
        <v>2.7512099999999997E-4</v>
      </c>
      <c r="E74" s="12">
        <f t="shared" si="6"/>
        <v>1.22821875E-5</v>
      </c>
      <c r="F74" s="12">
        <f>E74/Calculation!K$19*1000</f>
        <v>1.5610023608110659E-5</v>
      </c>
      <c r="G74" s="12">
        <f t="shared" si="7"/>
        <v>5.8684325736562286E-2</v>
      </c>
    </row>
    <row r="75" spans="1:7">
      <c r="A75" s="12">
        <v>35</v>
      </c>
      <c r="B75" s="12">
        <v>0</v>
      </c>
      <c r="C75" s="12">
        <f t="shared" si="4"/>
        <v>0</v>
      </c>
      <c r="D75" s="12">
        <f t="shared" si="5"/>
        <v>0</v>
      </c>
      <c r="E75" s="12">
        <f t="shared" si="6"/>
        <v>0</v>
      </c>
      <c r="F75" s="12">
        <f>E75/Calculation!K$19*1000</f>
        <v>0</v>
      </c>
      <c r="G75" s="12">
        <f t="shared" si="7"/>
        <v>5.8918476090683944E-2</v>
      </c>
    </row>
    <row r="76" spans="1:7">
      <c r="A76" s="12">
        <v>35.5</v>
      </c>
      <c r="B76" s="12">
        <v>15.9</v>
      </c>
      <c r="C76" s="12">
        <f t="shared" si="4"/>
        <v>1.5900000000000001E-2</v>
      </c>
      <c r="D76" s="12">
        <f t="shared" si="5"/>
        <v>1.10187E-3</v>
      </c>
      <c r="E76" s="12">
        <f t="shared" si="6"/>
        <v>4.9190625000000005E-5</v>
      </c>
      <c r="F76" s="12">
        <f>E76/Calculation!K$19*1000</f>
        <v>6.251873434986385E-5</v>
      </c>
      <c r="G76" s="12">
        <f t="shared" si="7"/>
        <v>5.9856257105931898E-2</v>
      </c>
    </row>
    <row r="77" spans="1:7">
      <c r="A77" s="12">
        <v>36</v>
      </c>
      <c r="B77" s="12">
        <v>1.99</v>
      </c>
      <c r="C77" s="12">
        <f t="shared" si="4"/>
        <v>1.99E-3</v>
      </c>
      <c r="D77" s="12">
        <f t="shared" si="5"/>
        <v>1.3790699999999999E-4</v>
      </c>
      <c r="E77" s="12">
        <f t="shared" si="6"/>
        <v>6.1565625000000004E-6</v>
      </c>
      <c r="F77" s="12">
        <f>E77/Calculation!K$19*1000</f>
        <v>7.8246717834106327E-6</v>
      </c>
      <c r="G77" s="12">
        <f t="shared" si="7"/>
        <v>6.0911408197931019E-2</v>
      </c>
    </row>
    <row r="78" spans="1:7">
      <c r="A78" s="12">
        <v>36.5</v>
      </c>
      <c r="B78" s="12">
        <v>14.91</v>
      </c>
      <c r="C78" s="12">
        <f t="shared" si="4"/>
        <v>1.491E-2</v>
      </c>
      <c r="D78" s="12">
        <f t="shared" si="5"/>
        <v>1.033263E-3</v>
      </c>
      <c r="E78" s="12">
        <f t="shared" si="6"/>
        <v>4.61278125E-5</v>
      </c>
      <c r="F78" s="12">
        <f>E78/Calculation!K$19*1000</f>
        <v>5.8626058437513845E-5</v>
      </c>
      <c r="G78" s="12">
        <f t="shared" si="7"/>
        <v>6.1908169151244884E-2</v>
      </c>
    </row>
    <row r="79" spans="1:7">
      <c r="A79" s="12">
        <v>37</v>
      </c>
      <c r="B79" s="12">
        <v>1.99</v>
      </c>
      <c r="C79" s="12">
        <f t="shared" si="4"/>
        <v>1.99E-3</v>
      </c>
      <c r="D79" s="12">
        <f t="shared" si="5"/>
        <v>1.3790699999999999E-4</v>
      </c>
      <c r="E79" s="12">
        <f t="shared" si="6"/>
        <v>6.1565625000000004E-6</v>
      </c>
      <c r="F79" s="12">
        <f>E79/Calculation!K$19*1000</f>
        <v>7.8246717834106327E-6</v>
      </c>
      <c r="G79" s="12">
        <f t="shared" si="7"/>
        <v>6.2904930104558748E-2</v>
      </c>
    </row>
    <row r="80" spans="1:7">
      <c r="A80" s="12">
        <v>37.5</v>
      </c>
      <c r="B80" s="12">
        <v>0</v>
      </c>
      <c r="C80" s="12">
        <f t="shared" si="4"/>
        <v>0</v>
      </c>
      <c r="D80" s="12">
        <f t="shared" si="5"/>
        <v>0</v>
      </c>
      <c r="E80" s="12">
        <f t="shared" si="6"/>
        <v>0</v>
      </c>
      <c r="F80" s="12">
        <f>E80/Calculation!K$19*1000</f>
        <v>0</v>
      </c>
      <c r="G80" s="12">
        <f t="shared" si="7"/>
        <v>6.3022300181309901E-2</v>
      </c>
    </row>
    <row r="81" spans="1:7">
      <c r="A81" s="12">
        <v>38</v>
      </c>
      <c r="B81" s="12">
        <v>1.99</v>
      </c>
      <c r="C81" s="12">
        <f t="shared" si="4"/>
        <v>1.99E-3</v>
      </c>
      <c r="D81" s="12">
        <f t="shared" si="5"/>
        <v>1.3790699999999999E-4</v>
      </c>
      <c r="E81" s="12">
        <f t="shared" si="6"/>
        <v>6.1565625000000004E-6</v>
      </c>
      <c r="F81" s="12">
        <f>E81/Calculation!K$19*1000</f>
        <v>7.8246717834106327E-6</v>
      </c>
      <c r="G81" s="12">
        <f t="shared" si="7"/>
        <v>6.3139670258061054E-2</v>
      </c>
    </row>
    <row r="82" spans="1:7">
      <c r="A82" s="12">
        <v>38.5</v>
      </c>
      <c r="B82" s="12">
        <v>1.99</v>
      </c>
      <c r="C82" s="12">
        <f t="shared" si="4"/>
        <v>1.99E-3</v>
      </c>
      <c r="D82" s="12">
        <f t="shared" si="5"/>
        <v>1.3790699999999999E-4</v>
      </c>
      <c r="E82" s="12">
        <f t="shared" si="6"/>
        <v>6.1565625000000004E-6</v>
      </c>
      <c r="F82" s="12">
        <f>E82/Calculation!K$19*1000</f>
        <v>7.8246717834106327E-6</v>
      </c>
      <c r="G82" s="12">
        <f t="shared" si="7"/>
        <v>6.3374410411563373E-2</v>
      </c>
    </row>
    <row r="83" spans="1:7">
      <c r="A83" s="12">
        <v>39</v>
      </c>
      <c r="B83" s="12">
        <v>43.72</v>
      </c>
      <c r="C83" s="12">
        <f t="shared" si="4"/>
        <v>4.3720000000000002E-2</v>
      </c>
      <c r="D83" s="12">
        <f t="shared" si="5"/>
        <v>3.029796E-3</v>
      </c>
      <c r="E83" s="12">
        <f t="shared" si="6"/>
        <v>1.3525875000000001E-4</v>
      </c>
      <c r="F83" s="12">
        <f>E83/Calculation!K$19*1000</f>
        <v>1.7190685948277032E-4</v>
      </c>
      <c r="G83" s="12">
        <f t="shared" si="7"/>
        <v>6.6070383380556083E-2</v>
      </c>
    </row>
    <row r="84" spans="1:7">
      <c r="A84" s="12">
        <v>39.5</v>
      </c>
      <c r="B84" s="12">
        <v>8.94</v>
      </c>
      <c r="C84" s="12">
        <f t="shared" si="4"/>
        <v>8.94E-3</v>
      </c>
      <c r="D84" s="12">
        <f t="shared" si="5"/>
        <v>6.1954200000000005E-4</v>
      </c>
      <c r="E84" s="12">
        <f t="shared" si="6"/>
        <v>2.7658125000000004E-5</v>
      </c>
      <c r="F84" s="12">
        <f>E84/Calculation!K$19*1000</f>
        <v>3.515204308728195E-5</v>
      </c>
      <c r="G84" s="12">
        <f t="shared" si="7"/>
        <v>6.917626691910686E-2</v>
      </c>
    </row>
    <row r="85" spans="1:7">
      <c r="A85" s="12">
        <v>40</v>
      </c>
      <c r="B85" s="12">
        <v>0.99</v>
      </c>
      <c r="C85" s="12">
        <f t="shared" si="4"/>
        <v>9.8999999999999999E-4</v>
      </c>
      <c r="D85" s="12">
        <f t="shared" si="5"/>
        <v>6.8607000000000002E-5</v>
      </c>
      <c r="E85" s="12">
        <f t="shared" si="6"/>
        <v>3.0628125000000002E-6</v>
      </c>
      <c r="F85" s="12">
        <f>E85/Calculation!K$19*1000</f>
        <v>3.8926759123500142E-6</v>
      </c>
      <c r="G85" s="12">
        <f t="shared" si="7"/>
        <v>6.9761937704101343E-2</v>
      </c>
    </row>
    <row r="86" spans="1:7">
      <c r="A86" s="12">
        <v>40.5</v>
      </c>
      <c r="B86" s="12">
        <v>0</v>
      </c>
      <c r="C86" s="12">
        <f t="shared" si="4"/>
        <v>0</v>
      </c>
      <c r="D86" s="12">
        <f t="shared" si="5"/>
        <v>0</v>
      </c>
      <c r="E86" s="12">
        <f t="shared" si="6"/>
        <v>0</v>
      </c>
      <c r="F86" s="12">
        <f>E86/Calculation!K$19*1000</f>
        <v>0</v>
      </c>
      <c r="G86" s="12">
        <f t="shared" si="7"/>
        <v>6.9820327842786592E-2</v>
      </c>
    </row>
    <row r="87" spans="1:7">
      <c r="A87" s="12">
        <v>41</v>
      </c>
      <c r="B87" s="12">
        <v>19.87</v>
      </c>
      <c r="C87" s="12">
        <f t="shared" si="4"/>
        <v>1.9870000000000002E-2</v>
      </c>
      <c r="D87" s="12">
        <f t="shared" si="5"/>
        <v>1.3769909999999999E-3</v>
      </c>
      <c r="E87" s="12">
        <f t="shared" si="6"/>
        <v>6.1472812500000003E-5</v>
      </c>
      <c r="F87" s="12">
        <f>E87/Calculation!K$19*1000</f>
        <v>7.8128757957974523E-5</v>
      </c>
      <c r="G87" s="12">
        <f t="shared" si="7"/>
        <v>7.0992259212156211E-2</v>
      </c>
    </row>
    <row r="88" spans="1:7">
      <c r="A88" s="12">
        <v>41.5</v>
      </c>
      <c r="B88" s="12">
        <v>0</v>
      </c>
      <c r="C88" s="12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E88/Calculation!K$19*1000</f>
        <v>0</v>
      </c>
      <c r="G88" s="12">
        <f t="shared" si="7"/>
        <v>7.2164190581525831E-2</v>
      </c>
    </row>
    <row r="89" spans="1:7">
      <c r="A89" s="12">
        <v>42</v>
      </c>
      <c r="B89" s="12">
        <v>5.96</v>
      </c>
      <c r="C89" s="12">
        <f t="shared" si="4"/>
        <v>5.96E-3</v>
      </c>
      <c r="D89" s="12">
        <f t="shared" si="5"/>
        <v>4.1302799999999996E-4</v>
      </c>
      <c r="E89" s="12">
        <f t="shared" si="6"/>
        <v>1.843875E-5</v>
      </c>
      <c r="F89" s="12">
        <f>E89/Calculation!K$19*1000</f>
        <v>2.3434695391521292E-5</v>
      </c>
      <c r="G89" s="12">
        <f t="shared" si="7"/>
        <v>7.2515711012398648E-2</v>
      </c>
    </row>
    <row r="90" spans="1:7">
      <c r="A90" s="12">
        <v>42.5</v>
      </c>
      <c r="B90" s="12">
        <v>2.98</v>
      </c>
      <c r="C90" s="12">
        <f t="shared" si="4"/>
        <v>2.98E-3</v>
      </c>
      <c r="D90" s="12">
        <f t="shared" si="5"/>
        <v>2.0651399999999998E-4</v>
      </c>
      <c r="E90" s="12">
        <f t="shared" si="6"/>
        <v>9.2193750000000001E-6</v>
      </c>
      <c r="F90" s="12">
        <f>E90/Calculation!K$19*1000</f>
        <v>1.1717347695760646E-5</v>
      </c>
      <c r="G90" s="12">
        <f t="shared" si="7"/>
        <v>7.3042991658707881E-2</v>
      </c>
    </row>
    <row r="91" spans="1:7">
      <c r="A91" s="12">
        <v>43</v>
      </c>
      <c r="B91" s="12">
        <v>11.92</v>
      </c>
      <c r="C91" s="12">
        <f t="shared" si="4"/>
        <v>1.192E-2</v>
      </c>
      <c r="D91" s="12">
        <f t="shared" si="5"/>
        <v>8.2605599999999993E-4</v>
      </c>
      <c r="E91" s="12">
        <f t="shared" si="6"/>
        <v>3.6877500000000001E-5</v>
      </c>
      <c r="F91" s="12">
        <f>E91/Calculation!K$19*1000</f>
        <v>4.6869390783042584E-5</v>
      </c>
      <c r="G91" s="12">
        <f t="shared" si="7"/>
        <v>7.3921792735889932E-2</v>
      </c>
    </row>
    <row r="92" spans="1:7">
      <c r="A92" s="12">
        <v>43.5</v>
      </c>
      <c r="B92" s="12">
        <v>1.99</v>
      </c>
      <c r="C92" s="12">
        <f t="shared" si="4"/>
        <v>1.99E-3</v>
      </c>
      <c r="D92" s="12">
        <f t="shared" si="5"/>
        <v>1.3790699999999999E-4</v>
      </c>
      <c r="E92" s="12">
        <f t="shared" si="6"/>
        <v>6.1565625000000004E-6</v>
      </c>
      <c r="F92" s="12">
        <f>E92/Calculation!K$19*1000</f>
        <v>7.8246717834106327E-6</v>
      </c>
      <c r="G92" s="12">
        <f t="shared" si="7"/>
        <v>7.4742203674386734E-2</v>
      </c>
    </row>
    <row r="93" spans="1:7">
      <c r="A93" s="12">
        <v>44</v>
      </c>
      <c r="B93" s="12">
        <v>7.95</v>
      </c>
      <c r="C93" s="12">
        <f t="shared" si="4"/>
        <v>7.9500000000000005E-3</v>
      </c>
      <c r="D93" s="12">
        <f t="shared" si="5"/>
        <v>5.5093500000000001E-4</v>
      </c>
      <c r="E93" s="12">
        <f t="shared" si="6"/>
        <v>2.4595312500000002E-5</v>
      </c>
      <c r="F93" s="12">
        <f>E93/Calculation!K$19*1000</f>
        <v>3.1259367174931925E-5</v>
      </c>
      <c r="G93" s="12">
        <f t="shared" si="7"/>
        <v>7.5328464258761871E-2</v>
      </c>
    </row>
    <row r="94" spans="1:7">
      <c r="A94" s="12">
        <v>44.5</v>
      </c>
      <c r="B94" s="12">
        <v>13.91</v>
      </c>
      <c r="C94" s="12">
        <f t="shared" si="4"/>
        <v>1.391E-2</v>
      </c>
      <c r="D94" s="12">
        <f t="shared" si="5"/>
        <v>9.6396299999999997E-4</v>
      </c>
      <c r="E94" s="12">
        <f t="shared" si="6"/>
        <v>4.3034062500000003E-5</v>
      </c>
      <c r="F94" s="12">
        <f>E94/Calculation!K$19*1000</f>
        <v>5.4694062566453221E-5</v>
      </c>
      <c r="G94" s="12">
        <f t="shared" si="7"/>
        <v>7.6617765704882643E-2</v>
      </c>
    </row>
    <row r="95" spans="1:7">
      <c r="A95" s="12">
        <v>45</v>
      </c>
      <c r="B95" s="12">
        <v>3.97</v>
      </c>
      <c r="C95" s="12">
        <f t="shared" si="4"/>
        <v>3.9700000000000004E-3</v>
      </c>
      <c r="D95" s="12">
        <f t="shared" si="5"/>
        <v>2.7512099999999997E-4</v>
      </c>
      <c r="E95" s="12">
        <f t="shared" si="6"/>
        <v>1.22821875E-5</v>
      </c>
      <c r="F95" s="12">
        <f>E95/Calculation!K$19*1000</f>
        <v>1.5610023608110659E-5</v>
      </c>
      <c r="G95" s="12">
        <f t="shared" si="7"/>
        <v>7.7672326997501095E-2</v>
      </c>
    </row>
    <row r="96" spans="1:7">
      <c r="A96" s="12">
        <v>45.5</v>
      </c>
      <c r="B96" s="12">
        <v>0.99</v>
      </c>
      <c r="C96" s="12">
        <f t="shared" si="4"/>
        <v>9.8999999999999999E-4</v>
      </c>
      <c r="D96" s="12">
        <f t="shared" si="5"/>
        <v>6.8607000000000002E-5</v>
      </c>
      <c r="E96" s="12">
        <f t="shared" si="6"/>
        <v>3.0628125000000002E-6</v>
      </c>
      <c r="F96" s="12">
        <f>E96/Calculation!K$19*1000</f>
        <v>3.8926759123500142E-6</v>
      </c>
      <c r="G96" s="12">
        <f t="shared" si="7"/>
        <v>7.796486749030801E-2</v>
      </c>
    </row>
    <row r="97" spans="1:7">
      <c r="A97" s="12">
        <v>46</v>
      </c>
      <c r="B97" s="12">
        <v>0.99</v>
      </c>
      <c r="C97" s="12">
        <f t="shared" si="4"/>
        <v>9.8999999999999999E-4</v>
      </c>
      <c r="D97" s="12">
        <f t="shared" si="5"/>
        <v>6.8607000000000002E-5</v>
      </c>
      <c r="E97" s="12">
        <f t="shared" si="6"/>
        <v>3.0628125000000002E-6</v>
      </c>
      <c r="F97" s="12">
        <f>E97/Calculation!K$19*1000</f>
        <v>3.8926759123500142E-6</v>
      </c>
      <c r="G97" s="12">
        <f t="shared" si="7"/>
        <v>7.8081647767678508E-2</v>
      </c>
    </row>
    <row r="98" spans="1:7">
      <c r="A98" s="12">
        <v>46.5</v>
      </c>
      <c r="B98" s="12">
        <v>0.99</v>
      </c>
      <c r="C98" s="12">
        <f t="shared" si="4"/>
        <v>9.8999999999999999E-4</v>
      </c>
      <c r="D98" s="12">
        <f t="shared" si="5"/>
        <v>6.8607000000000002E-5</v>
      </c>
      <c r="E98" s="12">
        <f t="shared" si="6"/>
        <v>3.0628125000000002E-6</v>
      </c>
      <c r="F98" s="12">
        <f>E98/Calculation!K$19*1000</f>
        <v>3.8926759123500142E-6</v>
      </c>
      <c r="G98" s="12">
        <f t="shared" si="7"/>
        <v>7.8198428045049007E-2</v>
      </c>
    </row>
    <row r="99" spans="1:7">
      <c r="A99" s="12">
        <v>47</v>
      </c>
      <c r="B99" s="12">
        <v>33.79</v>
      </c>
      <c r="C99" s="12">
        <f t="shared" si="4"/>
        <v>3.3790000000000001E-2</v>
      </c>
      <c r="D99" s="12">
        <f t="shared" si="5"/>
        <v>2.3416470000000001E-3</v>
      </c>
      <c r="E99" s="12">
        <f t="shared" si="6"/>
        <v>1.0453781250000001E-4</v>
      </c>
      <c r="F99" s="12">
        <f>E99/Calculation!K$19*1000</f>
        <v>1.3286214048313834E-4</v>
      </c>
      <c r="G99" s="12">
        <f t="shared" si="7"/>
        <v>8.0249750290981331E-2</v>
      </c>
    </row>
    <row r="100" spans="1:7">
      <c r="A100" s="12">
        <v>47.5</v>
      </c>
      <c r="B100" s="12">
        <v>0.99</v>
      </c>
      <c r="C100" s="12">
        <f t="shared" si="4"/>
        <v>9.8999999999999999E-4</v>
      </c>
      <c r="D100" s="12">
        <f t="shared" si="5"/>
        <v>6.8607000000000002E-5</v>
      </c>
      <c r="E100" s="12">
        <f t="shared" si="6"/>
        <v>3.0628125000000002E-6</v>
      </c>
      <c r="F100" s="12">
        <f>E100/Calculation!K$19*1000</f>
        <v>3.8926759123500142E-6</v>
      </c>
      <c r="G100" s="12">
        <f t="shared" si="7"/>
        <v>8.2301072536913655E-2</v>
      </c>
    </row>
    <row r="101" spans="1:7">
      <c r="A101" s="12">
        <v>48</v>
      </c>
      <c r="B101" s="12">
        <v>1.99</v>
      </c>
      <c r="C101" s="12">
        <f t="shared" si="4"/>
        <v>1.99E-3</v>
      </c>
      <c r="D101" s="12">
        <f t="shared" si="5"/>
        <v>1.3790699999999999E-4</v>
      </c>
      <c r="E101" s="12">
        <f t="shared" si="6"/>
        <v>6.1565625000000004E-6</v>
      </c>
      <c r="F101" s="12">
        <f>E101/Calculation!K$20*1000</f>
        <v>8.1881404081884179E-6</v>
      </c>
      <c r="G101" s="12">
        <f t="shared" si="7"/>
        <v>8.2482284781721732E-2</v>
      </c>
    </row>
    <row r="102" spans="1:7">
      <c r="B102" s="12">
        <v>1.99</v>
      </c>
    </row>
    <row r="103" spans="1:7">
      <c r="B103" s="12">
        <v>1.99</v>
      </c>
    </row>
    <row r="104" spans="1:7">
      <c r="B104" s="12">
        <v>1.99</v>
      </c>
    </row>
    <row r="105" spans="1:7">
      <c r="B105" s="12">
        <v>0</v>
      </c>
    </row>
    <row r="106" spans="1:7">
      <c r="B106" s="12">
        <v>3.97</v>
      </c>
    </row>
    <row r="107" spans="1:7">
      <c r="B107" s="12">
        <v>10.93</v>
      </c>
    </row>
    <row r="108" spans="1:7">
      <c r="B108" s="12">
        <v>8.94</v>
      </c>
    </row>
    <row r="109" spans="1:7">
      <c r="B109" s="12">
        <v>1.99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C5" evalError="1"/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Fermentation</vt:lpstr>
      <vt:lpstr>Calculation</vt:lpstr>
      <vt:lpstr>Plate Count</vt:lpstr>
      <vt:lpstr>Flow cytometer</vt:lpstr>
      <vt:lpstr>Calibration F. prausnitzii</vt:lpstr>
      <vt:lpstr>Determination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2015-09-10T13:47:26Z</dcterms:modified>
</cp:coreProperties>
</file>