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7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6" l="1"/>
  <c r="H72" i="26"/>
  <c r="H71" i="26"/>
  <c r="H70" i="26"/>
  <c r="H69" i="26"/>
  <c r="H68" i="26"/>
  <c r="H67" i="26"/>
  <c r="H66" i="26"/>
  <c r="H65" i="26"/>
  <c r="H64" i="26"/>
  <c r="H61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2" i="26"/>
  <c r="H63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H21" i="26"/>
  <c r="I21" i="26"/>
  <c r="J21" i="26"/>
  <c r="I4" i="26"/>
  <c r="J4" i="26"/>
  <c r="H4" i="26"/>
  <c r="B25" i="26"/>
  <c r="B24" i="26"/>
  <c r="K4" i="26"/>
  <c r="L18" i="22"/>
  <c r="L17" i="22"/>
  <c r="K5" i="26"/>
  <c r="L5" i="26"/>
  <c r="M5" i="26"/>
  <c r="K6" i="26"/>
  <c r="L6" i="26"/>
  <c r="M6" i="26"/>
  <c r="K7" i="26"/>
  <c r="L7" i="26"/>
  <c r="M7" i="26"/>
  <c r="K8" i="26"/>
  <c r="L8" i="26"/>
  <c r="M8" i="26"/>
  <c r="K9" i="26"/>
  <c r="L9" i="26"/>
  <c r="M9" i="26"/>
  <c r="K10" i="26"/>
  <c r="L10" i="26"/>
  <c r="M10" i="26"/>
  <c r="K11" i="26"/>
  <c r="L11" i="26"/>
  <c r="M11" i="26"/>
  <c r="K12" i="26"/>
  <c r="L12" i="26"/>
  <c r="M12" i="26"/>
  <c r="K13" i="26"/>
  <c r="L13" i="26"/>
  <c r="M13" i="26"/>
  <c r="K14" i="26"/>
  <c r="L14" i="26"/>
  <c r="M14" i="26"/>
  <c r="K15" i="26"/>
  <c r="L15" i="26"/>
  <c r="M15" i="26"/>
  <c r="K16" i="26"/>
  <c r="L16" i="26"/>
  <c r="M16" i="26"/>
  <c r="K17" i="26"/>
  <c r="L17" i="26"/>
  <c r="M17" i="26"/>
  <c r="K18" i="26"/>
  <c r="L18" i="26"/>
  <c r="M18" i="26"/>
  <c r="K19" i="26"/>
  <c r="L19" i="26"/>
  <c r="M19" i="26"/>
  <c r="K20" i="26"/>
  <c r="L20" i="26"/>
  <c r="M20" i="26"/>
  <c r="K21" i="26"/>
  <c r="L21" i="26"/>
  <c r="M21" i="26"/>
  <c r="L4" i="26"/>
  <c r="M4" i="26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L8" i="27"/>
  <c r="O8" i="27"/>
  <c r="H8" i="27"/>
  <c r="K8" i="27"/>
  <c r="D8" i="27"/>
  <c r="G8" i="27"/>
  <c r="P8" i="27"/>
  <c r="R8" i="27"/>
  <c r="Q8" i="27"/>
  <c r="L7" i="27"/>
  <c r="O7" i="27"/>
  <c r="H7" i="27"/>
  <c r="K7" i="27"/>
  <c r="D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F3" i="2"/>
  <c r="F4" i="2"/>
  <c r="I5" i="2"/>
  <c r="I3" i="2"/>
  <c r="J3" i="2"/>
  <c r="K3" i="2"/>
  <c r="I4" i="2"/>
  <c r="J4" i="2"/>
  <c r="K4" i="2"/>
  <c r="P5" i="26"/>
  <c r="R5" i="26"/>
  <c r="F5" i="2"/>
  <c r="I6" i="2"/>
  <c r="J5" i="2"/>
  <c r="K5" i="2"/>
  <c r="P6" i="26"/>
  <c r="R6" i="26"/>
  <c r="F6" i="2"/>
  <c r="I7" i="2"/>
  <c r="J6" i="2"/>
  <c r="K6" i="2"/>
  <c r="P7" i="26"/>
  <c r="R7" i="26"/>
  <c r="F7" i="2"/>
  <c r="I8" i="2"/>
  <c r="J7" i="2"/>
  <c r="K7" i="2"/>
  <c r="P8" i="26"/>
  <c r="R8" i="26"/>
  <c r="F8" i="2"/>
  <c r="I9" i="2"/>
  <c r="J8" i="2"/>
  <c r="K8" i="2"/>
  <c r="P9" i="26"/>
  <c r="R9" i="26"/>
  <c r="F9" i="2"/>
  <c r="I10" i="2"/>
  <c r="J9" i="2"/>
  <c r="K9" i="2"/>
  <c r="P10" i="26"/>
  <c r="R10" i="26"/>
  <c r="F10" i="2"/>
  <c r="I11" i="2"/>
  <c r="J10" i="2"/>
  <c r="K10" i="2"/>
  <c r="P11" i="26"/>
  <c r="R11" i="26"/>
  <c r="F11" i="2"/>
  <c r="I12" i="2"/>
  <c r="J11" i="2"/>
  <c r="K11" i="2"/>
  <c r="P12" i="26"/>
  <c r="R12" i="26"/>
  <c r="F12" i="2"/>
  <c r="I13" i="2"/>
  <c r="J12" i="2"/>
  <c r="K12" i="2"/>
  <c r="P13" i="26"/>
  <c r="R13" i="26"/>
  <c r="F13" i="2"/>
  <c r="I14" i="2"/>
  <c r="J13" i="2"/>
  <c r="K13" i="2"/>
  <c r="P14" i="26"/>
  <c r="R14" i="26"/>
  <c r="F14" i="2"/>
  <c r="I15" i="2"/>
  <c r="J14" i="2"/>
  <c r="K14" i="2"/>
  <c r="P15" i="26"/>
  <c r="R15" i="26"/>
  <c r="F15" i="2"/>
  <c r="I16" i="2"/>
  <c r="J15" i="2"/>
  <c r="K15" i="2"/>
  <c r="P16" i="26"/>
  <c r="R16" i="26"/>
  <c r="F16" i="2"/>
  <c r="I17" i="2"/>
  <c r="J16" i="2"/>
  <c r="K16" i="2"/>
  <c r="P17" i="26"/>
  <c r="R17" i="26"/>
  <c r="F17" i="2"/>
  <c r="I18" i="2"/>
  <c r="J17" i="2"/>
  <c r="K17" i="2"/>
  <c r="P18" i="26"/>
  <c r="R18" i="26"/>
  <c r="F18" i="2"/>
  <c r="I19" i="2"/>
  <c r="J18" i="2"/>
  <c r="K18" i="2"/>
  <c r="P19" i="26"/>
  <c r="R19" i="26"/>
  <c r="F19" i="2"/>
  <c r="I20" i="2"/>
  <c r="J19" i="2"/>
  <c r="K19" i="2"/>
  <c r="P20" i="26"/>
  <c r="R20" i="26"/>
  <c r="F20" i="2"/>
  <c r="I21" i="2"/>
  <c r="J20" i="2"/>
  <c r="K20" i="2"/>
  <c r="P21" i="26"/>
  <c r="R21" i="26"/>
  <c r="P4" i="26"/>
  <c r="R4" i="26"/>
  <c r="O4" i="26"/>
  <c r="S4" i="26"/>
  <c r="O5" i="26"/>
  <c r="S5" i="26"/>
  <c r="O6" i="26"/>
  <c r="S6" i="26"/>
  <c r="O7" i="26"/>
  <c r="S7" i="26"/>
  <c r="O8" i="26"/>
  <c r="S8" i="26"/>
  <c r="O9" i="26"/>
  <c r="S9" i="26"/>
  <c r="O10" i="26"/>
  <c r="S10" i="26"/>
  <c r="O11" i="26"/>
  <c r="S11" i="26"/>
  <c r="O12" i="26"/>
  <c r="S12" i="26"/>
  <c r="O13" i="26"/>
  <c r="S13" i="26"/>
  <c r="O14" i="26"/>
  <c r="S14" i="26"/>
  <c r="O15" i="26"/>
  <c r="S15" i="26"/>
  <c r="O16" i="26"/>
  <c r="S16" i="26"/>
  <c r="O17" i="26"/>
  <c r="S17" i="26"/>
  <c r="O18" i="26"/>
  <c r="S18" i="26"/>
  <c r="O19" i="26"/>
  <c r="S19" i="26"/>
  <c r="O20" i="26"/>
  <c r="S20" i="26"/>
  <c r="O21" i="26"/>
  <c r="S21" i="26"/>
  <c r="H20" i="22"/>
  <c r="L20" i="22"/>
  <c r="P20" i="22"/>
  <c r="Q20" i="22"/>
  <c r="N21" i="26"/>
  <c r="Q21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4" i="26"/>
  <c r="C101" i="7"/>
  <c r="D101" i="7"/>
  <c r="E101" i="7"/>
  <c r="J21" i="2"/>
  <c r="K21" i="2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C101" i="17"/>
  <c r="D101" i="17"/>
  <c r="E101" i="17"/>
  <c r="F101" i="17"/>
  <c r="C100" i="17"/>
  <c r="D100" i="17"/>
  <c r="E100" i="17"/>
  <c r="F100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66" i="17"/>
  <c r="D66" i="17"/>
  <c r="E66" i="17"/>
  <c r="F66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4" i="17"/>
  <c r="E44" i="17"/>
  <c r="F44" i="17"/>
  <c r="D42" i="17"/>
  <c r="E42" i="17"/>
  <c r="F42" i="17"/>
  <c r="D43" i="17"/>
  <c r="E43" i="17"/>
  <c r="F43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30" i="17"/>
  <c r="E30" i="17"/>
  <c r="F30" i="17"/>
  <c r="D29" i="17"/>
  <c r="E29" i="17"/>
  <c r="F29" i="17"/>
  <c r="D28" i="17"/>
  <c r="E28" i="17"/>
  <c r="F28" i="17"/>
  <c r="D27" i="17"/>
  <c r="E27" i="17"/>
  <c r="F27" i="17"/>
  <c r="D26" i="17"/>
  <c r="E26" i="17"/>
  <c r="F26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1" i="17"/>
  <c r="E11" i="17"/>
  <c r="F11" i="17"/>
  <c r="D10" i="17"/>
  <c r="E10" i="17"/>
  <c r="F10" i="17"/>
  <c r="H21" i="22"/>
  <c r="U21" i="22"/>
  <c r="L21" i="22"/>
  <c r="V21" i="22"/>
  <c r="P21" i="22"/>
  <c r="W21" i="22"/>
  <c r="H5" i="22"/>
  <c r="U5" i="22"/>
  <c r="L5" i="22"/>
  <c r="V5" i="22"/>
  <c r="P5" i="22"/>
  <c r="W5" i="22"/>
  <c r="H6" i="22"/>
  <c r="U6" i="22"/>
  <c r="L6" i="22"/>
  <c r="V6" i="22"/>
  <c r="P6" i="22"/>
  <c r="W6" i="22"/>
  <c r="H7" i="22"/>
  <c r="U7" i="22"/>
  <c r="L7" i="22"/>
  <c r="V7" i="22"/>
  <c r="P7" i="22"/>
  <c r="W7" i="22"/>
  <c r="H8" i="22"/>
  <c r="U8" i="22"/>
  <c r="L8" i="22"/>
  <c r="V8" i="22"/>
  <c r="P8" i="22"/>
  <c r="W8" i="22"/>
  <c r="H9" i="22"/>
  <c r="U9" i="22"/>
  <c r="L9" i="22"/>
  <c r="V9" i="22"/>
  <c r="P9" i="22"/>
  <c r="W9" i="22"/>
  <c r="H10" i="22"/>
  <c r="U10" i="22"/>
  <c r="L10" i="22"/>
  <c r="V10" i="22"/>
  <c r="P10" i="22"/>
  <c r="W10" i="22"/>
  <c r="H11" i="22"/>
  <c r="U11" i="22"/>
  <c r="L11" i="22"/>
  <c r="V11" i="22"/>
  <c r="P11" i="22"/>
  <c r="W11" i="22"/>
  <c r="H12" i="22"/>
  <c r="U12" i="22"/>
  <c r="L12" i="22"/>
  <c r="V12" i="22"/>
  <c r="P12" i="22"/>
  <c r="W12" i="22"/>
  <c r="H13" i="22"/>
  <c r="U13" i="22"/>
  <c r="L13" i="22"/>
  <c r="V13" i="22"/>
  <c r="P13" i="22"/>
  <c r="W13" i="22"/>
  <c r="H14" i="22"/>
  <c r="U14" i="22"/>
  <c r="L14" i="22"/>
  <c r="V14" i="22"/>
  <c r="P14" i="22"/>
  <c r="W14" i="22"/>
  <c r="H15" i="22"/>
  <c r="U15" i="22"/>
  <c r="L15" i="22"/>
  <c r="V15" i="22"/>
  <c r="P15" i="22"/>
  <c r="W15" i="22"/>
  <c r="H16" i="22"/>
  <c r="U16" i="22"/>
  <c r="L16" i="22"/>
  <c r="V16" i="22"/>
  <c r="P16" i="22"/>
  <c r="W16" i="22"/>
  <c r="H17" i="22"/>
  <c r="U17" i="22"/>
  <c r="V17" i="22"/>
  <c r="P17" i="22"/>
  <c r="W17" i="22"/>
  <c r="H18" i="22"/>
  <c r="U18" i="22"/>
  <c r="V18" i="22"/>
  <c r="P18" i="22"/>
  <c r="W18" i="22"/>
  <c r="H19" i="22"/>
  <c r="U19" i="22"/>
  <c r="L19" i="22"/>
  <c r="V19" i="22"/>
  <c r="P19" i="22"/>
  <c r="W19" i="22"/>
  <c r="U20" i="22"/>
  <c r="V20" i="22"/>
  <c r="W20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H4" i="22"/>
  <c r="U4" i="22"/>
  <c r="L4" i="22"/>
  <c r="V4" i="22"/>
  <c r="P4" i="22"/>
  <c r="W4" i="22"/>
  <c r="X4" i="22"/>
  <c r="R4" i="22"/>
  <c r="Q21" i="22"/>
  <c r="S21" i="22"/>
  <c r="S20" i="22"/>
  <c r="Q19" i="22"/>
  <c r="S19" i="22"/>
  <c r="Q18" i="22"/>
  <c r="S18" i="22"/>
  <c r="Q17" i="22"/>
  <c r="S17" i="22"/>
  <c r="Q16" i="22"/>
  <c r="S16" i="22"/>
  <c r="Q15" i="22"/>
  <c r="S15" i="22"/>
  <c r="Q14" i="22"/>
  <c r="S14" i="22"/>
  <c r="Q13" i="22"/>
  <c r="S13" i="22"/>
  <c r="Q12" i="22"/>
  <c r="S12" i="22"/>
  <c r="Q11" i="22"/>
  <c r="S11" i="22"/>
  <c r="Q10" i="22"/>
  <c r="S10" i="22"/>
  <c r="Q9" i="22"/>
  <c r="S9" i="22"/>
  <c r="Q8" i="22"/>
  <c r="S8" i="22"/>
  <c r="Q7" i="22"/>
  <c r="S7" i="22"/>
  <c r="Q6" i="22"/>
  <c r="S6" i="22"/>
  <c r="Q5" i="22"/>
  <c r="S5" i="22"/>
  <c r="L43" i="8"/>
  <c r="L26" i="8"/>
  <c r="B6" i="23"/>
  <c r="L21" i="8"/>
  <c r="L4" i="8"/>
  <c r="B5" i="23"/>
  <c r="T21" i="8"/>
  <c r="T4" i="8"/>
  <c r="B4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H4" i="8"/>
  <c r="H21" i="8"/>
  <c r="B2" i="23"/>
  <c r="P4" i="8"/>
  <c r="P21" i="8"/>
  <c r="C17" i="23"/>
  <c r="C18" i="23"/>
  <c r="U4" i="8"/>
  <c r="U21" i="8"/>
  <c r="C4" i="23"/>
  <c r="B10" i="23"/>
  <c r="B9" i="23"/>
  <c r="M43" i="8"/>
  <c r="M26" i="8"/>
  <c r="C6" i="23"/>
  <c r="M21" i="8"/>
  <c r="M4" i="8"/>
  <c r="C5" i="23"/>
  <c r="Q4" i="8"/>
  <c r="Q21" i="8"/>
  <c r="I4" i="8"/>
  <c r="I21" i="8"/>
  <c r="C2" i="23"/>
  <c r="I25" i="8"/>
  <c r="G24" i="16"/>
  <c r="H24" i="16"/>
  <c r="G25" i="16"/>
  <c r="H25" i="16"/>
  <c r="G24" i="14"/>
  <c r="H24" i="14"/>
  <c r="G25" i="14"/>
  <c r="H25" i="14"/>
  <c r="G24" i="21"/>
  <c r="H24" i="21"/>
  <c r="G25" i="21"/>
  <c r="H25" i="21"/>
  <c r="G24" i="20"/>
  <c r="H24" i="20"/>
  <c r="G25" i="20"/>
  <c r="H25" i="20"/>
  <c r="G24" i="15"/>
  <c r="H24" i="15"/>
  <c r="G25" i="15"/>
  <c r="H25" i="15"/>
  <c r="G24" i="18"/>
  <c r="H24" i="18"/>
  <c r="G25" i="18"/>
  <c r="H25" i="18"/>
  <c r="G24" i="19"/>
  <c r="H24" i="19"/>
  <c r="G25" i="19"/>
  <c r="H25" i="19"/>
  <c r="H42" i="8"/>
  <c r="I42" i="8"/>
  <c r="L42" i="8"/>
  <c r="M42" i="8"/>
  <c r="P42" i="8"/>
  <c r="Q42" i="8"/>
  <c r="H43" i="8"/>
  <c r="I43" i="8"/>
  <c r="P43" i="8"/>
  <c r="Q43" i="8"/>
  <c r="H20" i="8"/>
  <c r="I20" i="8"/>
  <c r="L20" i="8"/>
  <c r="M20" i="8"/>
  <c r="P20" i="8"/>
  <c r="Q20" i="8"/>
  <c r="T20" i="8"/>
  <c r="U20" i="8"/>
  <c r="G20" i="5"/>
  <c r="G21" i="5"/>
  <c r="R20" i="22"/>
  <c r="T20" i="22"/>
  <c r="R21" i="22"/>
  <c r="T21" i="22"/>
  <c r="Q20" i="3"/>
  <c r="R20" i="3"/>
  <c r="S20" i="3"/>
  <c r="Q21" i="3"/>
  <c r="R21" i="3"/>
  <c r="S21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0" i="2"/>
  <c r="D21" i="2"/>
  <c r="F21" i="2"/>
  <c r="C3" i="2"/>
  <c r="H19" i="8"/>
  <c r="L41" i="8"/>
  <c r="D21" i="23"/>
  <c r="L19" i="8"/>
  <c r="T19" i="8"/>
  <c r="I20" i="4"/>
  <c r="J20" i="4"/>
  <c r="I21" i="4"/>
  <c r="J21" i="4"/>
  <c r="P19" i="8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C5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D65" i="17"/>
  <c r="E65" i="17"/>
  <c r="F65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1" i="8"/>
  <c r="M19" i="8"/>
  <c r="U19" i="8"/>
  <c r="Q19" i="8"/>
  <c r="I19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P41" i="8"/>
  <c r="Q41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5" i="8"/>
  <c r="H25" i="8"/>
  <c r="U3" i="8"/>
  <c r="Q3" i="8"/>
  <c r="M3" i="8"/>
  <c r="Q25" i="8"/>
  <c r="M25" i="8"/>
  <c r="T3" i="8"/>
  <c r="P3" i="8"/>
  <c r="L3" i="8"/>
  <c r="G3" i="5"/>
  <c r="P26" i="8"/>
  <c r="I26" i="8"/>
  <c r="Q26" i="8"/>
  <c r="H26" i="8"/>
  <c r="G4" i="5"/>
  <c r="P5" i="8"/>
  <c r="I5" i="8"/>
  <c r="H5" i="8"/>
  <c r="T5" i="8"/>
  <c r="Q27" i="8"/>
  <c r="Q5" i="8"/>
  <c r="P27" i="8"/>
  <c r="H27" i="8"/>
  <c r="L5" i="8"/>
  <c r="M27" i="8"/>
  <c r="U5" i="8"/>
  <c r="I27" i="8"/>
  <c r="M5" i="8"/>
  <c r="L7" i="8"/>
  <c r="G5" i="5"/>
  <c r="I6" i="8"/>
  <c r="M28" i="8"/>
  <c r="I28" i="8"/>
  <c r="Q28" i="8"/>
  <c r="P6" i="8"/>
  <c r="P28" i="8"/>
  <c r="H28" i="8"/>
  <c r="H6" i="8"/>
  <c r="L6" i="8"/>
  <c r="U6" i="8"/>
  <c r="Q6" i="8"/>
  <c r="T6" i="8"/>
  <c r="M6" i="8"/>
  <c r="P29" i="8"/>
  <c r="Q29" i="8"/>
  <c r="I29" i="8"/>
  <c r="M7" i="8"/>
  <c r="H29" i="8"/>
  <c r="I7" i="8"/>
  <c r="T7" i="8"/>
  <c r="U7" i="8"/>
  <c r="M29" i="8"/>
  <c r="Q7" i="8"/>
  <c r="H7" i="8"/>
  <c r="P7" i="8"/>
  <c r="G6" i="5"/>
  <c r="U8" i="8"/>
  <c r="M8" i="8"/>
  <c r="I30" i="8"/>
  <c r="P30" i="8"/>
  <c r="H8" i="8"/>
  <c r="H30" i="8"/>
  <c r="G7" i="5"/>
  <c r="T8" i="8"/>
  <c r="Q8" i="8"/>
  <c r="M30" i="8"/>
  <c r="T9" i="8"/>
  <c r="L8" i="8"/>
  <c r="I8" i="8"/>
  <c r="P8" i="8"/>
  <c r="Q30" i="8"/>
  <c r="L9" i="8"/>
  <c r="M31" i="8"/>
  <c r="U9" i="8"/>
  <c r="M9" i="8"/>
  <c r="H31" i="8"/>
  <c r="I31" i="8"/>
  <c r="P31" i="8"/>
  <c r="H9" i="8"/>
  <c r="P9" i="8"/>
  <c r="Q9" i="8"/>
  <c r="G8" i="5"/>
  <c r="Q31" i="8"/>
  <c r="I9" i="8"/>
  <c r="Q32" i="8"/>
  <c r="U10" i="8"/>
  <c r="M32" i="8"/>
  <c r="H32" i="8"/>
  <c r="Q10" i="8"/>
  <c r="I10" i="8"/>
  <c r="T10" i="8"/>
  <c r="L10" i="8"/>
  <c r="G9" i="5"/>
  <c r="P32" i="8"/>
  <c r="P10" i="8"/>
  <c r="M10" i="8"/>
  <c r="I32" i="8"/>
  <c r="H10" i="8"/>
  <c r="P33" i="8"/>
  <c r="T11" i="8"/>
  <c r="L11" i="8"/>
  <c r="I33" i="8"/>
  <c r="Q11" i="8"/>
  <c r="I11" i="8"/>
  <c r="G10" i="5"/>
  <c r="M33" i="8"/>
  <c r="H33" i="8"/>
  <c r="P11" i="8"/>
  <c r="Q33" i="8"/>
  <c r="U11" i="8"/>
  <c r="M11" i="8"/>
  <c r="H11" i="8"/>
  <c r="Q34" i="8"/>
  <c r="U12" i="8"/>
  <c r="M12" i="8"/>
  <c r="H12" i="8"/>
  <c r="M34" i="8"/>
  <c r="H34" i="8"/>
  <c r="P12" i="8"/>
  <c r="G11" i="5"/>
  <c r="I34" i="8"/>
  <c r="Q12" i="8"/>
  <c r="I12" i="8"/>
  <c r="P34" i="8"/>
  <c r="T12" i="8"/>
  <c r="L12" i="8"/>
  <c r="G12" i="5"/>
  <c r="H35" i="8"/>
  <c r="H13" i="8"/>
  <c r="U13" i="8"/>
  <c r="L13" i="8"/>
  <c r="Q35" i="8"/>
  <c r="I35" i="8"/>
  <c r="Q13" i="8"/>
  <c r="I13" i="8"/>
  <c r="P35" i="8"/>
  <c r="P13" i="8"/>
  <c r="M35" i="8"/>
  <c r="M13" i="8"/>
  <c r="B3" i="23"/>
  <c r="C3" i="23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<sst xmlns="http://schemas.openxmlformats.org/spreadsheetml/2006/main" count="570" uniqueCount="276">
  <si>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</si>
  <si>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</si>
  <si>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</si>
  <si>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</si>
  <si>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</si>
  <si>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</si>
  <si>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</si>
  <si>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</si>
  <si>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</si>
  <si>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</si>
  <si>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</si>
  <si>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</si>
  <si>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</si>
  <si>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</si>
  <si>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</si>
  <si>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</si>
  <si>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</si>
  <si>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</si>
  <si>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</si>
  <si>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</si>
  <si>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</si>
  <si>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</si>
  <si>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</si>
  <si>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</si>
  <si>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</si>
  <si>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</si>
  <si>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</si>
  <si>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</si>
  <si>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</si>
  <si>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</si>
  <si>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</si>
  <si>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</si>
  <si>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</si>
  <si>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</si>
  <si>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</si>
  <si>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</si>
  <si>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</si>
  <si>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</si>
  <si>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</si>
  <si>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</si>
  <si>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</si>
  <si>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</si>
  <si>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</si>
  <si>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</si>
  <si>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</si>
  <si>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</si>
  <si>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</si>
  <si>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</si>
  <si>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</si>
  <si>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</si>
  <si>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</si>
  <si>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</si>
  <si>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</si>
  <si>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</si>
  <si>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</si>
  <si>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</si>
  <si>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</si>
  <si>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</si>
  <si>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</si>
  <si>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</si>
  <si>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</si>
  <si>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</si>
  <si>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</si>
  <si>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</si>
  <si>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</si>
  <si>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</si>
  <si>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</si>
  <si>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</si>
  <si>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</si>
  <si>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</si>
  <si>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</si>
  <si>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</si>
  <si>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</si>
  <si>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</si>
  <si>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</si>
  <si>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</si>
  <si>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</si>
  <si>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</si>
  <si>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</si>
  <si>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</si>
  <si>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</si>
  <si>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</si>
  <si>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</si>
  <si>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</si>
  <si>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</si>
  <si>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</si>
  <si>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</si>
  <si>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</si>
  <si>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</si>
  <si>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</si>
  <si>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</si>
  <si>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</si>
  <si>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</si>
  <si>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</si>
  <si>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</si>
  <si>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</si>
  <si>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</si>
  <si>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</si>
  <si>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</si>
  <si>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</si>
  <si>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</si>
  <si>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</si>
  <si>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</si>
  <si>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</si>
  <si>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</si>
  <si>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</si>
  <si>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</si>
  <si>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</si>
  <si>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</si>
  <si>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</si>
  <si>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</si>
  <si>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</si>
  <si>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</si>
  <si>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</si>
  <si>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</si>
  <si>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</si>
  <si>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</si>
  <si>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</si>
  <si>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</si>
  <si>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</si>
  <si>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</si>
  <si>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</si>
  <si>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</si>
  <si>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</si>
  <si>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</si>
  <si>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</si>
  <si>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</si>
  <si>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</si>
  <si>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</si>
  <si>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</si>
  <si>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</si>
  <si>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</si>
  <si>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</si>
  <si>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</si>
  <si>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</si>
  <si>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</si>
  <si>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</si>
  <si>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</si>
  <si>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</si>
  <si>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</si>
  <si>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</si>
  <si>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</si>
  <si>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</si>
  <si>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</si>
  <si>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</si>
  <si>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</si>
  <si>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</si>
  <si>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</si>
  <si>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</si>
  <si>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</si>
  <si>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</si>
  <si>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</si>
  <si>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</si>
  <si>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</si>
  <si>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</si>
  <si>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</si>
  <si>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</si>
  <si>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</si>
  <si>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</si>
  <si>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</si>
  <si>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</si>
  <si>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</si>
  <si>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</si>
  <si>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</si>
  <si>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</si>
  <si>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</si>
  <si>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</si>
  <si>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</si>
  <si>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</si>
  <si>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</si>
  <si>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</si>
  <si>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</si>
  <si>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</si>
  <si>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</si>
  <si>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</si>
  <si>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</si>
  <si>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</si>
  <si>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</si>
  <si>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</si>
  <si>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</si>
  <si>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</si>
  <si>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>x moles D-fructose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</si>
  <si>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</si>
  <si>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</si>
  <si>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</si>
  <si>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</si>
  <si>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</si>
  <si>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</si>
  <si>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</si>
  <si>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</si>
  <si>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</si>
  <si>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</si>
  <si>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</si>
  <si>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</si>
  <si>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</si>
  <si>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</si>
  <si>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</si>
  <si>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</si>
  <si>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</si>
  <si>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</si>
  <si>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</si>
  <si>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Log Dilution for 1 ml</t>
  </si>
  <si>
    <t>AUTO</t>
  </si>
  <si>
    <t>baseline</t>
  </si>
  <si>
    <t>Rico</t>
  </si>
  <si>
    <t>intercept</t>
  </si>
  <si>
    <t>Efficiency E (%)</t>
  </si>
  <si>
    <t>IPC FP10 epp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</si>
  <si>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</si>
  <si>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</si>
  <si>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</si>
  <si>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</si>
  <si>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</si>
  <si>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</si>
  <si>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</si>
  <si>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</si>
  <si>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</si>
  <si>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</si>
  <si>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</si>
  <si>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</si>
  <si>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Log (cells/ml medium)</t>
  </si>
  <si>
    <t>Dilution log (10x)</t>
  </si>
  <si>
    <t xml:space="preserve">Dilution </t>
  </si>
  <si>
    <t>F. prausnitzii</t>
  </si>
  <si>
    <t>CT1 normalized per mL</t>
  </si>
  <si>
    <t>CT2 normalized per mL</t>
  </si>
  <si>
    <t>CT3 normalized per mL</t>
  </si>
  <si>
    <t>Average CT normalized per mL</t>
  </si>
  <si>
    <t>Ct Threshold</t>
  </si>
  <si>
    <t>Threshold</t>
  </si>
  <si>
    <t>Total Average</t>
  </si>
  <si>
    <t>STDV  (cells/ml medium)</t>
  </si>
  <si>
    <t>Log (cells/ml medium)</t>
  </si>
  <si>
    <t>outliers</t>
  </si>
  <si>
    <t>Outliers</t>
  </si>
  <si>
    <t>IPC value epp 10 plate 20150709</t>
  </si>
  <si>
    <t>IPC value epp 10 plate 20150707</t>
  </si>
  <si>
    <t>IPC value  epp 10 plate 20150702</t>
  </si>
  <si>
    <t>IPC value epp 10 plate 20150708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</si>
  <si>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</si>
  <si>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</si>
  <si>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</si>
  <si>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</si>
  <si>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</si>
  <si>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</si>
  <si>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</si>
  <si>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</si>
  <si>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</si>
  <si>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</si>
  <si>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</si>
  <si>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</si>
  <si>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</si>
  <si>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</si>
  <si>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</si>
  <si>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</si>
  <si>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</si>
  <si>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</si>
  <si>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</si>
  <si>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</si>
  <si>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</si>
  <si>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CT3</t>
  </si>
  <si>
    <t>Average CT</t>
  </si>
  <si>
    <t>Dilution for 1 ml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</si>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</sst>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2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1" fontId="25" fillId="0" borderId="18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27" fillId="0" borderId="0" xfId="297"/>
    <xf numFmtId="0" fontId="27" fillId="0" borderId="3" xfId="297" applyFill="1" applyBorder="1" applyAlignment="1">
      <alignment horizontal="center" vertical="center"/>
    </xf>
    <xf numFmtId="0" fontId="27" fillId="0" borderId="16" xfId="297" applyFill="1" applyBorder="1" applyAlignment="1">
      <alignment horizontal="center" vertical="center"/>
    </xf>
    <xf numFmtId="11" fontId="27" fillId="0" borderId="16" xfId="297" applyNumberFormat="1" applyFill="1" applyBorder="1" applyAlignment="1">
      <alignment horizontal="center" vertical="center"/>
    </xf>
    <xf numFmtId="0" fontId="0" fillId="0" borderId="16" xfId="297" applyFont="1" applyBorder="1" applyAlignment="1">
      <alignment horizontal="center" vertical="center"/>
    </xf>
    <xf numFmtId="0" fontId="27" fillId="0" borderId="16" xfId="297" applyBorder="1" applyAlignment="1">
      <alignment horizontal="center" vertical="center"/>
    </xf>
    <xf numFmtId="11" fontId="27" fillId="0" borderId="16" xfId="297" applyNumberFormat="1" applyBorder="1" applyAlignment="1">
      <alignment horizontal="center" vertical="center"/>
    </xf>
    <xf numFmtId="2" fontId="27" fillId="0" borderId="16" xfId="297" applyNumberFormat="1" applyBorder="1" applyAlignment="1">
      <alignment horizontal="center" vertical="center"/>
    </xf>
    <xf numFmtId="0" fontId="27" fillId="2" borderId="21" xfId="297" applyFill="1" applyBorder="1" applyAlignment="1">
      <alignment wrapText="1"/>
    </xf>
    <xf numFmtId="0" fontId="0" fillId="2" borderId="21" xfId="297" applyFont="1" applyFill="1" applyBorder="1" applyAlignment="1">
      <alignment wrapText="1"/>
    </xf>
    <xf numFmtId="0" fontId="0" fillId="2" borderId="21" xfId="297" applyFont="1" applyFill="1" applyBorder="1" applyAlignment="1">
      <alignment horizontal="center" vertical="center" wrapText="1"/>
    </xf>
    <xf numFmtId="0" fontId="27" fillId="0" borderId="16" xfId="297" applyBorder="1"/>
    <xf numFmtId="0" fontId="27" fillId="2" borderId="16" xfId="297" applyFill="1" applyBorder="1"/>
    <xf numFmtId="0" fontId="0" fillId="0" borderId="0" xfId="297" applyFont="1"/>
    <xf numFmtId="0" fontId="28" fillId="12" borderId="0" xfId="297" applyFont="1" applyFill="1"/>
    <xf numFmtId="165" fontId="27" fillId="0" borderId="16" xfId="297" applyNumberFormat="1" applyBorder="1"/>
    <xf numFmtId="0" fontId="0" fillId="0" borderId="16" xfId="297" applyFont="1" applyBorder="1"/>
    <xf numFmtId="165" fontId="27" fillId="0" borderId="16" xfId="297" applyNumberFormat="1" applyBorder="1" applyAlignment="1">
      <alignment horizontal="center" vertical="center"/>
    </xf>
    <xf numFmtId="165" fontId="27" fillId="0" borderId="0" xfId="297" applyNumberFormat="1"/>
    <xf numFmtId="0" fontId="0" fillId="0" borderId="0" xfId="297" applyFont="1" applyFill="1" applyBorder="1"/>
    <xf numFmtId="165" fontId="25" fillId="0" borderId="16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center" vertical="center"/>
    </xf>
    <xf numFmtId="2" fontId="27" fillId="0" borderId="16" xfId="297" applyNumberFormat="1" applyBorder="1"/>
    <xf numFmtId="1" fontId="27" fillId="0" borderId="16" xfId="297" applyNumberFormat="1" applyBorder="1"/>
    <xf numFmtId="0" fontId="29" fillId="0" borderId="16" xfId="297" applyFont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297" applyNumberFormat="1" applyBorder="1" applyAlignment="1">
      <alignment horizontal="center" vertical="center"/>
    </xf>
    <xf numFmtId="165" fontId="27" fillId="0" borderId="0" xfId="297" applyNumberFormat="1" applyBorder="1"/>
    <xf numFmtId="2" fontId="27" fillId="0" borderId="0" xfId="297" applyNumberFormat="1" applyBorder="1"/>
    <xf numFmtId="1" fontId="27" fillId="0" borderId="0" xfId="297" applyNumberFormat="1" applyBorder="1"/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0" fontId="0" fillId="0" borderId="0" xfId="0" applyFon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2" xfId="297" applyFont="1" applyBorder="1" applyAlignment="1">
      <alignment horizontal="center"/>
    </xf>
    <xf numFmtId="0" fontId="27" fillId="0" borderId="22" xfId="297" applyBorder="1" applyAlignment="1">
      <alignment horizontal="center"/>
    </xf>
    <xf numFmtId="0" fontId="27" fillId="0" borderId="17" xfId="297" applyNumberFormat="1" applyFill="1" applyBorder="1" applyAlignment="1">
      <alignment horizontal="center" vertical="center"/>
    </xf>
    <xf numFmtId="0" fontId="27" fillId="0" borderId="5" xfId="297" applyNumberFormat="1" applyFill="1" applyBorder="1" applyAlignment="1">
      <alignment horizontal="center" vertical="center"/>
    </xf>
    <xf numFmtId="0" fontId="27" fillId="0" borderId="18" xfId="297" applyNumberFormat="1" applyFill="1" applyBorder="1" applyAlignment="1">
      <alignment horizontal="center" vertical="center"/>
    </xf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0" fillId="2" borderId="4" xfId="297" applyFont="1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2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Input" xfId="10"/>
    <cellStyle name="Linked Cell" xfId="11"/>
    <cellStyle name="Neutral" xfId="12"/>
    <cellStyle name="Normal" xfId="0" builtinId="0"/>
    <cellStyle name="Normal 2" xfId="29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425FF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F. prausnitzii'!$R$4:$R$5,'Calibration F. prausnitzii'!$R$7:$R$9,'Calibration F. prausnitzii'!$R$12:$R$18)</c:f>
              <c:numCache>
                <c:formatCode>0.00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('Calibration F. prausnitzii'!$L$23:$L$24,'Calibration F. prausnitzii'!$L$26:$L$28,'Calibration F. prausnitzii'!$L$31:$L$37)</c:f>
              <c:numCache>
                <c:formatCode>0.0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98168"/>
        <c:axId val="2073683272"/>
      </c:scatterChart>
      <c:valAx>
        <c:axId val="2073098168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73683272"/>
        <c:crosses val="autoZero"/>
        <c:crossBetween val="midCat"/>
        <c:majorUnit val="2.0"/>
      </c:valAx>
      <c:valAx>
        <c:axId val="20736832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073098168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7767522912095"/>
          <c:y val="0.0345387605837973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0.00640930583025784</c:v>
                  </c:pt>
                  <c:pt idx="2">
                    <c:v>0.0169574293034186</c:v>
                  </c:pt>
                  <c:pt idx="3">
                    <c:v>0.00641397393355737</c:v>
                  </c:pt>
                  <c:pt idx="4">
                    <c:v>3.77644953872727E-16</c:v>
                  </c:pt>
                  <c:pt idx="5">
                    <c:v>0.00641397393355737</c:v>
                  </c:pt>
                  <c:pt idx="6">
                    <c:v>0.0111093287313438</c:v>
                  </c:pt>
                  <c:pt idx="7">
                    <c:v>0.0932479160745588</c:v>
                  </c:pt>
                  <c:pt idx="8">
                    <c:v>0.0231456607542294</c:v>
                  </c:pt>
                  <c:pt idx="9">
                    <c:v>0.0170001894235569</c:v>
                  </c:pt>
                  <c:pt idx="10">
                    <c:v>0.011162130703667</c:v>
                  </c:pt>
                  <c:pt idx="11">
                    <c:v>0.00646443166390874</c:v>
                  </c:pt>
                  <c:pt idx="12">
                    <c:v>0.0171790405813036</c:v>
                  </c:pt>
                  <c:pt idx="13">
                    <c:v>0.0225973826894254</c:v>
                  </c:pt>
                  <c:pt idx="14">
                    <c:v>0.0236059413976513</c:v>
                  </c:pt>
                  <c:pt idx="15">
                    <c:v>0.0228252385742079</c:v>
                  </c:pt>
                  <c:pt idx="16">
                    <c:v>0.0228252385742079</c:v>
                  </c:pt>
                  <c:pt idx="17">
                    <c:v>0.0475828892898755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0.00640930583025784</c:v>
                  </c:pt>
                  <c:pt idx="2">
                    <c:v>0.0169574293034186</c:v>
                  </c:pt>
                  <c:pt idx="3">
                    <c:v>0.00641397393355737</c:v>
                  </c:pt>
                  <c:pt idx="4">
                    <c:v>3.77644953872727E-16</c:v>
                  </c:pt>
                  <c:pt idx="5">
                    <c:v>0.00641397393355737</c:v>
                  </c:pt>
                  <c:pt idx="6">
                    <c:v>0.0111093287313438</c:v>
                  </c:pt>
                  <c:pt idx="7">
                    <c:v>0.0932479160745588</c:v>
                  </c:pt>
                  <c:pt idx="8">
                    <c:v>0.0231456607542294</c:v>
                  </c:pt>
                  <c:pt idx="9">
                    <c:v>0.0170001894235569</c:v>
                  </c:pt>
                  <c:pt idx="10">
                    <c:v>0.011162130703667</c:v>
                  </c:pt>
                  <c:pt idx="11">
                    <c:v>0.00646443166390874</c:v>
                  </c:pt>
                  <c:pt idx="12">
                    <c:v>0.0171790405813036</c:v>
                  </c:pt>
                  <c:pt idx="13">
                    <c:v>0.0225973826894254</c:v>
                  </c:pt>
                  <c:pt idx="14">
                    <c:v>0.0236059413976513</c:v>
                  </c:pt>
                  <c:pt idx="15">
                    <c:v>0.0228252385742079</c:v>
                  </c:pt>
                  <c:pt idx="16">
                    <c:v>0.0228252385742079</c:v>
                  </c:pt>
                  <c:pt idx="17">
                    <c:v>0.0475828892898755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2.094434576672587</c:v>
                </c:pt>
                <c:pt idx="1">
                  <c:v>2.079632918886916</c:v>
                </c:pt>
                <c:pt idx="2">
                  <c:v>2.105535820011841</c:v>
                </c:pt>
                <c:pt idx="3">
                  <c:v>2.103366239801086</c:v>
                </c:pt>
                <c:pt idx="4">
                  <c:v>2.155209773880691</c:v>
                </c:pt>
                <c:pt idx="5">
                  <c:v>2.151506664303576</c:v>
                </c:pt>
                <c:pt idx="6">
                  <c:v>2.144100445149346</c:v>
                </c:pt>
                <c:pt idx="7">
                  <c:v>2.038449558845486</c:v>
                </c:pt>
                <c:pt idx="8">
                  <c:v>1.975442936117535</c:v>
                </c:pt>
                <c:pt idx="9">
                  <c:v>1.966165098899036</c:v>
                </c:pt>
                <c:pt idx="10">
                  <c:v>1.875237958216053</c:v>
                </c:pt>
                <c:pt idx="11">
                  <c:v>1.866120680657824</c:v>
                </c:pt>
                <c:pt idx="12">
                  <c:v>1.964357571771612</c:v>
                </c:pt>
                <c:pt idx="13">
                  <c:v>1.988569676669436</c:v>
                </c:pt>
                <c:pt idx="14">
                  <c:v>2.113006480493869</c:v>
                </c:pt>
                <c:pt idx="15">
                  <c:v>2.97869363393413</c:v>
                </c:pt>
                <c:pt idx="16">
                  <c:v>3.321072212547248</c:v>
                </c:pt>
                <c:pt idx="17">
                  <c:v>3.710628424558712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0.38409867092992</c:v>
                  </c:pt>
                  <c:pt idx="1">
                    <c:v>0.461795990803066</c:v>
                  </c:pt>
                  <c:pt idx="2">
                    <c:v>1.06460697474935</c:v>
                  </c:pt>
                  <c:pt idx="3">
                    <c:v>0.176627168492819</c:v>
                  </c:pt>
                  <c:pt idx="4">
                    <c:v>0.460325944292992</c:v>
                  </c:pt>
                  <c:pt idx="5">
                    <c:v>0.28346694222672</c:v>
                  </c:pt>
                  <c:pt idx="6">
                    <c:v>0.332881478403493</c:v>
                  </c:pt>
                  <c:pt idx="7">
                    <c:v>0.849545782524481</c:v>
                  </c:pt>
                  <c:pt idx="8">
                    <c:v>0.365802305683377</c:v>
                  </c:pt>
                  <c:pt idx="9">
                    <c:v>0.205148906911885</c:v>
                  </c:pt>
                  <c:pt idx="10">
                    <c:v>0.208013890884864</c:v>
                  </c:pt>
                  <c:pt idx="11">
                    <c:v>0.37406509094824</c:v>
                  </c:pt>
                  <c:pt idx="12">
                    <c:v>0.381112195848857</c:v>
                  </c:pt>
                  <c:pt idx="13">
                    <c:v>0.269056681265743</c:v>
                  </c:pt>
                  <c:pt idx="14">
                    <c:v>0.252502535827213</c:v>
                  </c:pt>
                  <c:pt idx="15">
                    <c:v>0.874287942951455</c:v>
                  </c:pt>
                  <c:pt idx="16">
                    <c:v>0.781036833372065</c:v>
                  </c:pt>
                  <c:pt idx="17">
                    <c:v>0.854019300259489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0.38409867092992</c:v>
                  </c:pt>
                  <c:pt idx="1">
                    <c:v>0.461795990803066</c:v>
                  </c:pt>
                  <c:pt idx="2">
                    <c:v>1.06460697474935</c:v>
                  </c:pt>
                  <c:pt idx="3">
                    <c:v>0.176627168492819</c:v>
                  </c:pt>
                  <c:pt idx="4">
                    <c:v>0.460325944292992</c:v>
                  </c:pt>
                  <c:pt idx="5">
                    <c:v>0.28346694222672</c:v>
                  </c:pt>
                  <c:pt idx="6">
                    <c:v>0.332881478403493</c:v>
                  </c:pt>
                  <c:pt idx="7">
                    <c:v>0.849545782524481</c:v>
                  </c:pt>
                  <c:pt idx="8">
                    <c:v>0.365802305683377</c:v>
                  </c:pt>
                  <c:pt idx="9">
                    <c:v>0.205148906911885</c:v>
                  </c:pt>
                  <c:pt idx="10">
                    <c:v>0.208013890884864</c:v>
                  </c:pt>
                  <c:pt idx="11">
                    <c:v>0.37406509094824</c:v>
                  </c:pt>
                  <c:pt idx="12">
                    <c:v>0.381112195848857</c:v>
                  </c:pt>
                  <c:pt idx="13">
                    <c:v>0.269056681265743</c:v>
                  </c:pt>
                  <c:pt idx="14">
                    <c:v>0.252502535827213</c:v>
                  </c:pt>
                  <c:pt idx="15">
                    <c:v>0.874287942951455</c:v>
                  </c:pt>
                  <c:pt idx="16">
                    <c:v>0.781036833372065</c:v>
                  </c:pt>
                  <c:pt idx="17">
                    <c:v>0.854019300259489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48.74271440466277</c:v>
                </c:pt>
                <c:pt idx="1">
                  <c:v>49.02581182348044</c:v>
                </c:pt>
                <c:pt idx="2">
                  <c:v>49.25895087427144</c:v>
                </c:pt>
                <c:pt idx="3">
                  <c:v>49.95586950180507</c:v>
                </c:pt>
                <c:pt idx="4">
                  <c:v>49.17817332363841</c:v>
                </c:pt>
                <c:pt idx="5">
                  <c:v>48.83376501616461</c:v>
                </c:pt>
                <c:pt idx="6">
                  <c:v>48.97819430639556</c:v>
                </c:pt>
                <c:pt idx="7">
                  <c:v>47.40770248114006</c:v>
                </c:pt>
                <c:pt idx="8">
                  <c:v>47.2353512700558</c:v>
                </c:pt>
                <c:pt idx="9">
                  <c:v>47.31301014026775</c:v>
                </c:pt>
                <c:pt idx="10">
                  <c:v>46.37564614504885</c:v>
                </c:pt>
                <c:pt idx="11">
                  <c:v>44.44226471116095</c:v>
                </c:pt>
                <c:pt idx="12">
                  <c:v>40.88827309633744</c:v>
                </c:pt>
                <c:pt idx="13">
                  <c:v>38.54197549605882</c:v>
                </c:pt>
                <c:pt idx="14">
                  <c:v>35.87018152505672</c:v>
                </c:pt>
                <c:pt idx="15">
                  <c:v>34.2055186223794</c:v>
                </c:pt>
                <c:pt idx="16">
                  <c:v>33.78322826901668</c:v>
                </c:pt>
                <c:pt idx="17">
                  <c:v>34.55190673917813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0.0574788466448966</c:v>
                  </c:pt>
                  <c:pt idx="1">
                    <c:v>0.0217249619813165</c:v>
                  </c:pt>
                  <c:pt idx="2">
                    <c:v>0.0878003885363324</c:v>
                  </c:pt>
                  <c:pt idx="3">
                    <c:v>0.107244745586494</c:v>
                  </c:pt>
                  <c:pt idx="4">
                    <c:v>0.0217407849689213</c:v>
                  </c:pt>
                  <c:pt idx="5">
                    <c:v>0.0452570528715076</c:v>
                  </c:pt>
                  <c:pt idx="6">
                    <c:v>0.164139327008179</c:v>
                  </c:pt>
                  <c:pt idx="7">
                    <c:v>0.0948468119467235</c:v>
                  </c:pt>
                  <c:pt idx="8">
                    <c:v>0.0376883014163695</c:v>
                  </c:pt>
                  <c:pt idx="9">
                    <c:v>0.033269108478688</c:v>
                  </c:pt>
                  <c:pt idx="10">
                    <c:v>0.138728779033098</c:v>
                  </c:pt>
                  <c:pt idx="11">
                    <c:v>0.0334708523091607</c:v>
                  </c:pt>
                  <c:pt idx="12">
                    <c:v>0.1498113399028</c:v>
                  </c:pt>
                  <c:pt idx="13">
                    <c:v>0.221113646824183</c:v>
                  </c:pt>
                  <c:pt idx="14">
                    <c:v>0.184785852800385</c:v>
                  </c:pt>
                  <c:pt idx="15">
                    <c:v>0.643057781340749</c:v>
                  </c:pt>
                  <c:pt idx="16">
                    <c:v>0.528683750061879</c:v>
                  </c:pt>
                  <c:pt idx="17">
                    <c:v>0.695880787375047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0.0574788466448966</c:v>
                  </c:pt>
                  <c:pt idx="1">
                    <c:v>0.0217249619813165</c:v>
                  </c:pt>
                  <c:pt idx="2">
                    <c:v>0.0878003885363324</c:v>
                  </c:pt>
                  <c:pt idx="3">
                    <c:v>0.107244745586494</c:v>
                  </c:pt>
                  <c:pt idx="4">
                    <c:v>0.0217407849689213</c:v>
                  </c:pt>
                  <c:pt idx="5">
                    <c:v>0.0452570528715076</c:v>
                  </c:pt>
                  <c:pt idx="6">
                    <c:v>0.164139327008179</c:v>
                  </c:pt>
                  <c:pt idx="7">
                    <c:v>0.0948468119467235</c:v>
                  </c:pt>
                  <c:pt idx="8">
                    <c:v>0.0376883014163695</c:v>
                  </c:pt>
                  <c:pt idx="9">
                    <c:v>0.033269108478688</c:v>
                  </c:pt>
                  <c:pt idx="10">
                    <c:v>0.138728779033098</c:v>
                  </c:pt>
                  <c:pt idx="11">
                    <c:v>0.0334708523091607</c:v>
                  </c:pt>
                  <c:pt idx="12">
                    <c:v>0.1498113399028</c:v>
                  </c:pt>
                  <c:pt idx="13">
                    <c:v>0.221113646824183</c:v>
                  </c:pt>
                  <c:pt idx="14">
                    <c:v>0.184785852800385</c:v>
                  </c:pt>
                  <c:pt idx="15">
                    <c:v>0.643057781340749</c:v>
                  </c:pt>
                  <c:pt idx="16">
                    <c:v>0.528683750061879</c:v>
                  </c:pt>
                  <c:pt idx="17">
                    <c:v>0.695880787375047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1.107973061047143</c:v>
                </c:pt>
                <c:pt idx="1">
                  <c:v>1.238322832935042</c:v>
                </c:pt>
                <c:pt idx="2">
                  <c:v>1.354189296835397</c:v>
                </c:pt>
                <c:pt idx="3">
                  <c:v>1.601571159377201</c:v>
                </c:pt>
                <c:pt idx="4">
                  <c:v>1.761003582482623</c:v>
                </c:pt>
                <c:pt idx="5">
                  <c:v>1.840719794035335</c:v>
                </c:pt>
                <c:pt idx="6">
                  <c:v>2.000152217140758</c:v>
                </c:pt>
                <c:pt idx="7">
                  <c:v>2.132416394867996</c:v>
                </c:pt>
                <c:pt idx="8">
                  <c:v>2.567603414228811</c:v>
                </c:pt>
                <c:pt idx="9">
                  <c:v>3.368600403284768</c:v>
                </c:pt>
                <c:pt idx="10">
                  <c:v>5.388215678194498</c:v>
                </c:pt>
                <c:pt idx="11">
                  <c:v>7.68374359162142</c:v>
                </c:pt>
                <c:pt idx="12">
                  <c:v>10.527580280515</c:v>
                </c:pt>
                <c:pt idx="13">
                  <c:v>15.01361661936211</c:v>
                </c:pt>
                <c:pt idx="14">
                  <c:v>18.89284304707613</c:v>
                </c:pt>
                <c:pt idx="15">
                  <c:v>24.65708917884173</c:v>
                </c:pt>
                <c:pt idx="16">
                  <c:v>24.35185347342734</c:v>
                </c:pt>
                <c:pt idx="17">
                  <c:v>24.80439928310069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0.00514004954933127</c:v>
                </c:pt>
                <c:pt idx="2">
                  <c:v>0.0156086808247722</c:v>
                </c:pt>
                <c:pt idx="3">
                  <c:v>0.0263788998897558</c:v>
                </c:pt>
                <c:pt idx="4">
                  <c:v>0.0377793641875848</c:v>
                </c:pt>
                <c:pt idx="5">
                  <c:v>0.049766805211548</c:v>
                </c:pt>
                <c:pt idx="6">
                  <c:v>0.0632072389745898</c:v>
                </c:pt>
                <c:pt idx="7">
                  <c:v>0.0802611364350832</c:v>
                </c:pt>
                <c:pt idx="8">
                  <c:v>0.103252784026385</c:v>
                </c:pt>
                <c:pt idx="9">
                  <c:v>0.132988620892996</c:v>
                </c:pt>
                <c:pt idx="10">
                  <c:v>0.170427650032416</c:v>
                </c:pt>
                <c:pt idx="11">
                  <c:v>0.217151727845427</c:v>
                </c:pt>
                <c:pt idx="12">
                  <c:v>0.273213625896722</c:v>
                </c:pt>
                <c:pt idx="13">
                  <c:v>0.336704499108217</c:v>
                </c:pt>
                <c:pt idx="14">
                  <c:v>0.405864246412434</c:v>
                </c:pt>
                <c:pt idx="15">
                  <c:v>0.48300630973431</c:v>
                </c:pt>
                <c:pt idx="16">
                  <c:v>0.567044803354156</c:v>
                </c:pt>
                <c:pt idx="17">
                  <c:v>0.654738364639112</c:v>
                </c:pt>
                <c:pt idx="18">
                  <c:v>0.748822663287271</c:v>
                </c:pt>
                <c:pt idx="19">
                  <c:v>0.850922585228918</c:v>
                </c:pt>
                <c:pt idx="20">
                  <c:v>0.962510505428647</c:v>
                </c:pt>
                <c:pt idx="21">
                  <c:v>1.082567958158349</c:v>
                </c:pt>
                <c:pt idx="22">
                  <c:v>1.20939256051241</c:v>
                </c:pt>
                <c:pt idx="23">
                  <c:v>1.34785589099475</c:v>
                </c:pt>
                <c:pt idx="24">
                  <c:v>1.50040716281784</c:v>
                </c:pt>
                <c:pt idx="25">
                  <c:v>1.673160448942537</c:v>
                </c:pt>
                <c:pt idx="26">
                  <c:v>1.879513313979983</c:v>
                </c:pt>
                <c:pt idx="27">
                  <c:v>2.124383763387769</c:v>
                </c:pt>
                <c:pt idx="28">
                  <c:v>2.425342605112567</c:v>
                </c:pt>
                <c:pt idx="29">
                  <c:v>2.801292879185802</c:v>
                </c:pt>
                <c:pt idx="30">
                  <c:v>3.250989334648423</c:v>
                </c:pt>
                <c:pt idx="31">
                  <c:v>3.819295894806567</c:v>
                </c:pt>
                <c:pt idx="32">
                  <c:v>4.522412685798183</c:v>
                </c:pt>
                <c:pt idx="33">
                  <c:v>5.308199906109928</c:v>
                </c:pt>
                <c:pt idx="34">
                  <c:v>6.284131753076427</c:v>
                </c:pt>
                <c:pt idx="35">
                  <c:v>7.477233925623602</c:v>
                </c:pt>
                <c:pt idx="36">
                  <c:v>8.790285125789608</c:v>
                </c:pt>
                <c:pt idx="37">
                  <c:v>10.19500384945384</c:v>
                </c:pt>
                <c:pt idx="38">
                  <c:v>11.60298732655216</c:v>
                </c:pt>
                <c:pt idx="39">
                  <c:v>12.99087313915691</c:v>
                </c:pt>
                <c:pt idx="40">
                  <c:v>14.29879813368979</c:v>
                </c:pt>
                <c:pt idx="41">
                  <c:v>15.44158702302957</c:v>
                </c:pt>
                <c:pt idx="42">
                  <c:v>16.39114836790054</c:v>
                </c:pt>
                <c:pt idx="43">
                  <c:v>17.12850146608941</c:v>
                </c:pt>
                <c:pt idx="44">
                  <c:v>17.69521574603218</c:v>
                </c:pt>
                <c:pt idx="45">
                  <c:v>18.13159300189881</c:v>
                </c:pt>
                <c:pt idx="46">
                  <c:v>18.47200690117289</c:v>
                </c:pt>
                <c:pt idx="47">
                  <c:v>18.74780342037762</c:v>
                </c:pt>
                <c:pt idx="48">
                  <c:v>18.98055940146704</c:v>
                </c:pt>
                <c:pt idx="49">
                  <c:v>19.17732102279184</c:v>
                </c:pt>
                <c:pt idx="50">
                  <c:v>19.33592035010406</c:v>
                </c:pt>
                <c:pt idx="51">
                  <c:v>19.4651303697145</c:v>
                </c:pt>
                <c:pt idx="52">
                  <c:v>19.57540820890961</c:v>
                </c:pt>
                <c:pt idx="53">
                  <c:v>19.66850479808162</c:v>
                </c:pt>
                <c:pt idx="54">
                  <c:v>19.74756644259129</c:v>
                </c:pt>
                <c:pt idx="55">
                  <c:v>19.8188739667925</c:v>
                </c:pt>
                <c:pt idx="56">
                  <c:v>19.88115313338411</c:v>
                </c:pt>
                <c:pt idx="57">
                  <c:v>19.93484658595068</c:v>
                </c:pt>
                <c:pt idx="58">
                  <c:v>19.98217016160789</c:v>
                </c:pt>
                <c:pt idx="59">
                  <c:v>20.02391092779458</c:v>
                </c:pt>
                <c:pt idx="60">
                  <c:v>20.05198276160065</c:v>
                </c:pt>
                <c:pt idx="61">
                  <c:v>20.07623544485176</c:v>
                </c:pt>
                <c:pt idx="62">
                  <c:v>20.10646062177262</c:v>
                </c:pt>
                <c:pt idx="63">
                  <c:v>20.1322098977899</c:v>
                </c:pt>
                <c:pt idx="64">
                  <c:v>20.1437218371446</c:v>
                </c:pt>
                <c:pt idx="65">
                  <c:v>20.1437218371446</c:v>
                </c:pt>
                <c:pt idx="66">
                  <c:v>20.1437218371446</c:v>
                </c:pt>
                <c:pt idx="67">
                  <c:v>20.1437218371446</c:v>
                </c:pt>
                <c:pt idx="68">
                  <c:v>20.1437218371446</c:v>
                </c:pt>
                <c:pt idx="69">
                  <c:v>20.1437218371446</c:v>
                </c:pt>
                <c:pt idx="70">
                  <c:v>20.1437218371446</c:v>
                </c:pt>
                <c:pt idx="71">
                  <c:v>20.1437218371446</c:v>
                </c:pt>
                <c:pt idx="72">
                  <c:v>20.1437218371446</c:v>
                </c:pt>
                <c:pt idx="73">
                  <c:v>20.1437218371446</c:v>
                </c:pt>
                <c:pt idx="74">
                  <c:v>20.1437218371446</c:v>
                </c:pt>
                <c:pt idx="75">
                  <c:v>20.1437218371446</c:v>
                </c:pt>
                <c:pt idx="76">
                  <c:v>20.1437218371446</c:v>
                </c:pt>
                <c:pt idx="77">
                  <c:v>20.1437218371446</c:v>
                </c:pt>
                <c:pt idx="78">
                  <c:v>20.1437218371446</c:v>
                </c:pt>
                <c:pt idx="79">
                  <c:v>20.1437218371446</c:v>
                </c:pt>
                <c:pt idx="80">
                  <c:v>20.1437218371446</c:v>
                </c:pt>
                <c:pt idx="81">
                  <c:v>20.1437218371446</c:v>
                </c:pt>
                <c:pt idx="82">
                  <c:v>20.1437218371446</c:v>
                </c:pt>
                <c:pt idx="83">
                  <c:v>20.1437218371446</c:v>
                </c:pt>
                <c:pt idx="84">
                  <c:v>20.1437218371446</c:v>
                </c:pt>
                <c:pt idx="85">
                  <c:v>20.1437218371446</c:v>
                </c:pt>
                <c:pt idx="86">
                  <c:v>20.1437218371446</c:v>
                </c:pt>
                <c:pt idx="87">
                  <c:v>20.1437218371446</c:v>
                </c:pt>
                <c:pt idx="88">
                  <c:v>20.1437218371446</c:v>
                </c:pt>
                <c:pt idx="89">
                  <c:v>20.1437218371446</c:v>
                </c:pt>
                <c:pt idx="90">
                  <c:v>20.1437218371446</c:v>
                </c:pt>
                <c:pt idx="91">
                  <c:v>20.1437218371446</c:v>
                </c:pt>
                <c:pt idx="92">
                  <c:v>20.1437218371446</c:v>
                </c:pt>
                <c:pt idx="93">
                  <c:v>20.1437218371446</c:v>
                </c:pt>
                <c:pt idx="94">
                  <c:v>20.1437218371446</c:v>
                </c:pt>
                <c:pt idx="95">
                  <c:v>20.1437218371446</c:v>
                </c:pt>
                <c:pt idx="96">
                  <c:v>20.1437218371446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0.463280213914194</c:v>
                  </c:pt>
                  <c:pt idx="1">
                    <c:v>0.4940053285968</c:v>
                  </c:pt>
                  <c:pt idx="2">
                    <c:v>1.03728333077605</c:v>
                  </c:pt>
                  <c:pt idx="3">
                    <c:v>0.203814051211275</c:v>
                  </c:pt>
                  <c:pt idx="4">
                    <c:v>0.262444420626304</c:v>
                  </c:pt>
                  <c:pt idx="5">
                    <c:v>0.202726225631352</c:v>
                  </c:pt>
                  <c:pt idx="6">
                    <c:v>0.474070346712372</c:v>
                  </c:pt>
                  <c:pt idx="7">
                    <c:v>0.977634167118012</c:v>
                  </c:pt>
                  <c:pt idx="8">
                    <c:v>0.54113156673285</c:v>
                  </c:pt>
                  <c:pt idx="9">
                    <c:v>0.163028435745424</c:v>
                  </c:pt>
                  <c:pt idx="10">
                    <c:v>0.275250840445038</c:v>
                  </c:pt>
                  <c:pt idx="11">
                    <c:v>0.247280354832166</c:v>
                  </c:pt>
                  <c:pt idx="12">
                    <c:v>0.551652823510718</c:v>
                  </c:pt>
                  <c:pt idx="13">
                    <c:v>0.0441228002066074</c:v>
                  </c:pt>
                  <c:pt idx="14">
                    <c:v>0.296595652369455</c:v>
                  </c:pt>
                  <c:pt idx="15">
                    <c:v>0.75851717018733</c:v>
                  </c:pt>
                  <c:pt idx="16">
                    <c:v>0.609347307401549</c:v>
                  </c:pt>
                  <c:pt idx="17">
                    <c:v>0.589907160351937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0.463280213914194</c:v>
                  </c:pt>
                  <c:pt idx="1">
                    <c:v>0.4940053285968</c:v>
                  </c:pt>
                  <c:pt idx="2">
                    <c:v>1.03728333077605</c:v>
                  </c:pt>
                  <c:pt idx="3">
                    <c:v>0.203814051211275</c:v>
                  </c:pt>
                  <c:pt idx="4">
                    <c:v>0.262444420626304</c:v>
                  </c:pt>
                  <c:pt idx="5">
                    <c:v>0.202726225631352</c:v>
                  </c:pt>
                  <c:pt idx="6">
                    <c:v>0.474070346712372</c:v>
                  </c:pt>
                  <c:pt idx="7">
                    <c:v>0.977634167118012</c:v>
                  </c:pt>
                  <c:pt idx="8">
                    <c:v>0.54113156673285</c:v>
                  </c:pt>
                  <c:pt idx="9">
                    <c:v>0.163028435745424</c:v>
                  </c:pt>
                  <c:pt idx="10">
                    <c:v>0.275250840445038</c:v>
                  </c:pt>
                  <c:pt idx="11">
                    <c:v>0.247280354832166</c:v>
                  </c:pt>
                  <c:pt idx="12">
                    <c:v>0.551652823510718</c:v>
                  </c:pt>
                  <c:pt idx="13">
                    <c:v>0.0441228002066074</c:v>
                  </c:pt>
                  <c:pt idx="14">
                    <c:v>0.296595652369455</c:v>
                  </c:pt>
                  <c:pt idx="15">
                    <c:v>0.75851717018733</c:v>
                  </c:pt>
                  <c:pt idx="16">
                    <c:v>0.609347307401549</c:v>
                  </c:pt>
                  <c:pt idx="17">
                    <c:v>0.589907160351937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49.98149792776791</c:v>
                </c:pt>
                <c:pt idx="1">
                  <c:v>50.26642984014209</c:v>
                </c:pt>
                <c:pt idx="2">
                  <c:v>50.54396092362344</c:v>
                </c:pt>
                <c:pt idx="3">
                  <c:v>51.37138760852214</c:v>
                </c:pt>
                <c:pt idx="4">
                  <c:v>50.6270625835221</c:v>
                </c:pt>
                <c:pt idx="5">
                  <c:v>50.6529843505619</c:v>
                </c:pt>
                <c:pt idx="6">
                  <c:v>50.91405357574848</c:v>
                </c:pt>
                <c:pt idx="7">
                  <c:v>49.41201730641458</c:v>
                </c:pt>
                <c:pt idx="8">
                  <c:v>49.1433125918395</c:v>
                </c:pt>
                <c:pt idx="9">
                  <c:v>49.41566452808416</c:v>
                </c:pt>
                <c:pt idx="10">
                  <c:v>48.23900819101415</c:v>
                </c:pt>
                <c:pt idx="11">
                  <c:v>45.52588012532828</c:v>
                </c:pt>
                <c:pt idx="12">
                  <c:v>41.20277494530875</c:v>
                </c:pt>
                <c:pt idx="13">
                  <c:v>37.63594086923802</c:v>
                </c:pt>
                <c:pt idx="14">
                  <c:v>32.94437921421166</c:v>
                </c:pt>
                <c:pt idx="15">
                  <c:v>27.1411107679477</c:v>
                </c:pt>
                <c:pt idx="16">
                  <c:v>25.92947102030017</c:v>
                </c:pt>
                <c:pt idx="17">
                  <c:v>25.96487477164261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0.0285621550155894</c:v>
                  </c:pt>
                  <c:pt idx="3">
                    <c:v>0.0173491973367543</c:v>
                  </c:pt>
                  <c:pt idx="4">
                    <c:v>0.0173491973367543</c:v>
                  </c:pt>
                  <c:pt idx="5">
                    <c:v>0.0346983946735086</c:v>
                  </c:pt>
                  <c:pt idx="6">
                    <c:v>0.0393442813711167</c:v>
                  </c:pt>
                  <c:pt idx="7">
                    <c:v>0.062606839390752</c:v>
                  </c:pt>
                  <c:pt idx="8">
                    <c:v>0.0572147335330005</c:v>
                  </c:pt>
                  <c:pt idx="9">
                    <c:v>0.00656913091248188</c:v>
                  </c:pt>
                  <c:pt idx="10">
                    <c:v>0.0174316570298428</c:v>
                  </c:pt>
                  <c:pt idx="11">
                    <c:v>0.0825459603040415</c:v>
                  </c:pt>
                  <c:pt idx="12">
                    <c:v>0.0893084083158224</c:v>
                  </c:pt>
                  <c:pt idx="13">
                    <c:v>0.099591695312547</c:v>
                  </c:pt>
                  <c:pt idx="14">
                    <c:v>0.0885465916874979</c:v>
                  </c:pt>
                  <c:pt idx="15">
                    <c:v>0.805922377032379</c:v>
                  </c:pt>
                  <c:pt idx="16">
                    <c:v>0.583544918381186</c:v>
                  </c:pt>
                  <c:pt idx="17">
                    <c:v>0.782110478304179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0.0285621550155894</c:v>
                  </c:pt>
                  <c:pt idx="3">
                    <c:v>0.0173491973367543</c:v>
                  </c:pt>
                  <c:pt idx="4">
                    <c:v>0.0173491973367543</c:v>
                  </c:pt>
                  <c:pt idx="5">
                    <c:v>0.0346983946735086</c:v>
                  </c:pt>
                  <c:pt idx="6">
                    <c:v>0.0393442813711167</c:v>
                  </c:pt>
                  <c:pt idx="7">
                    <c:v>0.062606839390752</c:v>
                  </c:pt>
                  <c:pt idx="8">
                    <c:v>0.0572147335330005</c:v>
                  </c:pt>
                  <c:pt idx="9">
                    <c:v>0.00656913091248188</c:v>
                  </c:pt>
                  <c:pt idx="10">
                    <c:v>0.0174316570298428</c:v>
                  </c:pt>
                  <c:pt idx="11">
                    <c:v>0.0825459603040415</c:v>
                  </c:pt>
                  <c:pt idx="12">
                    <c:v>0.0893084083158224</c:v>
                  </c:pt>
                  <c:pt idx="13">
                    <c:v>0.099591695312547</c:v>
                  </c:pt>
                  <c:pt idx="14">
                    <c:v>0.0885465916874979</c:v>
                  </c:pt>
                  <c:pt idx="15">
                    <c:v>0.805922377032379</c:v>
                  </c:pt>
                  <c:pt idx="16">
                    <c:v>0.583544918381186</c:v>
                  </c:pt>
                  <c:pt idx="17">
                    <c:v>0.782110478304179</c:v>
                  </c:pt>
                </c:numCache>
              </c:numRef>
            </c:minus>
          </c:errBars>
          <c:xVal>
            <c:numRef>
              <c:f>Metabolites!$E$26:$E$43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0.174024893126017</c:v>
                </c:pt>
                <c:pt idx="3">
                  <c:v>0.571671691257279</c:v>
                </c:pt>
                <c:pt idx="4">
                  <c:v>0.946476310028607</c:v>
                </c:pt>
                <c:pt idx="5">
                  <c:v>1.332638644520278</c:v>
                </c:pt>
                <c:pt idx="6">
                  <c:v>1.726372789492178</c:v>
                </c:pt>
                <c:pt idx="7">
                  <c:v>2.129495720815311</c:v>
                </c:pt>
                <c:pt idx="8">
                  <c:v>2.811540613603133</c:v>
                </c:pt>
                <c:pt idx="9">
                  <c:v>3.785104121661976</c:v>
                </c:pt>
                <c:pt idx="10">
                  <c:v>5.838985610267486</c:v>
                </c:pt>
                <c:pt idx="11">
                  <c:v>8.745557732246085</c:v>
                </c:pt>
                <c:pt idx="12">
                  <c:v>13.12279034757905</c:v>
                </c:pt>
                <c:pt idx="13">
                  <c:v>19.20213128341955</c:v>
                </c:pt>
                <c:pt idx="14">
                  <c:v>24.30377814536191</c:v>
                </c:pt>
                <c:pt idx="15">
                  <c:v>28.44606561391561</c:v>
                </c:pt>
                <c:pt idx="16">
                  <c:v>28.62497168695911</c:v>
                </c:pt>
                <c:pt idx="17">
                  <c:v>29.90472370548181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0.00293530586717387</c:v>
                </c:pt>
                <c:pt idx="1">
                  <c:v>0.00796739526797829</c:v>
                </c:pt>
                <c:pt idx="2">
                  <c:v>0.012347265246414</c:v>
                </c:pt>
                <c:pt idx="3">
                  <c:v>0.0146303516912192</c:v>
                </c:pt>
                <c:pt idx="4">
                  <c:v>0.014723662380064</c:v>
                </c:pt>
                <c:pt idx="5">
                  <c:v>0.0148169730689087</c:v>
                </c:pt>
                <c:pt idx="6">
                  <c:v>0.0172283527651868</c:v>
                </c:pt>
                <c:pt idx="7">
                  <c:v>0.0201399225106273</c:v>
                </c:pt>
                <c:pt idx="8">
                  <c:v>0.0222408574744708</c:v>
                </c:pt>
                <c:pt idx="9">
                  <c:v>0.028693411676687</c:v>
                </c:pt>
                <c:pt idx="10">
                  <c:v>0.0344269545043579</c:v>
                </c:pt>
                <c:pt idx="11">
                  <c:v>0.0408068479722888</c:v>
                </c:pt>
                <c:pt idx="12">
                  <c:v>0.0472766356494742</c:v>
                </c:pt>
                <c:pt idx="13">
                  <c:v>0.0504077641924205</c:v>
                </c:pt>
                <c:pt idx="14">
                  <c:v>0.0540248911196991</c:v>
                </c:pt>
                <c:pt idx="15">
                  <c:v>0.05784477964321</c:v>
                </c:pt>
                <c:pt idx="16">
                  <c:v>0.060207042032998</c:v>
                </c:pt>
                <c:pt idx="17">
                  <c:v>0.0625127946471475</c:v>
                </c:pt>
                <c:pt idx="18">
                  <c:v>0.0659923493578797</c:v>
                </c:pt>
                <c:pt idx="19">
                  <c:v>0.0672247212104778</c:v>
                </c:pt>
                <c:pt idx="20">
                  <c:v>0.0678366459928984</c:v>
                </c:pt>
                <c:pt idx="21">
                  <c:v>0.0701727537733181</c:v>
                </c:pt>
                <c:pt idx="22">
                  <c:v>0.0744143019825515</c:v>
                </c:pt>
                <c:pt idx="23">
                  <c:v>0.0801607112119383</c:v>
                </c:pt>
                <c:pt idx="24">
                  <c:v>0.083835206757145</c:v>
                </c:pt>
                <c:pt idx="25">
                  <c:v>0.0842220885281837</c:v>
                </c:pt>
                <c:pt idx="26">
                  <c:v>0.0843579375708136</c:v>
                </c:pt>
                <c:pt idx="27">
                  <c:v>0.0873429073197946</c:v>
                </c:pt>
                <c:pt idx="28">
                  <c:v>0.0946862132755835</c:v>
                </c:pt>
                <c:pt idx="29">
                  <c:v>0.0992515877456373</c:v>
                </c:pt>
                <c:pt idx="30">
                  <c:v>0.102176196959712</c:v>
                </c:pt>
                <c:pt idx="31">
                  <c:v>0.106333590098346</c:v>
                </c:pt>
                <c:pt idx="32">
                  <c:v>0.10794428792785</c:v>
                </c:pt>
                <c:pt idx="33">
                  <c:v>0.108327562704337</c:v>
                </c:pt>
                <c:pt idx="34">
                  <c:v>0.108566321669036</c:v>
                </c:pt>
                <c:pt idx="35">
                  <c:v>0.108728530541578</c:v>
                </c:pt>
                <c:pt idx="36">
                  <c:v>0.109494006822992</c:v>
                </c:pt>
                <c:pt idx="37">
                  <c:v>0.110259483104406</c:v>
                </c:pt>
                <c:pt idx="38">
                  <c:v>0.110259483104406</c:v>
                </c:pt>
                <c:pt idx="39">
                  <c:v>0.110529362562597</c:v>
                </c:pt>
                <c:pt idx="40">
                  <c:v>0.110799242020788</c:v>
                </c:pt>
                <c:pt idx="41">
                  <c:v>0.110799242020788</c:v>
                </c:pt>
                <c:pt idx="42">
                  <c:v>0.111518510736239</c:v>
                </c:pt>
                <c:pt idx="43">
                  <c:v>0.112417904010347</c:v>
                </c:pt>
                <c:pt idx="44">
                  <c:v>0.1149365740336</c:v>
                </c:pt>
                <c:pt idx="45">
                  <c:v>0.117275119498197</c:v>
                </c:pt>
                <c:pt idx="46">
                  <c:v>0.117275119498197</c:v>
                </c:pt>
                <c:pt idx="47">
                  <c:v>0.118084757872769</c:v>
                </c:pt>
                <c:pt idx="48">
                  <c:v>0.120235422965102</c:v>
                </c:pt>
                <c:pt idx="49">
                  <c:v>0.122055761966749</c:v>
                </c:pt>
                <c:pt idx="50">
                  <c:v>0.12646255386642</c:v>
                </c:pt>
                <c:pt idx="51">
                  <c:v>0.130390033482204</c:v>
                </c:pt>
                <c:pt idx="52">
                  <c:v>0.132880885842731</c:v>
                </c:pt>
                <c:pt idx="53">
                  <c:v>0.137958191101282</c:v>
                </c:pt>
                <c:pt idx="54">
                  <c:v>0.147346032923806</c:v>
                </c:pt>
                <c:pt idx="55">
                  <c:v>0.159032871233661</c:v>
                </c:pt>
                <c:pt idx="56">
                  <c:v>0.167079686338425</c:v>
                </c:pt>
                <c:pt idx="57">
                  <c:v>0.170241052057832</c:v>
                </c:pt>
                <c:pt idx="58">
                  <c:v>0.170432907931027</c:v>
                </c:pt>
                <c:pt idx="59">
                  <c:v>0.171774589446989</c:v>
                </c:pt>
                <c:pt idx="60">
                  <c:v>0.174182357823329</c:v>
                </c:pt>
                <c:pt idx="61">
                  <c:v>0.175846506270304</c:v>
                </c:pt>
                <c:pt idx="62">
                  <c:v>0.176658917697109</c:v>
                </c:pt>
                <c:pt idx="63">
                  <c:v>0.17757340132882</c:v>
                </c:pt>
                <c:pt idx="64">
                  <c:v>0.178386507124367</c:v>
                </c:pt>
                <c:pt idx="65">
                  <c:v>0.178691335001604</c:v>
                </c:pt>
                <c:pt idx="66">
                  <c:v>0.178691335001604</c:v>
                </c:pt>
                <c:pt idx="67">
                  <c:v>0.179402368592243</c:v>
                </c:pt>
                <c:pt idx="68">
                  <c:v>0.180113402182883</c:v>
                </c:pt>
                <c:pt idx="69">
                  <c:v>0.180214780019049</c:v>
                </c:pt>
                <c:pt idx="70">
                  <c:v>0.180519607896286</c:v>
                </c:pt>
                <c:pt idx="71">
                  <c:v>0.181738919405234</c:v>
                </c:pt>
                <c:pt idx="72">
                  <c:v>0.196367185668914</c:v>
                </c:pt>
                <c:pt idx="73">
                  <c:v>0.209979590464717</c:v>
                </c:pt>
                <c:pt idx="74">
                  <c:v>0.216684415026453</c:v>
                </c:pt>
                <c:pt idx="75">
                  <c:v>0.223694067465426</c:v>
                </c:pt>
                <c:pt idx="76">
                  <c:v>0.225624412565014</c:v>
                </c:pt>
                <c:pt idx="77">
                  <c:v>0.229485102764191</c:v>
                </c:pt>
                <c:pt idx="78">
                  <c:v>0.23446303226741</c:v>
                </c:pt>
                <c:pt idx="79">
                  <c:v>0.237205788793804</c:v>
                </c:pt>
                <c:pt idx="80">
                  <c:v>0.237307166629969</c:v>
                </c:pt>
                <c:pt idx="81">
                  <c:v>0.2375099223023</c:v>
                </c:pt>
                <c:pt idx="82">
                  <c:v>0.239643023074219</c:v>
                </c:pt>
                <c:pt idx="83">
                  <c:v>0.244417502536367</c:v>
                </c:pt>
                <c:pt idx="84">
                  <c:v>0.24716025906276</c:v>
                </c:pt>
                <c:pt idx="85">
                  <c:v>0.247363709103832</c:v>
                </c:pt>
                <c:pt idx="86">
                  <c:v>0.247668536981069</c:v>
                </c:pt>
                <c:pt idx="87">
                  <c:v>0.249903015589154</c:v>
                </c:pt>
                <c:pt idx="88">
                  <c:v>0.25234094423831</c:v>
                </c:pt>
                <c:pt idx="89">
                  <c:v>0.25305197782895</c:v>
                </c:pt>
                <c:pt idx="90">
                  <c:v>0.255083700764704</c:v>
                </c:pt>
                <c:pt idx="91">
                  <c:v>0.256810595823221</c:v>
                </c:pt>
                <c:pt idx="92">
                  <c:v>0.258842318758975</c:v>
                </c:pt>
                <c:pt idx="93">
                  <c:v>0.260874041694728</c:v>
                </c:pt>
                <c:pt idx="94">
                  <c:v>0.262194731039843</c:v>
                </c:pt>
                <c:pt idx="95">
                  <c:v>0.263515420384957</c:v>
                </c:pt>
                <c:pt idx="96">
                  <c:v>0.263616798221122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02136"/>
        <c:axId val="-212675308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9401.0</c:v>
                </c:pt>
                <c:pt idx="1">
                  <c:v>22181.0</c:v>
                </c:pt>
                <c:pt idx="2">
                  <c:v>3811.0</c:v>
                </c:pt>
                <c:pt idx="3">
                  <c:v>5092.0</c:v>
                </c:pt>
                <c:pt idx="4">
                  <c:v>6259.0</c:v>
                </c:pt>
                <c:pt idx="5">
                  <c:v>6210.0</c:v>
                </c:pt>
                <c:pt idx="6">
                  <c:v>7508.0</c:v>
                </c:pt>
                <c:pt idx="7">
                  <c:v>9100.0</c:v>
                </c:pt>
                <c:pt idx="8">
                  <c:v>12631.0</c:v>
                </c:pt>
                <c:pt idx="9">
                  <c:v>19900.0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0.00939760569985268</c:v>
                  </c:pt>
                  <c:pt idx="1">
                    <c:v>0.00206700651912174</c:v>
                  </c:pt>
                  <c:pt idx="2">
                    <c:v>0.00788119378879973</c:v>
                  </c:pt>
                  <c:pt idx="3">
                    <c:v>0.0127377546252108</c:v>
                  </c:pt>
                  <c:pt idx="4">
                    <c:v>0.0168742216509101</c:v>
                  </c:pt>
                  <c:pt idx="5">
                    <c:v>0.0218056745316032</c:v>
                  </c:pt>
                  <c:pt idx="6">
                    <c:v>0.0246160025769088</c:v>
                  </c:pt>
                  <c:pt idx="7">
                    <c:v>0.00403486901015866</c:v>
                  </c:pt>
                  <c:pt idx="8">
                    <c:v>0.0184263112645607</c:v>
                  </c:pt>
                  <c:pt idx="9">
                    <c:v>0.0127419130343885</c:v>
                  </c:pt>
                  <c:pt idx="10">
                    <c:v>0.0139309865302567</c:v>
                  </c:pt>
                  <c:pt idx="11">
                    <c:v>0.0252261893636376</c:v>
                  </c:pt>
                  <c:pt idx="12">
                    <c:v>0.0295128117047619</c:v>
                  </c:pt>
                  <c:pt idx="13">
                    <c:v>0.0293892062879514</c:v>
                  </c:pt>
                  <c:pt idx="14">
                    <c:v>0.0377824444741862</c:v>
                  </c:pt>
                  <c:pt idx="15">
                    <c:v>0.0143688151546953</c:v>
                  </c:pt>
                  <c:pt idx="16">
                    <c:v>0.0723107722948657</c:v>
                  </c:pt>
                  <c:pt idx="17">
                    <c:v>0.0227022552104575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0.00939760569985268</c:v>
                  </c:pt>
                  <c:pt idx="1">
                    <c:v>0.00206700651912174</c:v>
                  </c:pt>
                  <c:pt idx="2">
                    <c:v>0.00788119378879973</c:v>
                  </c:pt>
                  <c:pt idx="3">
                    <c:v>0.0127377546252108</c:v>
                  </c:pt>
                  <c:pt idx="4">
                    <c:v>0.0168742216509101</c:v>
                  </c:pt>
                  <c:pt idx="5">
                    <c:v>0.0218056745316032</c:v>
                  </c:pt>
                  <c:pt idx="6">
                    <c:v>0.0246160025769088</c:v>
                  </c:pt>
                  <c:pt idx="7">
                    <c:v>0.00403486901015866</c:v>
                  </c:pt>
                  <c:pt idx="8">
                    <c:v>0.0184263112645607</c:v>
                  </c:pt>
                  <c:pt idx="9">
                    <c:v>0.0127419130343885</c:v>
                  </c:pt>
                  <c:pt idx="10">
                    <c:v>0.0139309865302567</c:v>
                  </c:pt>
                  <c:pt idx="11">
                    <c:v>0.0252261893636376</c:v>
                  </c:pt>
                  <c:pt idx="12">
                    <c:v>0.0295128117047619</c:v>
                  </c:pt>
                  <c:pt idx="13">
                    <c:v>0.0293892062879514</c:v>
                  </c:pt>
                  <c:pt idx="14">
                    <c:v>0.0377824444741862</c:v>
                  </c:pt>
                  <c:pt idx="15">
                    <c:v>0.0143688151546953</c:v>
                  </c:pt>
                  <c:pt idx="16">
                    <c:v>0.0723107722948657</c:v>
                  </c:pt>
                  <c:pt idx="17">
                    <c:v>0.0227022552104575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7.125903039841956</c:v>
                </c:pt>
                <c:pt idx="1">
                  <c:v>7.507107639851832</c:v>
                </c:pt>
                <c:pt idx="2">
                  <c:v>7.753377297477693</c:v>
                </c:pt>
                <c:pt idx="3">
                  <c:v>7.873596929082662</c:v>
                </c:pt>
                <c:pt idx="4">
                  <c:v>7.952293095602366</c:v>
                </c:pt>
                <c:pt idx="5">
                  <c:v>7.946290951400723</c:v>
                </c:pt>
                <c:pt idx="6">
                  <c:v>8.017982618101784</c:v>
                </c:pt>
                <c:pt idx="7">
                  <c:v>8.122099481053628</c:v>
                </c:pt>
                <c:pt idx="8">
                  <c:v>8.281427185983965</c:v>
                </c:pt>
                <c:pt idx="9">
                  <c:v>8.450685414409624</c:v>
                </c:pt>
                <c:pt idx="10">
                  <c:v>8.65143342708751</c:v>
                </c:pt>
                <c:pt idx="11">
                  <c:v>8.775133796187622</c:v>
                </c:pt>
                <c:pt idx="12">
                  <c:v>8.82288722929285</c:v>
                </c:pt>
                <c:pt idx="13">
                  <c:v>8.903940960425837</c:v>
                </c:pt>
                <c:pt idx="14">
                  <c:v>8.980899972809606</c:v>
                </c:pt>
                <c:pt idx="15">
                  <c:v>8.992569713716447</c:v>
                </c:pt>
                <c:pt idx="16">
                  <c:v>8.972450778416877</c:v>
                </c:pt>
                <c:pt idx="17">
                  <c:v>8.973181488852489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1425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 w="25400">
                <a:solidFill>
                  <a:srgbClr val="1425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count'!$S$4:$S$21</c:f>
                <c:numCache>
                  <c:formatCode>General</c:formatCode>
                  <c:ptCount val="18"/>
                  <c:pt idx="0">
                    <c:v>0.123071707955262</c:v>
                  </c:pt>
                  <c:pt idx="1">
                    <c:v>0.0861684929843784</c:v>
                  </c:pt>
                  <c:pt idx="2">
                    <c:v>0.0943700563925563</c:v>
                  </c:pt>
                  <c:pt idx="3">
                    <c:v>0.0705140962886919</c:v>
                  </c:pt>
                  <c:pt idx="4">
                    <c:v>0.0464407490268892</c:v>
                  </c:pt>
                  <c:pt idx="5">
                    <c:v>0.0879279764808173</c:v>
                  </c:pt>
                  <c:pt idx="6">
                    <c:v>0.0371666691992704</c:v>
                  </c:pt>
                  <c:pt idx="7">
                    <c:v>0.068603312769523</c:v>
                  </c:pt>
                  <c:pt idx="8">
                    <c:v>0.0164643624713258</c:v>
                  </c:pt>
                  <c:pt idx="9">
                    <c:v>0.0457001370033786</c:v>
                  </c:pt>
                  <c:pt idx="10">
                    <c:v>0.0369173836776133</c:v>
                  </c:pt>
                  <c:pt idx="11">
                    <c:v>0.0687021130362645</c:v>
                  </c:pt>
                  <c:pt idx="12">
                    <c:v>0.0409462255474516</c:v>
                  </c:pt>
                  <c:pt idx="13">
                    <c:v>0.0557521171531967</c:v>
                  </c:pt>
                  <c:pt idx="14">
                    <c:v>0.0272468859163006</c:v>
                  </c:pt>
                  <c:pt idx="15">
                    <c:v>0.00567274526518313</c:v>
                  </c:pt>
                  <c:pt idx="16">
                    <c:v>0.0354626892183885</c:v>
                  </c:pt>
                  <c:pt idx="17">
                    <c:v>0.0143763454110608</c:v>
                  </c:pt>
                </c:numCache>
              </c:numRef>
            </c:plus>
            <c:minus>
              <c:numRef>
                <c:f>'Determination cell count'!$S$4:$S$21</c:f>
                <c:numCache>
                  <c:formatCode>General</c:formatCode>
                  <c:ptCount val="18"/>
                  <c:pt idx="0">
                    <c:v>0.123071707955262</c:v>
                  </c:pt>
                  <c:pt idx="1">
                    <c:v>0.0861684929843784</c:v>
                  </c:pt>
                  <c:pt idx="2">
                    <c:v>0.0943700563925563</c:v>
                  </c:pt>
                  <c:pt idx="3">
                    <c:v>0.0705140962886919</c:v>
                  </c:pt>
                  <c:pt idx="4">
                    <c:v>0.0464407490268892</c:v>
                  </c:pt>
                  <c:pt idx="5">
                    <c:v>0.0879279764808173</c:v>
                  </c:pt>
                  <c:pt idx="6">
                    <c:v>0.0371666691992704</c:v>
                  </c:pt>
                  <c:pt idx="7">
                    <c:v>0.068603312769523</c:v>
                  </c:pt>
                  <c:pt idx="8">
                    <c:v>0.0164643624713258</c:v>
                  </c:pt>
                  <c:pt idx="9">
                    <c:v>0.0457001370033786</c:v>
                  </c:pt>
                  <c:pt idx="10">
                    <c:v>0.0369173836776133</c:v>
                  </c:pt>
                  <c:pt idx="11">
                    <c:v>0.0687021130362645</c:v>
                  </c:pt>
                  <c:pt idx="12">
                    <c:v>0.0409462255474516</c:v>
                  </c:pt>
                  <c:pt idx="13">
                    <c:v>0.0557521171531967</c:v>
                  </c:pt>
                  <c:pt idx="14">
                    <c:v>0.0272468859163006</c:v>
                  </c:pt>
                  <c:pt idx="15">
                    <c:v>0.00567274526518313</c:v>
                  </c:pt>
                  <c:pt idx="16">
                    <c:v>0.0354626892183885</c:v>
                  </c:pt>
                  <c:pt idx="17">
                    <c:v>0.0143763454110608</c:v>
                  </c:pt>
                </c:numCache>
              </c:numRef>
            </c:minus>
          </c:errBars>
          <c:xVal>
            <c:numRef>
              <c:f>'Determination cell count'!$D$4:$D$21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'Determination cell count'!$R$4:$R$21</c:f>
              <c:numCache>
                <c:formatCode>0.00</c:formatCode>
                <c:ptCount val="18"/>
                <c:pt idx="0">
                  <c:v>6.215106391407324</c:v>
                </c:pt>
                <c:pt idx="1">
                  <c:v>6.87891644196065</c:v>
                </c:pt>
                <c:pt idx="2">
                  <c:v>7.460452182119183</c:v>
                </c:pt>
                <c:pt idx="3">
                  <c:v>7.691413639256038</c:v>
                </c:pt>
                <c:pt idx="4">
                  <c:v>7.890132171591534</c:v>
                </c:pt>
                <c:pt idx="5">
                  <c:v>7.958707969673193</c:v>
                </c:pt>
                <c:pt idx="6">
                  <c:v>8.04910861190324</c:v>
                </c:pt>
                <c:pt idx="7">
                  <c:v>8.095476516129135</c:v>
                </c:pt>
                <c:pt idx="8">
                  <c:v>8.306943178578208</c:v>
                </c:pt>
                <c:pt idx="9">
                  <c:v>8.52299773396316</c:v>
                </c:pt>
                <c:pt idx="10">
                  <c:v>8.709687112732717</c:v>
                </c:pt>
                <c:pt idx="11">
                  <c:v>9.00083742871465</c:v>
                </c:pt>
                <c:pt idx="12">
                  <c:v>9.154798314256027</c:v>
                </c:pt>
                <c:pt idx="13">
                  <c:v>9.152710012751796</c:v>
                </c:pt>
                <c:pt idx="14">
                  <c:v>9.126198461315063</c:v>
                </c:pt>
                <c:pt idx="15">
                  <c:v>9.26201365232428</c:v>
                </c:pt>
                <c:pt idx="16">
                  <c:v>9.134046953829137</c:v>
                </c:pt>
                <c:pt idx="17">
                  <c:v>8.939484006347377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27736"/>
        <c:axId val="-2127005368"/>
      </c:scatterChart>
      <c:valAx>
        <c:axId val="-2091602136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6753080"/>
        <c:crosses val="autoZero"/>
        <c:crossBetween val="midCat"/>
        <c:majorUnit val="6.0"/>
      </c:valAx>
      <c:valAx>
        <c:axId val="-212675308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1602136"/>
        <c:crosses val="autoZero"/>
        <c:crossBetween val="midCat"/>
      </c:valAx>
      <c:valAx>
        <c:axId val="-2127005368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6727736"/>
        <c:crosses val="max"/>
        <c:crossBetween val="midCat"/>
        <c:majorUnit val="1.0"/>
        <c:minorUnit val="0.2"/>
      </c:valAx>
      <c:valAx>
        <c:axId val="-2076727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700536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0.00640930583025784</c:v>
                  </c:pt>
                  <c:pt idx="2">
                    <c:v>0.0169574293034186</c:v>
                  </c:pt>
                  <c:pt idx="3">
                    <c:v>0.00641397393355737</c:v>
                  </c:pt>
                  <c:pt idx="4">
                    <c:v>3.77644953872727E-16</c:v>
                  </c:pt>
                  <c:pt idx="5">
                    <c:v>0.00641397393355737</c:v>
                  </c:pt>
                  <c:pt idx="6">
                    <c:v>0.0111093287313438</c:v>
                  </c:pt>
                  <c:pt idx="7">
                    <c:v>0.0932479160745588</c:v>
                  </c:pt>
                  <c:pt idx="8">
                    <c:v>0.0231456607542294</c:v>
                  </c:pt>
                  <c:pt idx="9">
                    <c:v>0.0170001894235569</c:v>
                  </c:pt>
                  <c:pt idx="10">
                    <c:v>0.011162130703667</c:v>
                  </c:pt>
                  <c:pt idx="11">
                    <c:v>0.00646443166390874</c:v>
                  </c:pt>
                  <c:pt idx="12">
                    <c:v>0.0171790405813036</c:v>
                  </c:pt>
                  <c:pt idx="13">
                    <c:v>0.0225973826894254</c:v>
                  </c:pt>
                  <c:pt idx="14">
                    <c:v>0.0236059413976513</c:v>
                  </c:pt>
                  <c:pt idx="15">
                    <c:v>0.0228252385742079</c:v>
                  </c:pt>
                  <c:pt idx="16">
                    <c:v>0.0228252385742079</c:v>
                  </c:pt>
                  <c:pt idx="17">
                    <c:v>0.0475828892898755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0.00640930583025784</c:v>
                  </c:pt>
                  <c:pt idx="1">
                    <c:v>0.00640930583025784</c:v>
                  </c:pt>
                  <c:pt idx="2">
                    <c:v>0.0169574293034186</c:v>
                  </c:pt>
                  <c:pt idx="3">
                    <c:v>0.00641397393355737</c:v>
                  </c:pt>
                  <c:pt idx="4">
                    <c:v>3.77644953872727E-16</c:v>
                  </c:pt>
                  <c:pt idx="5">
                    <c:v>0.00641397393355737</c:v>
                  </c:pt>
                  <c:pt idx="6">
                    <c:v>0.0111093287313438</c:v>
                  </c:pt>
                  <c:pt idx="7">
                    <c:v>0.0932479160745588</c:v>
                  </c:pt>
                  <c:pt idx="8">
                    <c:v>0.0231456607542294</c:v>
                  </c:pt>
                  <c:pt idx="9">
                    <c:v>0.0170001894235569</c:v>
                  </c:pt>
                  <c:pt idx="10">
                    <c:v>0.011162130703667</c:v>
                  </c:pt>
                  <c:pt idx="11">
                    <c:v>0.00646443166390874</c:v>
                  </c:pt>
                  <c:pt idx="12">
                    <c:v>0.0171790405813036</c:v>
                  </c:pt>
                  <c:pt idx="13">
                    <c:v>0.0225973826894254</c:v>
                  </c:pt>
                  <c:pt idx="14">
                    <c:v>0.0236059413976513</c:v>
                  </c:pt>
                  <c:pt idx="15">
                    <c:v>0.0228252385742079</c:v>
                  </c:pt>
                  <c:pt idx="16">
                    <c:v>0.0228252385742079</c:v>
                  </c:pt>
                  <c:pt idx="17">
                    <c:v>0.0475828892898755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2.094434576672587</c:v>
                </c:pt>
                <c:pt idx="1">
                  <c:v>2.079632918886916</c:v>
                </c:pt>
                <c:pt idx="2">
                  <c:v>2.105535820011841</c:v>
                </c:pt>
                <c:pt idx="3">
                  <c:v>2.103366239801086</c:v>
                </c:pt>
                <c:pt idx="4">
                  <c:v>2.155209773880691</c:v>
                </c:pt>
                <c:pt idx="5">
                  <c:v>2.151506664303576</c:v>
                </c:pt>
                <c:pt idx="6">
                  <c:v>2.144100445149346</c:v>
                </c:pt>
                <c:pt idx="7">
                  <c:v>2.038449558845486</c:v>
                </c:pt>
                <c:pt idx="8">
                  <c:v>1.975442936117535</c:v>
                </c:pt>
                <c:pt idx="9">
                  <c:v>1.966165098899036</c:v>
                </c:pt>
                <c:pt idx="10">
                  <c:v>1.875237958216053</c:v>
                </c:pt>
                <c:pt idx="11">
                  <c:v>1.866120680657824</c:v>
                </c:pt>
                <c:pt idx="12">
                  <c:v>1.964357571771612</c:v>
                </c:pt>
                <c:pt idx="13">
                  <c:v>1.988569676669436</c:v>
                </c:pt>
                <c:pt idx="14">
                  <c:v>2.113006480493869</c:v>
                </c:pt>
                <c:pt idx="15">
                  <c:v>2.97869363393413</c:v>
                </c:pt>
                <c:pt idx="16">
                  <c:v>3.321072212547248</c:v>
                </c:pt>
                <c:pt idx="17">
                  <c:v>3.710628424558712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0.38409867092992</c:v>
                  </c:pt>
                  <c:pt idx="1">
                    <c:v>0.461795990803066</c:v>
                  </c:pt>
                  <c:pt idx="2">
                    <c:v>1.06460697474935</c:v>
                  </c:pt>
                  <c:pt idx="3">
                    <c:v>0.176627168492819</c:v>
                  </c:pt>
                  <c:pt idx="4">
                    <c:v>0.460325944292992</c:v>
                  </c:pt>
                  <c:pt idx="5">
                    <c:v>0.28346694222672</c:v>
                  </c:pt>
                  <c:pt idx="6">
                    <c:v>0.332881478403493</c:v>
                  </c:pt>
                  <c:pt idx="7">
                    <c:v>0.849545782524481</c:v>
                  </c:pt>
                  <c:pt idx="8">
                    <c:v>0.365802305683377</c:v>
                  </c:pt>
                  <c:pt idx="9">
                    <c:v>0.205148906911885</c:v>
                  </c:pt>
                  <c:pt idx="10">
                    <c:v>0.208013890884864</c:v>
                  </c:pt>
                  <c:pt idx="11">
                    <c:v>0.37406509094824</c:v>
                  </c:pt>
                  <c:pt idx="12">
                    <c:v>0.381112195848857</c:v>
                  </c:pt>
                  <c:pt idx="13">
                    <c:v>0.269056681265743</c:v>
                  </c:pt>
                  <c:pt idx="14">
                    <c:v>0.252502535827213</c:v>
                  </c:pt>
                  <c:pt idx="15">
                    <c:v>0.874287942951455</c:v>
                  </c:pt>
                  <c:pt idx="16">
                    <c:v>0.781036833372065</c:v>
                  </c:pt>
                  <c:pt idx="17">
                    <c:v>0.854019300259489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0.38409867092992</c:v>
                  </c:pt>
                  <c:pt idx="1">
                    <c:v>0.461795990803066</c:v>
                  </c:pt>
                  <c:pt idx="2">
                    <c:v>1.06460697474935</c:v>
                  </c:pt>
                  <c:pt idx="3">
                    <c:v>0.176627168492819</c:v>
                  </c:pt>
                  <c:pt idx="4">
                    <c:v>0.460325944292992</c:v>
                  </c:pt>
                  <c:pt idx="5">
                    <c:v>0.28346694222672</c:v>
                  </c:pt>
                  <c:pt idx="6">
                    <c:v>0.332881478403493</c:v>
                  </c:pt>
                  <c:pt idx="7">
                    <c:v>0.849545782524481</c:v>
                  </c:pt>
                  <c:pt idx="8">
                    <c:v>0.365802305683377</c:v>
                  </c:pt>
                  <c:pt idx="9">
                    <c:v>0.205148906911885</c:v>
                  </c:pt>
                  <c:pt idx="10">
                    <c:v>0.208013890884864</c:v>
                  </c:pt>
                  <c:pt idx="11">
                    <c:v>0.37406509094824</c:v>
                  </c:pt>
                  <c:pt idx="12">
                    <c:v>0.381112195848857</c:v>
                  </c:pt>
                  <c:pt idx="13">
                    <c:v>0.269056681265743</c:v>
                  </c:pt>
                  <c:pt idx="14">
                    <c:v>0.252502535827213</c:v>
                  </c:pt>
                  <c:pt idx="15">
                    <c:v>0.874287942951455</c:v>
                  </c:pt>
                  <c:pt idx="16">
                    <c:v>0.781036833372065</c:v>
                  </c:pt>
                  <c:pt idx="17">
                    <c:v>0.854019300259489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48.74271440466277</c:v>
                </c:pt>
                <c:pt idx="1">
                  <c:v>49.02581182348044</c:v>
                </c:pt>
                <c:pt idx="2">
                  <c:v>49.25895087427144</c:v>
                </c:pt>
                <c:pt idx="3">
                  <c:v>49.95586950180507</c:v>
                </c:pt>
                <c:pt idx="4">
                  <c:v>49.17817332363841</c:v>
                </c:pt>
                <c:pt idx="5">
                  <c:v>48.83376501616461</c:v>
                </c:pt>
                <c:pt idx="6">
                  <c:v>48.97819430639556</c:v>
                </c:pt>
                <c:pt idx="7">
                  <c:v>47.40770248114006</c:v>
                </c:pt>
                <c:pt idx="8">
                  <c:v>47.2353512700558</c:v>
                </c:pt>
                <c:pt idx="9">
                  <c:v>47.31301014026775</c:v>
                </c:pt>
                <c:pt idx="10">
                  <c:v>46.37564614504885</c:v>
                </c:pt>
                <c:pt idx="11">
                  <c:v>44.44226471116095</c:v>
                </c:pt>
                <c:pt idx="12">
                  <c:v>40.88827309633744</c:v>
                </c:pt>
                <c:pt idx="13">
                  <c:v>38.54197549605882</c:v>
                </c:pt>
                <c:pt idx="14">
                  <c:v>35.87018152505672</c:v>
                </c:pt>
                <c:pt idx="15">
                  <c:v>34.2055186223794</c:v>
                </c:pt>
                <c:pt idx="16">
                  <c:v>33.78322826901668</c:v>
                </c:pt>
                <c:pt idx="17">
                  <c:v>34.55190673917813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0.0574788466448966</c:v>
                  </c:pt>
                  <c:pt idx="1">
                    <c:v>0.0217249619813165</c:v>
                  </c:pt>
                  <c:pt idx="2">
                    <c:v>0.0878003885363324</c:v>
                  </c:pt>
                  <c:pt idx="3">
                    <c:v>0.107244745586494</c:v>
                  </c:pt>
                  <c:pt idx="4">
                    <c:v>0.0217407849689213</c:v>
                  </c:pt>
                  <c:pt idx="5">
                    <c:v>0.0452570528715076</c:v>
                  </c:pt>
                  <c:pt idx="6">
                    <c:v>0.164139327008179</c:v>
                  </c:pt>
                  <c:pt idx="7">
                    <c:v>0.0948468119467235</c:v>
                  </c:pt>
                  <c:pt idx="8">
                    <c:v>0.0376883014163695</c:v>
                  </c:pt>
                  <c:pt idx="9">
                    <c:v>0.033269108478688</c:v>
                  </c:pt>
                  <c:pt idx="10">
                    <c:v>0.138728779033098</c:v>
                  </c:pt>
                  <c:pt idx="11">
                    <c:v>0.0334708523091607</c:v>
                  </c:pt>
                  <c:pt idx="12">
                    <c:v>0.1498113399028</c:v>
                  </c:pt>
                  <c:pt idx="13">
                    <c:v>0.221113646824183</c:v>
                  </c:pt>
                  <c:pt idx="14">
                    <c:v>0.184785852800385</c:v>
                  </c:pt>
                  <c:pt idx="15">
                    <c:v>0.643057781340749</c:v>
                  </c:pt>
                  <c:pt idx="16">
                    <c:v>0.528683750061879</c:v>
                  </c:pt>
                  <c:pt idx="17">
                    <c:v>0.695880787375047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0.0574788466448966</c:v>
                  </c:pt>
                  <c:pt idx="1">
                    <c:v>0.0217249619813165</c:v>
                  </c:pt>
                  <c:pt idx="2">
                    <c:v>0.0878003885363324</c:v>
                  </c:pt>
                  <c:pt idx="3">
                    <c:v>0.107244745586494</c:v>
                  </c:pt>
                  <c:pt idx="4">
                    <c:v>0.0217407849689213</c:v>
                  </c:pt>
                  <c:pt idx="5">
                    <c:v>0.0452570528715076</c:v>
                  </c:pt>
                  <c:pt idx="6">
                    <c:v>0.164139327008179</c:v>
                  </c:pt>
                  <c:pt idx="7">
                    <c:v>0.0948468119467235</c:v>
                  </c:pt>
                  <c:pt idx="8">
                    <c:v>0.0376883014163695</c:v>
                  </c:pt>
                  <c:pt idx="9">
                    <c:v>0.033269108478688</c:v>
                  </c:pt>
                  <c:pt idx="10">
                    <c:v>0.138728779033098</c:v>
                  </c:pt>
                  <c:pt idx="11">
                    <c:v>0.0334708523091607</c:v>
                  </c:pt>
                  <c:pt idx="12">
                    <c:v>0.1498113399028</c:v>
                  </c:pt>
                  <c:pt idx="13">
                    <c:v>0.221113646824183</c:v>
                  </c:pt>
                  <c:pt idx="14">
                    <c:v>0.184785852800385</c:v>
                  </c:pt>
                  <c:pt idx="15">
                    <c:v>0.643057781340749</c:v>
                  </c:pt>
                  <c:pt idx="16">
                    <c:v>0.528683750061879</c:v>
                  </c:pt>
                  <c:pt idx="17">
                    <c:v>0.695880787375047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1.107973061047143</c:v>
                </c:pt>
                <c:pt idx="1">
                  <c:v>1.238322832935042</c:v>
                </c:pt>
                <c:pt idx="2">
                  <c:v>1.354189296835397</c:v>
                </c:pt>
                <c:pt idx="3">
                  <c:v>1.601571159377201</c:v>
                </c:pt>
                <c:pt idx="4">
                  <c:v>1.761003582482623</c:v>
                </c:pt>
                <c:pt idx="5">
                  <c:v>1.840719794035335</c:v>
                </c:pt>
                <c:pt idx="6">
                  <c:v>2.000152217140758</c:v>
                </c:pt>
                <c:pt idx="7">
                  <c:v>2.132416394867996</c:v>
                </c:pt>
                <c:pt idx="8">
                  <c:v>2.567603414228811</c:v>
                </c:pt>
                <c:pt idx="9">
                  <c:v>3.368600403284768</c:v>
                </c:pt>
                <c:pt idx="10">
                  <c:v>5.388215678194498</c:v>
                </c:pt>
                <c:pt idx="11">
                  <c:v>7.68374359162142</c:v>
                </c:pt>
                <c:pt idx="12">
                  <c:v>10.527580280515</c:v>
                </c:pt>
                <c:pt idx="13">
                  <c:v>15.01361661936211</c:v>
                </c:pt>
                <c:pt idx="14">
                  <c:v>18.89284304707613</c:v>
                </c:pt>
                <c:pt idx="15">
                  <c:v>24.65708917884173</c:v>
                </c:pt>
                <c:pt idx="16">
                  <c:v>24.35185347342734</c:v>
                </c:pt>
                <c:pt idx="17">
                  <c:v>24.80439928310069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0.00514004954933127</c:v>
                </c:pt>
                <c:pt idx="2">
                  <c:v>0.0156086808247722</c:v>
                </c:pt>
                <c:pt idx="3">
                  <c:v>0.0263788998897558</c:v>
                </c:pt>
                <c:pt idx="4">
                  <c:v>0.0377793641875848</c:v>
                </c:pt>
                <c:pt idx="5">
                  <c:v>0.049766805211548</c:v>
                </c:pt>
                <c:pt idx="6">
                  <c:v>0.0632072389745898</c:v>
                </c:pt>
                <c:pt idx="7">
                  <c:v>0.0802611364350832</c:v>
                </c:pt>
                <c:pt idx="8">
                  <c:v>0.103252784026385</c:v>
                </c:pt>
                <c:pt idx="9">
                  <c:v>0.132988620892996</c:v>
                </c:pt>
                <c:pt idx="10">
                  <c:v>0.170427650032416</c:v>
                </c:pt>
                <c:pt idx="11">
                  <c:v>0.217151727845427</c:v>
                </c:pt>
                <c:pt idx="12">
                  <c:v>0.273213625896722</c:v>
                </c:pt>
                <c:pt idx="13">
                  <c:v>0.336704499108217</c:v>
                </c:pt>
                <c:pt idx="14">
                  <c:v>0.405864246412434</c:v>
                </c:pt>
                <c:pt idx="15">
                  <c:v>0.48300630973431</c:v>
                </c:pt>
                <c:pt idx="16">
                  <c:v>0.567044803354156</c:v>
                </c:pt>
                <c:pt idx="17">
                  <c:v>0.654738364639112</c:v>
                </c:pt>
                <c:pt idx="18">
                  <c:v>0.748822663287271</c:v>
                </c:pt>
                <c:pt idx="19">
                  <c:v>0.850922585228918</c:v>
                </c:pt>
                <c:pt idx="20">
                  <c:v>0.962510505428647</c:v>
                </c:pt>
                <c:pt idx="21">
                  <c:v>1.082567958158349</c:v>
                </c:pt>
                <c:pt idx="22">
                  <c:v>1.20939256051241</c:v>
                </c:pt>
                <c:pt idx="23">
                  <c:v>1.34785589099475</c:v>
                </c:pt>
                <c:pt idx="24">
                  <c:v>1.50040716281784</c:v>
                </c:pt>
                <c:pt idx="25">
                  <c:v>1.673160448942537</c:v>
                </c:pt>
                <c:pt idx="26">
                  <c:v>1.879513313979983</c:v>
                </c:pt>
                <c:pt idx="27">
                  <c:v>2.124383763387769</c:v>
                </c:pt>
                <c:pt idx="28">
                  <c:v>2.425342605112567</c:v>
                </c:pt>
                <c:pt idx="29">
                  <c:v>2.801292879185802</c:v>
                </c:pt>
                <c:pt idx="30">
                  <c:v>3.250989334648423</c:v>
                </c:pt>
                <c:pt idx="31">
                  <c:v>3.819295894806567</c:v>
                </c:pt>
                <c:pt idx="32">
                  <c:v>4.522412685798183</c:v>
                </c:pt>
                <c:pt idx="33">
                  <c:v>5.308199906109928</c:v>
                </c:pt>
                <c:pt idx="34">
                  <c:v>6.284131753076427</c:v>
                </c:pt>
                <c:pt idx="35">
                  <c:v>7.477233925623602</c:v>
                </c:pt>
                <c:pt idx="36">
                  <c:v>8.790285125789608</c:v>
                </c:pt>
                <c:pt idx="37">
                  <c:v>10.19500384945384</c:v>
                </c:pt>
                <c:pt idx="38">
                  <c:v>11.60298732655216</c:v>
                </c:pt>
                <c:pt idx="39">
                  <c:v>12.99087313915691</c:v>
                </c:pt>
                <c:pt idx="40">
                  <c:v>14.29879813368979</c:v>
                </c:pt>
                <c:pt idx="41">
                  <c:v>15.44158702302957</c:v>
                </c:pt>
                <c:pt idx="42">
                  <c:v>16.39114836790054</c:v>
                </c:pt>
                <c:pt idx="43">
                  <c:v>17.12850146608941</c:v>
                </c:pt>
                <c:pt idx="44">
                  <c:v>17.69521574603218</c:v>
                </c:pt>
                <c:pt idx="45">
                  <c:v>18.13159300189881</c:v>
                </c:pt>
                <c:pt idx="46">
                  <c:v>18.47200690117289</c:v>
                </c:pt>
                <c:pt idx="47">
                  <c:v>18.74780342037762</c:v>
                </c:pt>
                <c:pt idx="48">
                  <c:v>18.98055940146704</c:v>
                </c:pt>
                <c:pt idx="49">
                  <c:v>19.17732102279184</c:v>
                </c:pt>
                <c:pt idx="50">
                  <c:v>19.33592035010406</c:v>
                </c:pt>
                <c:pt idx="51">
                  <c:v>19.4651303697145</c:v>
                </c:pt>
                <c:pt idx="52">
                  <c:v>19.57540820890961</c:v>
                </c:pt>
                <c:pt idx="53">
                  <c:v>19.66850479808162</c:v>
                </c:pt>
                <c:pt idx="54">
                  <c:v>19.74756644259129</c:v>
                </c:pt>
                <c:pt idx="55">
                  <c:v>19.8188739667925</c:v>
                </c:pt>
                <c:pt idx="56">
                  <c:v>19.88115313338411</c:v>
                </c:pt>
                <c:pt idx="57">
                  <c:v>19.93484658595068</c:v>
                </c:pt>
                <c:pt idx="58">
                  <c:v>19.98217016160789</c:v>
                </c:pt>
                <c:pt idx="59">
                  <c:v>20.02391092779458</c:v>
                </c:pt>
                <c:pt idx="60">
                  <c:v>20.05198276160065</c:v>
                </c:pt>
                <c:pt idx="61">
                  <c:v>20.07623544485176</c:v>
                </c:pt>
                <c:pt idx="62">
                  <c:v>20.10646062177262</c:v>
                </c:pt>
                <c:pt idx="63">
                  <c:v>20.1322098977899</c:v>
                </c:pt>
                <c:pt idx="64">
                  <c:v>20.1437218371446</c:v>
                </c:pt>
                <c:pt idx="65">
                  <c:v>20.1437218371446</c:v>
                </c:pt>
                <c:pt idx="66">
                  <c:v>20.1437218371446</c:v>
                </c:pt>
                <c:pt idx="67">
                  <c:v>20.1437218371446</c:v>
                </c:pt>
                <c:pt idx="68">
                  <c:v>20.1437218371446</c:v>
                </c:pt>
                <c:pt idx="69">
                  <c:v>20.1437218371446</c:v>
                </c:pt>
                <c:pt idx="70">
                  <c:v>20.1437218371446</c:v>
                </c:pt>
                <c:pt idx="71">
                  <c:v>20.1437218371446</c:v>
                </c:pt>
                <c:pt idx="72">
                  <c:v>20.1437218371446</c:v>
                </c:pt>
                <c:pt idx="73">
                  <c:v>20.1437218371446</c:v>
                </c:pt>
                <c:pt idx="74">
                  <c:v>20.1437218371446</c:v>
                </c:pt>
                <c:pt idx="75">
                  <c:v>20.1437218371446</c:v>
                </c:pt>
                <c:pt idx="76">
                  <c:v>20.1437218371446</c:v>
                </c:pt>
                <c:pt idx="77">
                  <c:v>20.1437218371446</c:v>
                </c:pt>
                <c:pt idx="78">
                  <c:v>20.1437218371446</c:v>
                </c:pt>
                <c:pt idx="79">
                  <c:v>20.1437218371446</c:v>
                </c:pt>
                <c:pt idx="80">
                  <c:v>20.1437218371446</c:v>
                </c:pt>
                <c:pt idx="81">
                  <c:v>20.1437218371446</c:v>
                </c:pt>
                <c:pt idx="82">
                  <c:v>20.1437218371446</c:v>
                </c:pt>
                <c:pt idx="83">
                  <c:v>20.1437218371446</c:v>
                </c:pt>
                <c:pt idx="84">
                  <c:v>20.1437218371446</c:v>
                </c:pt>
                <c:pt idx="85">
                  <c:v>20.1437218371446</c:v>
                </c:pt>
                <c:pt idx="86">
                  <c:v>20.1437218371446</c:v>
                </c:pt>
                <c:pt idx="87">
                  <c:v>20.1437218371446</c:v>
                </c:pt>
                <c:pt idx="88">
                  <c:v>20.1437218371446</c:v>
                </c:pt>
                <c:pt idx="89">
                  <c:v>20.1437218371446</c:v>
                </c:pt>
                <c:pt idx="90">
                  <c:v>20.1437218371446</c:v>
                </c:pt>
                <c:pt idx="91">
                  <c:v>20.1437218371446</c:v>
                </c:pt>
                <c:pt idx="92">
                  <c:v>20.1437218371446</c:v>
                </c:pt>
                <c:pt idx="93">
                  <c:v>20.1437218371446</c:v>
                </c:pt>
                <c:pt idx="94">
                  <c:v>20.1437218371446</c:v>
                </c:pt>
                <c:pt idx="95">
                  <c:v>20.1437218371446</c:v>
                </c:pt>
                <c:pt idx="96">
                  <c:v>20.1437218371446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0.463280213914194</c:v>
                  </c:pt>
                  <c:pt idx="1">
                    <c:v>0.4940053285968</c:v>
                  </c:pt>
                  <c:pt idx="2">
                    <c:v>1.03728333077605</c:v>
                  </c:pt>
                  <c:pt idx="3">
                    <c:v>0.203814051211275</c:v>
                  </c:pt>
                  <c:pt idx="4">
                    <c:v>0.262444420626304</c:v>
                  </c:pt>
                  <c:pt idx="5">
                    <c:v>0.202726225631352</c:v>
                  </c:pt>
                  <c:pt idx="6">
                    <c:v>0.474070346712372</c:v>
                  </c:pt>
                  <c:pt idx="7">
                    <c:v>0.977634167118012</c:v>
                  </c:pt>
                  <c:pt idx="8">
                    <c:v>0.54113156673285</c:v>
                  </c:pt>
                  <c:pt idx="9">
                    <c:v>0.163028435745424</c:v>
                  </c:pt>
                  <c:pt idx="10">
                    <c:v>0.275250840445038</c:v>
                  </c:pt>
                  <c:pt idx="11">
                    <c:v>0.247280354832166</c:v>
                  </c:pt>
                  <c:pt idx="12">
                    <c:v>0.551652823510718</c:v>
                  </c:pt>
                  <c:pt idx="13">
                    <c:v>0.0441228002066074</c:v>
                  </c:pt>
                  <c:pt idx="14">
                    <c:v>0.296595652369455</c:v>
                  </c:pt>
                  <c:pt idx="15">
                    <c:v>0.75851717018733</c:v>
                  </c:pt>
                  <c:pt idx="16">
                    <c:v>0.609347307401549</c:v>
                  </c:pt>
                  <c:pt idx="17">
                    <c:v>0.589907160351937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0.463280213914194</c:v>
                  </c:pt>
                  <c:pt idx="1">
                    <c:v>0.4940053285968</c:v>
                  </c:pt>
                  <c:pt idx="2">
                    <c:v>1.03728333077605</c:v>
                  </c:pt>
                  <c:pt idx="3">
                    <c:v>0.203814051211275</c:v>
                  </c:pt>
                  <c:pt idx="4">
                    <c:v>0.262444420626304</c:v>
                  </c:pt>
                  <c:pt idx="5">
                    <c:v>0.202726225631352</c:v>
                  </c:pt>
                  <c:pt idx="6">
                    <c:v>0.474070346712372</c:v>
                  </c:pt>
                  <c:pt idx="7">
                    <c:v>0.977634167118012</c:v>
                  </c:pt>
                  <c:pt idx="8">
                    <c:v>0.54113156673285</c:v>
                  </c:pt>
                  <c:pt idx="9">
                    <c:v>0.163028435745424</c:v>
                  </c:pt>
                  <c:pt idx="10">
                    <c:v>0.275250840445038</c:v>
                  </c:pt>
                  <c:pt idx="11">
                    <c:v>0.247280354832166</c:v>
                  </c:pt>
                  <c:pt idx="12">
                    <c:v>0.551652823510718</c:v>
                  </c:pt>
                  <c:pt idx="13">
                    <c:v>0.0441228002066074</c:v>
                  </c:pt>
                  <c:pt idx="14">
                    <c:v>0.296595652369455</c:v>
                  </c:pt>
                  <c:pt idx="15">
                    <c:v>0.75851717018733</c:v>
                  </c:pt>
                  <c:pt idx="16">
                    <c:v>0.609347307401549</c:v>
                  </c:pt>
                  <c:pt idx="17">
                    <c:v>0.589907160351937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49.98149792776791</c:v>
                </c:pt>
                <c:pt idx="1">
                  <c:v>50.26642984014209</c:v>
                </c:pt>
                <c:pt idx="2">
                  <c:v>50.54396092362344</c:v>
                </c:pt>
                <c:pt idx="3">
                  <c:v>51.37138760852214</c:v>
                </c:pt>
                <c:pt idx="4">
                  <c:v>50.6270625835221</c:v>
                </c:pt>
                <c:pt idx="5">
                  <c:v>50.6529843505619</c:v>
                </c:pt>
                <c:pt idx="6">
                  <c:v>50.91405357574848</c:v>
                </c:pt>
                <c:pt idx="7">
                  <c:v>49.41201730641458</c:v>
                </c:pt>
                <c:pt idx="8">
                  <c:v>49.1433125918395</c:v>
                </c:pt>
                <c:pt idx="9">
                  <c:v>49.41566452808416</c:v>
                </c:pt>
                <c:pt idx="10">
                  <c:v>48.23900819101415</c:v>
                </c:pt>
                <c:pt idx="11">
                  <c:v>45.52588012532828</c:v>
                </c:pt>
                <c:pt idx="12">
                  <c:v>41.20277494530875</c:v>
                </c:pt>
                <c:pt idx="13">
                  <c:v>37.63594086923802</c:v>
                </c:pt>
                <c:pt idx="14">
                  <c:v>32.94437921421166</c:v>
                </c:pt>
                <c:pt idx="15">
                  <c:v>27.1411107679477</c:v>
                </c:pt>
                <c:pt idx="16">
                  <c:v>25.92947102030017</c:v>
                </c:pt>
                <c:pt idx="17">
                  <c:v>25.96487477164261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0.0285621550155894</c:v>
                  </c:pt>
                  <c:pt idx="3">
                    <c:v>0.0173491973367543</c:v>
                  </c:pt>
                  <c:pt idx="4">
                    <c:v>0.0173491973367543</c:v>
                  </c:pt>
                  <c:pt idx="5">
                    <c:v>0.0346983946735086</c:v>
                  </c:pt>
                  <c:pt idx="6">
                    <c:v>0.0393442813711167</c:v>
                  </c:pt>
                  <c:pt idx="7">
                    <c:v>0.062606839390752</c:v>
                  </c:pt>
                  <c:pt idx="8">
                    <c:v>0.0572147335330005</c:v>
                  </c:pt>
                  <c:pt idx="9">
                    <c:v>0.00656913091248188</c:v>
                  </c:pt>
                  <c:pt idx="10">
                    <c:v>0.0174316570298428</c:v>
                  </c:pt>
                  <c:pt idx="11">
                    <c:v>0.0825459603040415</c:v>
                  </c:pt>
                  <c:pt idx="12">
                    <c:v>0.0893084083158224</c:v>
                  </c:pt>
                  <c:pt idx="13">
                    <c:v>0.099591695312547</c:v>
                  </c:pt>
                  <c:pt idx="14">
                    <c:v>0.0885465916874979</c:v>
                  </c:pt>
                  <c:pt idx="15">
                    <c:v>0.805922377032379</c:v>
                  </c:pt>
                  <c:pt idx="16">
                    <c:v>0.583544918381186</c:v>
                  </c:pt>
                  <c:pt idx="17">
                    <c:v>0.782110478304179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0.0285621550155894</c:v>
                  </c:pt>
                  <c:pt idx="3">
                    <c:v>0.0173491973367543</c:v>
                  </c:pt>
                  <c:pt idx="4">
                    <c:v>0.0173491973367543</c:v>
                  </c:pt>
                  <c:pt idx="5">
                    <c:v>0.0346983946735086</c:v>
                  </c:pt>
                  <c:pt idx="6">
                    <c:v>0.0393442813711167</c:v>
                  </c:pt>
                  <c:pt idx="7">
                    <c:v>0.062606839390752</c:v>
                  </c:pt>
                  <c:pt idx="8">
                    <c:v>0.0572147335330005</c:v>
                  </c:pt>
                  <c:pt idx="9">
                    <c:v>0.00656913091248188</c:v>
                  </c:pt>
                  <c:pt idx="10">
                    <c:v>0.0174316570298428</c:v>
                  </c:pt>
                  <c:pt idx="11">
                    <c:v>0.0825459603040415</c:v>
                  </c:pt>
                  <c:pt idx="12">
                    <c:v>0.0893084083158224</c:v>
                  </c:pt>
                  <c:pt idx="13">
                    <c:v>0.099591695312547</c:v>
                  </c:pt>
                  <c:pt idx="14">
                    <c:v>0.0885465916874979</c:v>
                  </c:pt>
                  <c:pt idx="15">
                    <c:v>0.805922377032379</c:v>
                  </c:pt>
                  <c:pt idx="16">
                    <c:v>0.583544918381186</c:v>
                  </c:pt>
                  <c:pt idx="17">
                    <c:v>0.782110478304179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0.174024893126017</c:v>
                </c:pt>
                <c:pt idx="3">
                  <c:v>0.571671691257279</c:v>
                </c:pt>
                <c:pt idx="4">
                  <c:v>0.946476310028607</c:v>
                </c:pt>
                <c:pt idx="5">
                  <c:v>1.332638644520278</c:v>
                </c:pt>
                <c:pt idx="6">
                  <c:v>1.726372789492178</c:v>
                </c:pt>
                <c:pt idx="7">
                  <c:v>2.129495720815311</c:v>
                </c:pt>
                <c:pt idx="8">
                  <c:v>2.811540613603133</c:v>
                </c:pt>
                <c:pt idx="9">
                  <c:v>3.785104121661976</c:v>
                </c:pt>
                <c:pt idx="10">
                  <c:v>5.838985610267486</c:v>
                </c:pt>
                <c:pt idx="11">
                  <c:v>8.745557732246085</c:v>
                </c:pt>
                <c:pt idx="12">
                  <c:v>13.12279034757905</c:v>
                </c:pt>
                <c:pt idx="13">
                  <c:v>19.20213128341955</c:v>
                </c:pt>
                <c:pt idx="14">
                  <c:v>24.30377814536191</c:v>
                </c:pt>
                <c:pt idx="15">
                  <c:v>28.44606561391561</c:v>
                </c:pt>
                <c:pt idx="16">
                  <c:v>28.62497168695911</c:v>
                </c:pt>
                <c:pt idx="17">
                  <c:v>29.90472370548181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0.00293530586717387</c:v>
                </c:pt>
                <c:pt idx="1">
                  <c:v>0.00796739526797829</c:v>
                </c:pt>
                <c:pt idx="2">
                  <c:v>0.012347265246414</c:v>
                </c:pt>
                <c:pt idx="3">
                  <c:v>0.0146303516912192</c:v>
                </c:pt>
                <c:pt idx="4">
                  <c:v>0.014723662380064</c:v>
                </c:pt>
                <c:pt idx="5">
                  <c:v>0.0148169730689087</c:v>
                </c:pt>
                <c:pt idx="6">
                  <c:v>0.0172283527651868</c:v>
                </c:pt>
                <c:pt idx="7">
                  <c:v>0.0201399225106273</c:v>
                </c:pt>
                <c:pt idx="8">
                  <c:v>0.0222408574744708</c:v>
                </c:pt>
                <c:pt idx="9">
                  <c:v>0.028693411676687</c:v>
                </c:pt>
                <c:pt idx="10">
                  <c:v>0.0344269545043579</c:v>
                </c:pt>
                <c:pt idx="11">
                  <c:v>0.0408068479722888</c:v>
                </c:pt>
                <c:pt idx="12">
                  <c:v>0.0472766356494742</c:v>
                </c:pt>
                <c:pt idx="13">
                  <c:v>0.0504077641924205</c:v>
                </c:pt>
                <c:pt idx="14">
                  <c:v>0.0540248911196991</c:v>
                </c:pt>
                <c:pt idx="15">
                  <c:v>0.05784477964321</c:v>
                </c:pt>
                <c:pt idx="16">
                  <c:v>0.060207042032998</c:v>
                </c:pt>
                <c:pt idx="17">
                  <c:v>0.0625127946471475</c:v>
                </c:pt>
                <c:pt idx="18">
                  <c:v>0.0659923493578797</c:v>
                </c:pt>
                <c:pt idx="19">
                  <c:v>0.0672247212104778</c:v>
                </c:pt>
                <c:pt idx="20">
                  <c:v>0.0678366459928984</c:v>
                </c:pt>
                <c:pt idx="21">
                  <c:v>0.0701727537733181</c:v>
                </c:pt>
                <c:pt idx="22">
                  <c:v>0.0744143019825515</c:v>
                </c:pt>
                <c:pt idx="23">
                  <c:v>0.0801607112119383</c:v>
                </c:pt>
                <c:pt idx="24">
                  <c:v>0.083835206757145</c:v>
                </c:pt>
                <c:pt idx="25">
                  <c:v>0.0842220885281837</c:v>
                </c:pt>
                <c:pt idx="26">
                  <c:v>0.0843579375708136</c:v>
                </c:pt>
                <c:pt idx="27">
                  <c:v>0.0873429073197946</c:v>
                </c:pt>
                <c:pt idx="28">
                  <c:v>0.0946862132755835</c:v>
                </c:pt>
                <c:pt idx="29">
                  <c:v>0.0992515877456373</c:v>
                </c:pt>
                <c:pt idx="30">
                  <c:v>0.102176196959712</c:v>
                </c:pt>
                <c:pt idx="31">
                  <c:v>0.106333590098346</c:v>
                </c:pt>
                <c:pt idx="32">
                  <c:v>0.10794428792785</c:v>
                </c:pt>
                <c:pt idx="33">
                  <c:v>0.108327562704337</c:v>
                </c:pt>
                <c:pt idx="34">
                  <c:v>0.108566321669036</c:v>
                </c:pt>
                <c:pt idx="35">
                  <c:v>0.108728530541578</c:v>
                </c:pt>
                <c:pt idx="36">
                  <c:v>0.109494006822992</c:v>
                </c:pt>
                <c:pt idx="37">
                  <c:v>0.110259483104406</c:v>
                </c:pt>
                <c:pt idx="38">
                  <c:v>0.110259483104406</c:v>
                </c:pt>
                <c:pt idx="39">
                  <c:v>0.110529362562597</c:v>
                </c:pt>
                <c:pt idx="40">
                  <c:v>0.110799242020788</c:v>
                </c:pt>
                <c:pt idx="41">
                  <c:v>0.110799242020788</c:v>
                </c:pt>
                <c:pt idx="42">
                  <c:v>0.111518510736239</c:v>
                </c:pt>
                <c:pt idx="43">
                  <c:v>0.112417904010347</c:v>
                </c:pt>
                <c:pt idx="44">
                  <c:v>0.1149365740336</c:v>
                </c:pt>
                <c:pt idx="45">
                  <c:v>0.117275119498197</c:v>
                </c:pt>
                <c:pt idx="46">
                  <c:v>0.117275119498197</c:v>
                </c:pt>
                <c:pt idx="47">
                  <c:v>0.118084757872769</c:v>
                </c:pt>
                <c:pt idx="48">
                  <c:v>0.120235422965102</c:v>
                </c:pt>
                <c:pt idx="49">
                  <c:v>0.122055761966749</c:v>
                </c:pt>
                <c:pt idx="50">
                  <c:v>0.12646255386642</c:v>
                </c:pt>
                <c:pt idx="51">
                  <c:v>0.130390033482204</c:v>
                </c:pt>
                <c:pt idx="52">
                  <c:v>0.132880885842731</c:v>
                </c:pt>
                <c:pt idx="53">
                  <c:v>0.137958191101282</c:v>
                </c:pt>
                <c:pt idx="54">
                  <c:v>0.147346032923806</c:v>
                </c:pt>
                <c:pt idx="55">
                  <c:v>0.159032871233661</c:v>
                </c:pt>
                <c:pt idx="56">
                  <c:v>0.167079686338425</c:v>
                </c:pt>
                <c:pt idx="57">
                  <c:v>0.170241052057832</c:v>
                </c:pt>
                <c:pt idx="58">
                  <c:v>0.170432907931027</c:v>
                </c:pt>
                <c:pt idx="59">
                  <c:v>0.171774589446989</c:v>
                </c:pt>
                <c:pt idx="60">
                  <c:v>0.174182357823329</c:v>
                </c:pt>
                <c:pt idx="61">
                  <c:v>0.175846506270304</c:v>
                </c:pt>
                <c:pt idx="62">
                  <c:v>0.176658917697109</c:v>
                </c:pt>
                <c:pt idx="63">
                  <c:v>0.17757340132882</c:v>
                </c:pt>
                <c:pt idx="64">
                  <c:v>0.178386507124367</c:v>
                </c:pt>
                <c:pt idx="65">
                  <c:v>0.178691335001604</c:v>
                </c:pt>
                <c:pt idx="66">
                  <c:v>0.178691335001604</c:v>
                </c:pt>
                <c:pt idx="67">
                  <c:v>0.179402368592243</c:v>
                </c:pt>
                <c:pt idx="68">
                  <c:v>0.180113402182883</c:v>
                </c:pt>
                <c:pt idx="69">
                  <c:v>0.180214780019049</c:v>
                </c:pt>
                <c:pt idx="70">
                  <c:v>0.180519607896286</c:v>
                </c:pt>
                <c:pt idx="71">
                  <c:v>0.181738919405234</c:v>
                </c:pt>
                <c:pt idx="72">
                  <c:v>0.196367185668914</c:v>
                </c:pt>
                <c:pt idx="73">
                  <c:v>0.209979590464717</c:v>
                </c:pt>
                <c:pt idx="74">
                  <c:v>0.216684415026453</c:v>
                </c:pt>
                <c:pt idx="75">
                  <c:v>0.223694067465426</c:v>
                </c:pt>
                <c:pt idx="76">
                  <c:v>0.225624412565014</c:v>
                </c:pt>
                <c:pt idx="77">
                  <c:v>0.229485102764191</c:v>
                </c:pt>
                <c:pt idx="78">
                  <c:v>0.23446303226741</c:v>
                </c:pt>
                <c:pt idx="79">
                  <c:v>0.237205788793804</c:v>
                </c:pt>
                <c:pt idx="80">
                  <c:v>0.237307166629969</c:v>
                </c:pt>
                <c:pt idx="81">
                  <c:v>0.2375099223023</c:v>
                </c:pt>
                <c:pt idx="82">
                  <c:v>0.239643023074219</c:v>
                </c:pt>
                <c:pt idx="83">
                  <c:v>0.244417502536367</c:v>
                </c:pt>
                <c:pt idx="84">
                  <c:v>0.24716025906276</c:v>
                </c:pt>
                <c:pt idx="85">
                  <c:v>0.247363709103832</c:v>
                </c:pt>
                <c:pt idx="86">
                  <c:v>0.247668536981069</c:v>
                </c:pt>
                <c:pt idx="87">
                  <c:v>0.249903015589154</c:v>
                </c:pt>
                <c:pt idx="88">
                  <c:v>0.25234094423831</c:v>
                </c:pt>
                <c:pt idx="89">
                  <c:v>0.25305197782895</c:v>
                </c:pt>
                <c:pt idx="90">
                  <c:v>0.255083700764704</c:v>
                </c:pt>
                <c:pt idx="91">
                  <c:v>0.256810595823221</c:v>
                </c:pt>
                <c:pt idx="92">
                  <c:v>0.258842318758975</c:v>
                </c:pt>
                <c:pt idx="93">
                  <c:v>0.260874041694728</c:v>
                </c:pt>
                <c:pt idx="94">
                  <c:v>0.262194731039843</c:v>
                </c:pt>
                <c:pt idx="95">
                  <c:v>0.263515420384957</c:v>
                </c:pt>
                <c:pt idx="96">
                  <c:v>0.263616798221122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917160"/>
        <c:axId val="-210761496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9401.0</c:v>
                </c:pt>
                <c:pt idx="1">
                  <c:v>22181.0</c:v>
                </c:pt>
                <c:pt idx="2">
                  <c:v>3811.0</c:v>
                </c:pt>
                <c:pt idx="3">
                  <c:v>5092.0</c:v>
                </c:pt>
                <c:pt idx="4">
                  <c:v>6259.0</c:v>
                </c:pt>
                <c:pt idx="5">
                  <c:v>6210.0</c:v>
                </c:pt>
                <c:pt idx="6">
                  <c:v>7508.0</c:v>
                </c:pt>
                <c:pt idx="7">
                  <c:v>9100.0</c:v>
                </c:pt>
                <c:pt idx="8">
                  <c:v>12631.0</c:v>
                </c:pt>
                <c:pt idx="9">
                  <c:v>19900.0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0.0164283088482453</c:v>
                  </c:pt>
                  <c:pt idx="9">
                    <c:v>0.00924164575891835</c:v>
                  </c:pt>
                  <c:pt idx="10">
                    <c:v>0.0489021927661055</c:v>
                  </c:pt>
                  <c:pt idx="11">
                    <c:v>0.151292261458851</c:v>
                  </c:pt>
                  <c:pt idx="12">
                    <c:v>0.0489021927661055</c:v>
                  </c:pt>
                  <c:pt idx="13">
                    <c:v>0.0666424553069088</c:v>
                  </c:pt>
                  <c:pt idx="14">
                    <c:v>0.133284910613818</c:v>
                  </c:pt>
                  <c:pt idx="15">
                    <c:v>0.16634962366053</c:v>
                  </c:pt>
                  <c:pt idx="16">
                    <c:v>0.0978043855322109</c:v>
                  </c:pt>
                  <c:pt idx="17">
                    <c:v>0.00924164575891835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0.0164283088482453</c:v>
                  </c:pt>
                  <c:pt idx="9">
                    <c:v>0.00924164575891835</c:v>
                  </c:pt>
                  <c:pt idx="10">
                    <c:v>0.0489021927661055</c:v>
                  </c:pt>
                  <c:pt idx="11">
                    <c:v>0.151292261458851</c:v>
                  </c:pt>
                  <c:pt idx="12">
                    <c:v>0.0489021927661055</c:v>
                  </c:pt>
                  <c:pt idx="13">
                    <c:v>0.0666424553069088</c:v>
                  </c:pt>
                  <c:pt idx="14">
                    <c:v>0.133284910613818</c:v>
                  </c:pt>
                  <c:pt idx="15">
                    <c:v>0.16634962366053</c:v>
                  </c:pt>
                  <c:pt idx="16">
                    <c:v>0.0978043855322109</c:v>
                  </c:pt>
                  <c:pt idx="17">
                    <c:v>0.00924164575891835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24.33333333333333</c:v>
                </c:pt>
                <c:pt idx="16">
                  <c:v>30.16666666666667</c:v>
                </c:pt>
                <c:pt idx="17">
                  <c:v>48.0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0.1834854</c:v>
                </c:pt>
                <c:pt idx="1">
                  <c:v>0.212298</c:v>
                </c:pt>
                <c:pt idx="2">
                  <c:v>0.2683225</c:v>
                </c:pt>
                <c:pt idx="3">
                  <c:v>0.3371526</c:v>
                </c:pt>
                <c:pt idx="4">
                  <c:v>0.3595624</c:v>
                </c:pt>
                <c:pt idx="5">
                  <c:v>0.3867743</c:v>
                </c:pt>
                <c:pt idx="6">
                  <c:v>0.4219897</c:v>
                </c:pt>
                <c:pt idx="7">
                  <c:v>0.4732121</c:v>
                </c:pt>
                <c:pt idx="8">
                  <c:v>0.576128933333333</c:v>
                </c:pt>
                <c:pt idx="9">
                  <c:v>0.767720666666667</c:v>
                </c:pt>
                <c:pt idx="10">
                  <c:v>1.065902666666667</c:v>
                </c:pt>
                <c:pt idx="11">
                  <c:v>1.951623333333333</c:v>
                </c:pt>
                <c:pt idx="12">
                  <c:v>2.410490666666667</c:v>
                </c:pt>
                <c:pt idx="13">
                  <c:v>2.912043333333334</c:v>
                </c:pt>
                <c:pt idx="14">
                  <c:v>3.200169333333333</c:v>
                </c:pt>
                <c:pt idx="15">
                  <c:v>3.221512</c:v>
                </c:pt>
                <c:pt idx="16">
                  <c:v>3.114798666666667</c:v>
                </c:pt>
                <c:pt idx="17">
                  <c:v>2.229693333333333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58184"/>
        <c:axId val="-2125189256"/>
      </c:scatterChart>
      <c:valAx>
        <c:axId val="-209091716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7614968"/>
        <c:crosses val="autoZero"/>
        <c:crossBetween val="midCat"/>
        <c:majorUnit val="6.0"/>
      </c:valAx>
      <c:valAx>
        <c:axId val="-2107614968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0917160"/>
        <c:crosses val="autoZero"/>
        <c:crossBetween val="midCat"/>
      </c:valAx>
      <c:valAx>
        <c:axId val="-212518925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12258184"/>
        <c:crosses val="max"/>
        <c:crossBetween val="midCat"/>
        <c:majorUnit val="1.0"/>
        <c:minorUnit val="0.2"/>
      </c:valAx>
      <c:valAx>
        <c:axId val="-2112258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51892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5" t="s">
        <v>0</v>
      </c>
      <c r="B1" s="116"/>
      <c r="C1" s="33">
        <v>42326</v>
      </c>
    </row>
    <row r="2" spans="1:3" ht="16">
      <c r="A2" s="115" t="s">
        <v>1</v>
      </c>
      <c r="B2" s="117"/>
      <c r="C2" s="31" t="s">
        <v>130</v>
      </c>
    </row>
    <row r="3" spans="1:3">
      <c r="A3" s="11"/>
      <c r="B3" s="11"/>
      <c r="C3" s="10"/>
    </row>
    <row r="4" spans="1:3">
      <c r="A4" s="118" t="s">
        <v>49</v>
      </c>
      <c r="B4" s="118"/>
      <c r="C4" s="7" t="s">
        <v>108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7" t="s">
        <v>85</v>
      </c>
      <c r="B7" s="37" t="s">
        <v>86</v>
      </c>
      <c r="C7" s="37" t="s">
        <v>102</v>
      </c>
    </row>
    <row r="8" spans="1:3">
      <c r="A8" s="37" t="s">
        <v>87</v>
      </c>
      <c r="B8" s="37" t="s">
        <v>88</v>
      </c>
      <c r="C8" s="37" t="s">
        <v>102</v>
      </c>
    </row>
    <row r="9" spans="1:3">
      <c r="A9" s="37" t="s">
        <v>89</v>
      </c>
      <c r="B9" s="37" t="s">
        <v>90</v>
      </c>
      <c r="C9" s="37" t="s">
        <v>102</v>
      </c>
    </row>
    <row r="10" spans="1:3">
      <c r="A10" s="37" t="s">
        <v>91</v>
      </c>
      <c r="B10" s="37" t="s">
        <v>92</v>
      </c>
      <c r="C10" s="37" t="s">
        <v>102</v>
      </c>
    </row>
    <row r="11" spans="1:3">
      <c r="A11" s="29" t="s">
        <v>93</v>
      </c>
      <c r="B11" s="29" t="s">
        <v>146</v>
      </c>
      <c r="C11" s="29" t="s">
        <v>102</v>
      </c>
    </row>
    <row r="12" spans="1:3">
      <c r="A12" s="37" t="s">
        <v>73</v>
      </c>
      <c r="B12" s="37" t="s">
        <v>94</v>
      </c>
      <c r="C12" s="37" t="s">
        <v>102</v>
      </c>
    </row>
    <row r="13" spans="1:3" ht="16">
      <c r="A13" s="40" t="s">
        <v>77</v>
      </c>
      <c r="B13" s="37" t="s">
        <v>95</v>
      </c>
      <c r="C13" s="37" t="s">
        <v>102</v>
      </c>
    </row>
    <row r="14" spans="1:3" ht="16">
      <c r="A14" s="10" t="s">
        <v>76</v>
      </c>
      <c r="B14" s="37" t="s">
        <v>95</v>
      </c>
      <c r="C14" s="37" t="s">
        <v>102</v>
      </c>
    </row>
    <row r="15" spans="1:3" ht="16">
      <c r="A15" s="37" t="s">
        <v>110</v>
      </c>
      <c r="B15" s="37" t="s">
        <v>96</v>
      </c>
      <c r="C15" s="37" t="s">
        <v>102</v>
      </c>
    </row>
    <row r="16" spans="1:3" ht="16">
      <c r="A16" s="37" t="s">
        <v>109</v>
      </c>
      <c r="B16" s="37" t="s">
        <v>95</v>
      </c>
      <c r="C16" s="37" t="s">
        <v>102</v>
      </c>
    </row>
    <row r="17" spans="1:3" ht="16">
      <c r="A17" s="37" t="s">
        <v>111</v>
      </c>
      <c r="B17" s="37" t="s">
        <v>95</v>
      </c>
      <c r="C17" s="37" t="s">
        <v>102</v>
      </c>
    </row>
    <row r="18" spans="1:3" ht="16">
      <c r="A18" s="37" t="s">
        <v>112</v>
      </c>
      <c r="B18" s="37" t="s">
        <v>152</v>
      </c>
      <c r="C18" s="37" t="s">
        <v>102</v>
      </c>
    </row>
    <row r="19" spans="1:3" ht="16">
      <c r="A19" s="37" t="s">
        <v>75</v>
      </c>
      <c r="B19" s="37" t="s">
        <v>153</v>
      </c>
      <c r="C19" s="37" t="s">
        <v>102</v>
      </c>
    </row>
    <row r="20" spans="1:3" ht="16">
      <c r="A20" s="37" t="s">
        <v>113</v>
      </c>
      <c r="B20" s="37" t="s">
        <v>97</v>
      </c>
      <c r="C20" s="37" t="s">
        <v>102</v>
      </c>
    </row>
    <row r="21" spans="1:3" ht="16">
      <c r="A21" s="37" t="s">
        <v>114</v>
      </c>
      <c r="B21" s="37" t="s">
        <v>98</v>
      </c>
      <c r="C21" s="37" t="s">
        <v>102</v>
      </c>
    </row>
    <row r="22" spans="1:3" ht="16">
      <c r="A22" s="37" t="s">
        <v>115</v>
      </c>
      <c r="B22" s="37" t="s">
        <v>99</v>
      </c>
      <c r="C22" s="37" t="s">
        <v>102</v>
      </c>
    </row>
    <row r="23" spans="1:3" ht="16">
      <c r="A23" s="37" t="s">
        <v>116</v>
      </c>
      <c r="B23" s="37" t="s">
        <v>99</v>
      </c>
      <c r="C23" s="37" t="s">
        <v>102</v>
      </c>
    </row>
    <row r="24" spans="1:3">
      <c r="A24" s="37" t="s">
        <v>100</v>
      </c>
      <c r="B24" s="37" t="s">
        <v>99</v>
      </c>
      <c r="C24" s="37" t="s">
        <v>102</v>
      </c>
    </row>
    <row r="25" spans="1:3">
      <c r="A25" s="37" t="s">
        <v>101</v>
      </c>
      <c r="B25" s="37" t="s">
        <v>99</v>
      </c>
      <c r="C25" s="37" t="s">
        <v>102</v>
      </c>
    </row>
    <row r="26" spans="1:3">
      <c r="A26" s="37" t="s">
        <v>74</v>
      </c>
      <c r="B26" s="37" t="s">
        <v>103</v>
      </c>
      <c r="C26" s="37" t="s">
        <v>104</v>
      </c>
    </row>
    <row r="27" spans="1:3">
      <c r="A27" s="37" t="s">
        <v>105</v>
      </c>
      <c r="B27" s="37" t="s">
        <v>102</v>
      </c>
      <c r="C27" s="37" t="s">
        <v>107</v>
      </c>
    </row>
    <row r="28" spans="1:3">
      <c r="A28" s="37" t="s">
        <v>106</v>
      </c>
      <c r="B28" s="37" t="s">
        <v>102</v>
      </c>
      <c r="C28" s="37" t="s">
        <v>107</v>
      </c>
    </row>
    <row r="29" spans="1:3" ht="16">
      <c r="A29" s="29" t="s">
        <v>147</v>
      </c>
      <c r="B29" s="29" t="s">
        <v>148</v>
      </c>
      <c r="C29" s="29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5" zoomScale="98" zoomScaleNormal="98" zoomScalePageLayoutView="98" workbookViewId="0">
      <selection activeCell="B5" sqref="B5:B101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70.099999999999994</v>
      </c>
      <c r="C1" s="9" t="s">
        <v>51</v>
      </c>
    </row>
    <row r="3" spans="1:12">
      <c r="A3" s="118" t="s">
        <v>5</v>
      </c>
      <c r="B3" s="118" t="s">
        <v>36</v>
      </c>
      <c r="C3" s="118"/>
      <c r="D3" s="118" t="s">
        <v>52</v>
      </c>
      <c r="E3" s="118"/>
      <c r="F3" s="118"/>
      <c r="G3" s="8" t="s">
        <v>53</v>
      </c>
    </row>
    <row r="4" spans="1:12">
      <c r="A4" s="118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40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40">
        <v>161.4</v>
      </c>
      <c r="C6" s="36">
        <f>B6/1000</f>
        <v>0.16140000000000002</v>
      </c>
      <c r="D6" s="12">
        <f>C6/1000*$B$1</f>
        <v>1.131414E-2</v>
      </c>
      <c r="E6" s="12">
        <f t="shared" ref="E6:E69" si="0">D6/22.4</f>
        <v>5.0509553571428576E-4</v>
      </c>
      <c r="F6" s="12">
        <f>E6/Calculation!K$4*1000</f>
        <v>3.4266996995541772E-4</v>
      </c>
      <c r="G6" s="12">
        <f>G5+(F6+F5)/2*30</f>
        <v>5.1400495493312661E-3</v>
      </c>
    </row>
    <row r="7" spans="1:12">
      <c r="A7" s="35">
        <v>1</v>
      </c>
      <c r="B7" s="40">
        <v>167.32</v>
      </c>
      <c r="C7" s="36">
        <f t="shared" ref="C7:C69" si="1">B7/1000</f>
        <v>0.16732</v>
      </c>
      <c r="D7" s="12">
        <f t="shared" ref="D7:D69" si="2">C7/1000*$B$1</f>
        <v>1.1729131999999998E-2</v>
      </c>
      <c r="E7" s="12">
        <f t="shared" si="0"/>
        <v>5.2362196428571426E-4</v>
      </c>
      <c r="F7" s="12">
        <f>E7/Calculation!K$4*1000</f>
        <v>3.5523878174064738E-4</v>
      </c>
      <c r="G7" s="12">
        <f>G6+(F7+F6)/2*30</f>
        <v>1.5608680824772243E-2</v>
      </c>
    </row>
    <row r="8" spans="1:12">
      <c r="A8" s="35">
        <v>1.5</v>
      </c>
      <c r="B8" s="40">
        <v>170.87</v>
      </c>
      <c r="C8" s="36">
        <f t="shared" si="1"/>
        <v>0.17086999999999999</v>
      </c>
      <c r="D8" s="12">
        <f t="shared" si="2"/>
        <v>1.1977986999999999E-2</v>
      </c>
      <c r="E8" s="12">
        <f t="shared" si="0"/>
        <v>5.3473156250000002E-4</v>
      </c>
      <c r="F8" s="12">
        <f>E8/Calculation!K$4*1000</f>
        <v>3.6277582259158753E-4</v>
      </c>
      <c r="G8" s="12">
        <f t="shared" ref="G8:G70" si="3">G7+(F8+F7)/2*30</f>
        <v>2.6378899889755766E-2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40">
        <v>187.11</v>
      </c>
      <c r="C9" s="36">
        <f t="shared" si="1"/>
        <v>0.18711000000000003</v>
      </c>
      <c r="D9" s="12">
        <f t="shared" si="2"/>
        <v>1.3116411E-2</v>
      </c>
      <c r="E9" s="12">
        <f t="shared" si="0"/>
        <v>5.8555406250000003E-4</v>
      </c>
      <c r="F9" s="12">
        <f>E9/Calculation!K$4*1000</f>
        <v>3.9725513059701492E-4</v>
      </c>
      <c r="G9" s="12">
        <f t="shared" si="3"/>
        <v>3.7779364187584805E-2</v>
      </c>
    </row>
    <row r="10" spans="1:12">
      <c r="A10" s="35">
        <v>2.5</v>
      </c>
      <c r="B10" s="40">
        <v>182.88</v>
      </c>
      <c r="C10" s="36">
        <f t="shared" si="1"/>
        <v>0.18287999999999999</v>
      </c>
      <c r="D10" s="12">
        <f t="shared" si="2"/>
        <v>1.2819887999999998E-2</v>
      </c>
      <c r="E10" s="12">
        <f t="shared" si="0"/>
        <v>5.7231642857142847E-4</v>
      </c>
      <c r="F10" s="12">
        <f>E10/Calculation!K$5*1000</f>
        <v>4.0190760433386833E-4</v>
      </c>
      <c r="G10" s="12">
        <f t="shared" si="3"/>
        <v>4.9766805211548054E-2</v>
      </c>
    </row>
    <row r="11" spans="1:12">
      <c r="A11" s="35">
        <v>3</v>
      </c>
      <c r="B11" s="40">
        <v>224.84</v>
      </c>
      <c r="C11" s="36">
        <f t="shared" si="1"/>
        <v>0.22484000000000001</v>
      </c>
      <c r="D11" s="12">
        <f t="shared" si="2"/>
        <v>1.5761284E-2</v>
      </c>
      <c r="E11" s="12">
        <f t="shared" si="0"/>
        <v>7.0362875000000002E-4</v>
      </c>
      <c r="F11" s="12">
        <f>E11/Calculation!K$5*1000</f>
        <v>4.9412131320224716E-4</v>
      </c>
      <c r="G11" s="12">
        <f t="shared" si="3"/>
        <v>6.3207238974589783E-2</v>
      </c>
    </row>
    <row r="12" spans="1:12">
      <c r="A12" s="35">
        <v>3.5</v>
      </c>
      <c r="B12" s="40">
        <v>282.02</v>
      </c>
      <c r="C12" s="36">
        <f t="shared" si="1"/>
        <v>0.28201999999999999</v>
      </c>
      <c r="D12" s="12">
        <f t="shared" si="2"/>
        <v>1.9769602000000001E-2</v>
      </c>
      <c r="E12" s="12">
        <f t="shared" si="0"/>
        <v>8.8257151785714298E-4</v>
      </c>
      <c r="F12" s="12">
        <f>E12/Calculation!K$6*1000</f>
        <v>6.4280518416397886E-4</v>
      </c>
      <c r="G12" s="12">
        <f t="shared" si="3"/>
        <v>8.0261136435083175E-2</v>
      </c>
    </row>
    <row r="13" spans="1:12">
      <c r="A13" s="35">
        <v>4</v>
      </c>
      <c r="B13" s="40">
        <v>390.46</v>
      </c>
      <c r="C13" s="36">
        <f t="shared" si="1"/>
        <v>0.39045999999999997</v>
      </c>
      <c r="D13" s="12">
        <f t="shared" si="2"/>
        <v>2.7371245999999995E-2</v>
      </c>
      <c r="E13" s="12">
        <f t="shared" si="0"/>
        <v>1.2219306249999999E-3</v>
      </c>
      <c r="F13" s="12">
        <f>E13/Calculation!K$6*1000</f>
        <v>8.8997132192279661E-4</v>
      </c>
      <c r="G13" s="12">
        <f t="shared" si="3"/>
        <v>0.1032527840263848</v>
      </c>
    </row>
    <row r="14" spans="1:12">
      <c r="A14" s="35">
        <v>4.5</v>
      </c>
      <c r="B14" s="40">
        <v>479.28</v>
      </c>
      <c r="C14" s="36">
        <f t="shared" si="1"/>
        <v>0.47927999999999998</v>
      </c>
      <c r="D14" s="12">
        <f t="shared" si="2"/>
        <v>3.3597527999999995E-2</v>
      </c>
      <c r="E14" s="12">
        <f t="shared" si="0"/>
        <v>1.4998896428571426E-3</v>
      </c>
      <c r="F14" s="12">
        <f>E14/Calculation!K$6*1000</f>
        <v>1.092417802517948E-3</v>
      </c>
      <c r="G14" s="12">
        <f t="shared" si="3"/>
        <v>0.13298862089299596</v>
      </c>
    </row>
    <row r="15" spans="1:12">
      <c r="A15" s="35">
        <v>5</v>
      </c>
      <c r="B15" s="40">
        <v>593.80999999999995</v>
      </c>
      <c r="C15" s="36">
        <f t="shared" si="1"/>
        <v>0.59380999999999995</v>
      </c>
      <c r="D15" s="12">
        <f t="shared" si="2"/>
        <v>4.1626080999999995E-2</v>
      </c>
      <c r="E15" s="12">
        <f t="shared" si="0"/>
        <v>1.8583071874999999E-3</v>
      </c>
      <c r="F15" s="12">
        <f>E15/Calculation!K$7*1000</f>
        <v>1.4035174734433617E-3</v>
      </c>
      <c r="G15" s="12">
        <f t="shared" si="3"/>
        <v>0.17042765003241561</v>
      </c>
    </row>
    <row r="16" spans="1:12">
      <c r="A16" s="35">
        <v>5.5</v>
      </c>
      <c r="B16" s="40">
        <v>724.08</v>
      </c>
      <c r="C16" s="36">
        <f t="shared" si="1"/>
        <v>0.72408000000000006</v>
      </c>
      <c r="D16" s="12">
        <f t="shared" si="2"/>
        <v>5.0758008E-2</v>
      </c>
      <c r="E16" s="12">
        <f t="shared" si="0"/>
        <v>2.2659825000000003E-3</v>
      </c>
      <c r="F16" s="12">
        <f>E16/Calculation!K$7*1000</f>
        <v>1.7114210474240407E-3</v>
      </c>
      <c r="G16" s="12">
        <f t="shared" si="3"/>
        <v>0.21715172784542663</v>
      </c>
    </row>
    <row r="17" spans="1:7">
      <c r="A17" s="35">
        <v>6</v>
      </c>
      <c r="B17" s="40">
        <v>823.55</v>
      </c>
      <c r="C17" s="36">
        <f t="shared" si="1"/>
        <v>0.82355</v>
      </c>
      <c r="D17" s="12">
        <f t="shared" si="2"/>
        <v>5.7730854999999998E-2</v>
      </c>
      <c r="E17" s="12">
        <f t="shared" si="0"/>
        <v>2.5772703125000003E-3</v>
      </c>
      <c r="F17" s="12">
        <f>E17/Calculation!K$8*1000</f>
        <v>2.0260388226622855E-3</v>
      </c>
      <c r="G17" s="12">
        <f t="shared" si="3"/>
        <v>0.27321362589672155</v>
      </c>
    </row>
    <row r="18" spans="1:7">
      <c r="A18" s="35">
        <v>6.5</v>
      </c>
      <c r="B18" s="40">
        <v>896.98</v>
      </c>
      <c r="C18" s="36">
        <f t="shared" si="1"/>
        <v>0.89698</v>
      </c>
      <c r="D18" s="12">
        <f t="shared" si="2"/>
        <v>6.2878297999999999E-2</v>
      </c>
      <c r="E18" s="12">
        <f t="shared" si="0"/>
        <v>2.807066875E-3</v>
      </c>
      <c r="F18" s="12">
        <f>E18/Calculation!K$8*1000</f>
        <v>2.2066860581040821E-3</v>
      </c>
      <c r="G18" s="12">
        <f t="shared" si="3"/>
        <v>0.33670449910821709</v>
      </c>
    </row>
    <row r="19" spans="1:7">
      <c r="A19" s="35">
        <v>7</v>
      </c>
      <c r="B19" s="40">
        <v>977.17</v>
      </c>
      <c r="C19" s="36">
        <f t="shared" si="1"/>
        <v>0.97716999999999998</v>
      </c>
      <c r="D19" s="12">
        <f t="shared" si="2"/>
        <v>6.8499616999999999E-2</v>
      </c>
      <c r="E19" s="12">
        <f t="shared" si="0"/>
        <v>3.0580186160714287E-3</v>
      </c>
      <c r="F19" s="12">
        <f>E19/Calculation!K$8*1000</f>
        <v>2.4039637621770448E-3</v>
      </c>
      <c r="G19" s="12">
        <f t="shared" si="3"/>
        <v>0.40586424641243402</v>
      </c>
    </row>
    <row r="20" spans="1:7">
      <c r="A20" s="35">
        <v>7.5</v>
      </c>
      <c r="B20" s="40">
        <v>1068.69</v>
      </c>
      <c r="C20" s="36">
        <f t="shared" si="1"/>
        <v>1.0686900000000001</v>
      </c>
      <c r="D20" s="12">
        <f t="shared" si="2"/>
        <v>7.4915169000000004E-2</v>
      </c>
      <c r="E20" s="12">
        <f t="shared" si="0"/>
        <v>3.3444271875000004E-3</v>
      </c>
      <c r="F20" s="12">
        <f>E20/Calculation!K$9*1000</f>
        <v>2.7388404592813475E-3</v>
      </c>
      <c r="G20" s="12">
        <f t="shared" si="3"/>
        <v>0.48300630973430991</v>
      </c>
    </row>
    <row r="21" spans="1:7">
      <c r="A21" s="35">
        <v>8</v>
      </c>
      <c r="B21" s="40">
        <v>1117.42</v>
      </c>
      <c r="C21" s="36">
        <f t="shared" si="1"/>
        <v>1.1174200000000001</v>
      </c>
      <c r="D21" s="12">
        <f t="shared" si="2"/>
        <v>7.8331141999999992E-2</v>
      </c>
      <c r="E21" s="12">
        <f t="shared" si="0"/>
        <v>3.4969259821428572E-3</v>
      </c>
      <c r="F21" s="12">
        <f>E21/Calculation!K$9*1000</f>
        <v>2.8637257820417175E-3</v>
      </c>
      <c r="G21" s="12">
        <f t="shared" si="3"/>
        <v>0.56704480335415586</v>
      </c>
    </row>
    <row r="22" spans="1:7">
      <c r="A22" s="35">
        <v>8.5</v>
      </c>
      <c r="B22" s="40">
        <v>1163.77</v>
      </c>
      <c r="C22" s="36">
        <f t="shared" si="1"/>
        <v>1.16377</v>
      </c>
      <c r="D22" s="12">
        <f t="shared" si="2"/>
        <v>8.1580276999999993E-2</v>
      </c>
      <c r="E22" s="12">
        <f t="shared" si="0"/>
        <v>3.6419766517857143E-3</v>
      </c>
      <c r="F22" s="12">
        <f>E22/Calculation!K$9*1000</f>
        <v>2.9825116369553875E-3</v>
      </c>
      <c r="G22" s="12">
        <f t="shared" si="3"/>
        <v>0.65473836463911239</v>
      </c>
    </row>
    <row r="23" spans="1:7">
      <c r="A23" s="35">
        <v>9</v>
      </c>
      <c r="B23" s="40">
        <v>1230.0899999999999</v>
      </c>
      <c r="C23" s="36">
        <f t="shared" si="1"/>
        <v>1.2300899999999999</v>
      </c>
      <c r="D23" s="12">
        <f t="shared" si="2"/>
        <v>8.622930899999999E-2</v>
      </c>
      <c r="E23" s="12">
        <f t="shared" si="0"/>
        <v>3.8495227232142855E-3</v>
      </c>
      <c r="F23" s="12">
        <f>E23/Calculation!K$10*1000</f>
        <v>3.2897749395885073E-3</v>
      </c>
      <c r="G23" s="12">
        <f t="shared" si="3"/>
        <v>0.74882266328727076</v>
      </c>
    </row>
    <row r="24" spans="1:7">
      <c r="A24" s="35">
        <v>9.5</v>
      </c>
      <c r="B24" s="40">
        <v>1315.01</v>
      </c>
      <c r="C24" s="36">
        <f t="shared" si="1"/>
        <v>1.31501</v>
      </c>
      <c r="D24" s="12">
        <f t="shared" si="2"/>
        <v>9.2182200999999991E-2</v>
      </c>
      <c r="E24" s="12">
        <f t="shared" si="0"/>
        <v>4.1152768303571426E-3</v>
      </c>
      <c r="F24" s="12">
        <f>E24/Calculation!K$10*1000</f>
        <v>3.5168865231879638E-3</v>
      </c>
      <c r="G24" s="12">
        <f t="shared" si="3"/>
        <v>0.85092258522891784</v>
      </c>
    </row>
    <row r="25" spans="1:7">
      <c r="A25" s="35">
        <v>10</v>
      </c>
      <c r="B25" s="40">
        <v>1400.28</v>
      </c>
      <c r="C25" s="36">
        <f t="shared" si="1"/>
        <v>1.40028</v>
      </c>
      <c r="D25" s="12">
        <f t="shared" si="2"/>
        <v>9.8159627999999999E-2</v>
      </c>
      <c r="E25" s="12">
        <f t="shared" si="0"/>
        <v>4.3821262499999999E-3</v>
      </c>
      <c r="F25" s="12">
        <f>E25/Calculation!K$11*1000</f>
        <v>3.9223081567939782E-3</v>
      </c>
      <c r="G25" s="12">
        <f t="shared" si="3"/>
        <v>0.96251050542864691</v>
      </c>
    </row>
    <row r="26" spans="1:7">
      <c r="A26" s="35">
        <v>10.5</v>
      </c>
      <c r="B26" s="40">
        <v>1457.12</v>
      </c>
      <c r="C26" s="36">
        <f t="shared" si="1"/>
        <v>1.45712</v>
      </c>
      <c r="D26" s="12">
        <f t="shared" si="2"/>
        <v>0.10214411199999998</v>
      </c>
      <c r="E26" s="12">
        <f t="shared" si="0"/>
        <v>4.5600049999999998E-3</v>
      </c>
      <c r="F26" s="12">
        <f>E26/Calculation!K$11*1000</f>
        <v>4.081522025186135E-3</v>
      </c>
      <c r="G26" s="12">
        <f t="shared" si="3"/>
        <v>1.0825679581583487</v>
      </c>
    </row>
    <row r="27" spans="1:7">
      <c r="A27" s="35">
        <v>11</v>
      </c>
      <c r="B27" s="40">
        <v>1561.34</v>
      </c>
      <c r="C27" s="36">
        <f t="shared" si="1"/>
        <v>1.56134</v>
      </c>
      <c r="D27" s="12">
        <f t="shared" si="2"/>
        <v>0.109449934</v>
      </c>
      <c r="E27" s="12">
        <f t="shared" si="0"/>
        <v>4.8861577678571428E-3</v>
      </c>
      <c r="F27" s="12">
        <f>E27/Calculation!K$11*1000</f>
        <v>4.3734514650846336E-3</v>
      </c>
      <c r="G27" s="12">
        <f t="shared" si="3"/>
        <v>1.2093925605124103</v>
      </c>
    </row>
    <row r="28" spans="1:7">
      <c r="A28" s="35">
        <v>11.5</v>
      </c>
      <c r="B28" s="40">
        <v>1653.54</v>
      </c>
      <c r="C28" s="36">
        <f t="shared" si="1"/>
        <v>1.65354</v>
      </c>
      <c r="D28" s="12">
        <f t="shared" si="2"/>
        <v>0.11591315399999999</v>
      </c>
      <c r="E28" s="12">
        <f t="shared" si="0"/>
        <v>5.1746943750000003E-3</v>
      </c>
      <c r="F28" s="12">
        <f>E28/Calculation!K$12*1000</f>
        <v>4.8574372337379795E-3</v>
      </c>
      <c r="G28" s="12">
        <f t="shared" si="3"/>
        <v>1.3478558909947496</v>
      </c>
    </row>
    <row r="29" spans="1:7">
      <c r="A29" s="35">
        <v>12</v>
      </c>
      <c r="B29" s="40">
        <v>1808.5</v>
      </c>
      <c r="C29" s="36">
        <f t="shared" si="1"/>
        <v>1.8085</v>
      </c>
      <c r="D29" s="12">
        <f t="shared" si="2"/>
        <v>0.12677585</v>
      </c>
      <c r="E29" s="12">
        <f t="shared" si="0"/>
        <v>5.6596361607142856E-3</v>
      </c>
      <c r="F29" s="12">
        <f>E29/Calculation!K$12*1000</f>
        <v>5.3126475544680715E-3</v>
      </c>
      <c r="G29" s="12">
        <f t="shared" si="3"/>
        <v>1.5004071628178404</v>
      </c>
    </row>
    <row r="30" spans="1:7">
      <c r="A30" s="35">
        <v>12.5</v>
      </c>
      <c r="B30" s="40">
        <v>2112.0100000000002</v>
      </c>
      <c r="C30" s="36">
        <f t="shared" si="1"/>
        <v>2.1120100000000002</v>
      </c>
      <c r="D30" s="12">
        <f t="shared" si="2"/>
        <v>0.14805190099999999</v>
      </c>
      <c r="E30" s="12">
        <f t="shared" si="0"/>
        <v>6.6094598660714279E-3</v>
      </c>
      <c r="F30" s="12">
        <f>E30/Calculation!K$12*1000</f>
        <v>6.2042381871783856E-3</v>
      </c>
      <c r="G30" s="12">
        <f t="shared" si="3"/>
        <v>1.6731604489425371</v>
      </c>
    </row>
    <row r="31" spans="1:7">
      <c r="A31" s="35">
        <v>13</v>
      </c>
      <c r="B31" s="40">
        <v>2443.4299999999998</v>
      </c>
      <c r="C31" s="36">
        <f t="shared" si="1"/>
        <v>2.4434299999999998</v>
      </c>
      <c r="D31" s="12">
        <f t="shared" si="2"/>
        <v>0.17128444299999998</v>
      </c>
      <c r="E31" s="12">
        <f t="shared" si="0"/>
        <v>7.6466269196428568E-3</v>
      </c>
      <c r="F31" s="12">
        <f>E31/Calculation!K$13*1000</f>
        <v>7.5526194819846969E-3</v>
      </c>
      <c r="G31" s="12">
        <f t="shared" si="3"/>
        <v>1.8795133139799833</v>
      </c>
    </row>
    <row r="32" spans="1:7">
      <c r="A32" s="35">
        <v>13.5</v>
      </c>
      <c r="B32" s="40">
        <v>2837.95</v>
      </c>
      <c r="C32" s="36">
        <f t="shared" si="1"/>
        <v>2.8379499999999998</v>
      </c>
      <c r="D32" s="12">
        <f t="shared" si="2"/>
        <v>0.19894029499999996</v>
      </c>
      <c r="E32" s="12">
        <f t="shared" si="0"/>
        <v>8.8812631696428557E-3</v>
      </c>
      <c r="F32" s="12">
        <f>E32/Calculation!K$13*1000</f>
        <v>8.772077145200995E-3</v>
      </c>
      <c r="G32" s="12">
        <f t="shared" si="3"/>
        <v>2.1243837633877689</v>
      </c>
    </row>
    <row r="33" spans="1:7">
      <c r="A33" s="35">
        <v>14</v>
      </c>
      <c r="B33" s="40">
        <v>3473.72</v>
      </c>
      <c r="C33" s="36">
        <f t="shared" si="1"/>
        <v>3.4737199999999997</v>
      </c>
      <c r="D33" s="12">
        <f t="shared" si="2"/>
        <v>0.24350777199999996</v>
      </c>
      <c r="E33" s="12">
        <f t="shared" si="0"/>
        <v>1.0870882678571427E-2</v>
      </c>
      <c r="F33" s="12">
        <f>E33/Calculation!K$14*1000</f>
        <v>1.12918456364522E-2</v>
      </c>
      <c r="G33" s="12">
        <f t="shared" si="3"/>
        <v>2.4253426051125668</v>
      </c>
    </row>
    <row r="34" spans="1:7">
      <c r="A34" s="35">
        <v>14.5</v>
      </c>
      <c r="B34" s="40">
        <v>4236.54</v>
      </c>
      <c r="C34" s="36">
        <f t="shared" si="1"/>
        <v>4.2365399999999998</v>
      </c>
      <c r="D34" s="12">
        <f t="shared" si="2"/>
        <v>0.29698145399999992</v>
      </c>
      <c r="E34" s="12">
        <f t="shared" si="0"/>
        <v>1.3258100624999998E-2</v>
      </c>
      <c r="F34" s="12">
        <f>E34/Calculation!K$14*1000</f>
        <v>1.3771505968430159E-2</v>
      </c>
      <c r="G34" s="12">
        <f t="shared" si="3"/>
        <v>2.8012928791858021</v>
      </c>
    </row>
    <row r="35" spans="1:7">
      <c r="A35" s="35">
        <v>15</v>
      </c>
      <c r="B35" s="40">
        <v>4986.16</v>
      </c>
      <c r="C35" s="36">
        <f t="shared" si="1"/>
        <v>4.9861599999999999</v>
      </c>
      <c r="D35" s="12">
        <f t="shared" si="2"/>
        <v>0.34952981599999994</v>
      </c>
      <c r="E35" s="12">
        <f t="shared" si="0"/>
        <v>1.5604009642857141E-2</v>
      </c>
      <c r="F35" s="12">
        <f>E35/Calculation!K$14*1000</f>
        <v>1.6208257729077909E-2</v>
      </c>
      <c r="G35" s="12">
        <f t="shared" si="3"/>
        <v>3.2509893346484233</v>
      </c>
    </row>
    <row r="36" spans="1:7">
      <c r="A36" s="35">
        <v>15.5</v>
      </c>
      <c r="B36" s="40">
        <v>6202.04</v>
      </c>
      <c r="C36" s="36">
        <f t="shared" si="1"/>
        <v>6.2020400000000002</v>
      </c>
      <c r="D36" s="12">
        <f t="shared" si="2"/>
        <v>0.43476300399999995</v>
      </c>
      <c r="E36" s="12">
        <f t="shared" si="0"/>
        <v>1.9409062678571426E-2</v>
      </c>
      <c r="F36" s="12">
        <f>E36/Calculation!K$15*1000</f>
        <v>2.1678846281464988E-2</v>
      </c>
      <c r="G36" s="12">
        <f t="shared" si="3"/>
        <v>3.8192958948065669</v>
      </c>
    </row>
    <row r="37" spans="1:7">
      <c r="A37" s="35">
        <v>16</v>
      </c>
      <c r="B37" s="40">
        <v>7208.14</v>
      </c>
      <c r="C37" s="36">
        <f t="shared" si="1"/>
        <v>7.2081400000000002</v>
      </c>
      <c r="D37" s="12">
        <f t="shared" si="2"/>
        <v>0.50529061399999997</v>
      </c>
      <c r="E37" s="12">
        <f t="shared" si="0"/>
        <v>2.255761669642857E-2</v>
      </c>
      <c r="F37" s="12">
        <f>E37/Calculation!K$15*1000</f>
        <v>2.5195606451309416E-2</v>
      </c>
      <c r="G37" s="12">
        <f t="shared" si="3"/>
        <v>4.5224126857981828</v>
      </c>
    </row>
    <row r="38" spans="1:7">
      <c r="A38" s="35">
        <v>16.5</v>
      </c>
      <c r="B38" s="40">
        <v>7778.77</v>
      </c>
      <c r="C38" s="36">
        <f t="shared" si="1"/>
        <v>7.7787700000000006</v>
      </c>
      <c r="D38" s="12">
        <f t="shared" si="2"/>
        <v>0.54529177699999998</v>
      </c>
      <c r="E38" s="12">
        <f t="shared" si="0"/>
        <v>2.4343382901785716E-2</v>
      </c>
      <c r="F38" s="12">
        <f>E38/Calculation!K$15*1000</f>
        <v>2.7190208236140274E-2</v>
      </c>
      <c r="G38" s="12">
        <f t="shared" si="3"/>
        <v>5.3081999061099285</v>
      </c>
    </row>
    <row r="39" spans="1:7">
      <c r="A39" s="35">
        <v>17</v>
      </c>
      <c r="B39" s="40">
        <v>10261.280000000001</v>
      </c>
      <c r="C39" s="36">
        <f t="shared" si="1"/>
        <v>10.261280000000001</v>
      </c>
      <c r="D39" s="12">
        <f t="shared" si="2"/>
        <v>0.71931572799999999</v>
      </c>
      <c r="E39" s="12">
        <f t="shared" si="0"/>
        <v>3.2112309285714284E-2</v>
      </c>
      <c r="F39" s="12">
        <f>E39/Calculation!K$16*1000</f>
        <v>3.7871914894959655E-2</v>
      </c>
      <c r="G39" s="12">
        <f>G38+(F39+F38)/2*30</f>
        <v>6.2841317530764274</v>
      </c>
    </row>
    <row r="40" spans="1:7">
      <c r="A40" s="35">
        <v>17.5</v>
      </c>
      <c r="B40" s="40">
        <v>11289.88</v>
      </c>
      <c r="C40" s="36">
        <f t="shared" si="1"/>
        <v>11.289879999999998</v>
      </c>
      <c r="D40" s="12">
        <f t="shared" si="2"/>
        <v>0.79142058799999981</v>
      </c>
      <c r="E40" s="12">
        <f t="shared" si="0"/>
        <v>3.5331276249999995E-2</v>
      </c>
      <c r="F40" s="12">
        <f>E40/Calculation!K$16*1000</f>
        <v>4.1668229941518711E-2</v>
      </c>
      <c r="G40" s="12">
        <f t="shared" si="3"/>
        <v>7.4772339256236027</v>
      </c>
    </row>
    <row r="41" spans="1:7">
      <c r="A41" s="35">
        <v>18</v>
      </c>
      <c r="B41" s="40">
        <v>11837.5</v>
      </c>
      <c r="C41" s="36">
        <f t="shared" si="1"/>
        <v>11.8375</v>
      </c>
      <c r="D41" s="12">
        <f t="shared" si="2"/>
        <v>0.82980874999999998</v>
      </c>
      <c r="E41" s="12">
        <f t="shared" si="0"/>
        <v>3.7045033482142858E-2</v>
      </c>
      <c r="F41" s="12">
        <f>E41/Calculation!K$17*1000</f>
        <v>4.5868516736215004E-2</v>
      </c>
      <c r="G41" s="12">
        <f t="shared" si="3"/>
        <v>8.7902851257896089</v>
      </c>
    </row>
    <row r="42" spans="1:7">
      <c r="A42" s="35">
        <v>18.5</v>
      </c>
      <c r="B42" s="40">
        <v>12330.65</v>
      </c>
      <c r="C42" s="36">
        <f t="shared" si="1"/>
        <v>12.33065</v>
      </c>
      <c r="D42" s="12">
        <f t="shared" si="2"/>
        <v>0.86437856499999999</v>
      </c>
      <c r="E42" s="12">
        <f t="shared" si="0"/>
        <v>3.8588328794642857E-2</v>
      </c>
      <c r="F42" s="12">
        <f>E42/Calculation!K$17*1000</f>
        <v>4.7779398174733638E-2</v>
      </c>
      <c r="G42" s="12">
        <f t="shared" si="3"/>
        <v>10.195003849453839</v>
      </c>
    </row>
    <row r="43" spans="1:7">
      <c r="A43" s="35">
        <v>19</v>
      </c>
      <c r="B43" s="40">
        <v>11893.67</v>
      </c>
      <c r="C43" s="36">
        <f t="shared" si="1"/>
        <v>11.89367</v>
      </c>
      <c r="D43" s="12">
        <f t="shared" si="2"/>
        <v>0.83374626699999999</v>
      </c>
      <c r="E43" s="12">
        <f t="shared" si="0"/>
        <v>3.7220815491071431E-2</v>
      </c>
      <c r="F43" s="12">
        <f>E43/Calculation!K$17*1000</f>
        <v>4.6086166965154662E-2</v>
      </c>
      <c r="G43" s="12">
        <f t="shared" si="3"/>
        <v>11.602987326552164</v>
      </c>
    </row>
    <row r="44" spans="1:7">
      <c r="A44" s="35">
        <v>19.5</v>
      </c>
      <c r="B44" s="40">
        <v>11331.15</v>
      </c>
      <c r="C44" s="36">
        <f t="shared" si="1"/>
        <v>11.331149999999999</v>
      </c>
      <c r="D44" s="12">
        <f t="shared" si="2"/>
        <v>0.79431361499999997</v>
      </c>
      <c r="E44" s="12">
        <f t="shared" si="0"/>
        <v>3.5460429241071428E-2</v>
      </c>
      <c r="F44" s="12">
        <f>E44/Calculation!K$18*1000</f>
        <v>4.6439553875161958E-2</v>
      </c>
      <c r="G44" s="12">
        <f t="shared" si="3"/>
        <v>12.990873139156914</v>
      </c>
    </row>
    <row r="45" spans="1:7">
      <c r="A45" s="35">
        <v>20</v>
      </c>
      <c r="B45" s="40">
        <v>9944.24</v>
      </c>
      <c r="C45" s="36">
        <f t="shared" si="1"/>
        <v>9.9442400000000006</v>
      </c>
      <c r="D45" s="12">
        <f t="shared" si="2"/>
        <v>0.6970912239999999</v>
      </c>
      <c r="E45" s="12">
        <f t="shared" si="0"/>
        <v>3.1120143928571427E-2</v>
      </c>
      <c r="F45" s="12">
        <f>E45/Calculation!K$18*1000</f>
        <v>4.0755445760363294E-2</v>
      </c>
      <c r="G45" s="12">
        <f t="shared" si="3"/>
        <v>14.298798133689793</v>
      </c>
    </row>
    <row r="46" spans="1:7">
      <c r="A46" s="35">
        <v>20.5</v>
      </c>
      <c r="B46" s="40">
        <v>8644.9599999999991</v>
      </c>
      <c r="C46" s="36">
        <f t="shared" si="1"/>
        <v>8.6449599999999993</v>
      </c>
      <c r="D46" s="12">
        <f t="shared" si="2"/>
        <v>0.60601169599999993</v>
      </c>
      <c r="E46" s="12">
        <f t="shared" si="0"/>
        <v>2.7054093571428569E-2</v>
      </c>
      <c r="F46" s="12">
        <f>E46/Calculation!K$18*1000</f>
        <v>3.5430480195621811E-2</v>
      </c>
      <c r="G46" s="12">
        <f t="shared" si="3"/>
        <v>15.44158702302957</v>
      </c>
    </row>
    <row r="47" spans="1:7">
      <c r="A47" s="35">
        <v>21</v>
      </c>
      <c r="B47" s="40">
        <v>6801.1</v>
      </c>
      <c r="C47" s="36">
        <f t="shared" si="1"/>
        <v>6.8010999999999999</v>
      </c>
      <c r="D47" s="12">
        <f t="shared" si="2"/>
        <v>0.47675710999999998</v>
      </c>
      <c r="E47" s="12">
        <f t="shared" si="0"/>
        <v>2.1283799553571431E-2</v>
      </c>
      <c r="F47" s="12">
        <f>E47/Calculation!K$18*1000</f>
        <v>2.7873609462443268E-2</v>
      </c>
      <c r="G47" s="12">
        <f t="shared" si="3"/>
        <v>16.391148367900545</v>
      </c>
    </row>
    <row r="48" spans="1:7">
      <c r="A48" s="35">
        <v>21.5</v>
      </c>
      <c r="B48" s="40">
        <v>5193.07</v>
      </c>
      <c r="C48" s="36">
        <f t="shared" si="1"/>
        <v>5.1930699999999996</v>
      </c>
      <c r="D48" s="12">
        <f t="shared" si="2"/>
        <v>0.36403420699999994</v>
      </c>
      <c r="E48" s="12">
        <f t="shared" si="0"/>
        <v>1.6251527098214286E-2</v>
      </c>
      <c r="F48" s="12">
        <f>E48/Calculation!K$18*1000</f>
        <v>2.1283263750147805E-2</v>
      </c>
      <c r="G48" s="12">
        <f t="shared" si="3"/>
        <v>17.128501466089411</v>
      </c>
    </row>
    <row r="49" spans="1:7">
      <c r="A49" s="35">
        <v>22</v>
      </c>
      <c r="B49" s="40">
        <v>4025.4</v>
      </c>
      <c r="C49" s="36">
        <f t="shared" si="1"/>
        <v>4.0254000000000003</v>
      </c>
      <c r="D49" s="12">
        <f t="shared" si="2"/>
        <v>0.28218053999999998</v>
      </c>
      <c r="E49" s="12">
        <f t="shared" si="0"/>
        <v>1.2597345535714285E-2</v>
      </c>
      <c r="F49" s="12">
        <f>E49/Calculation!K$18*1000</f>
        <v>1.6497688246036538E-2</v>
      </c>
      <c r="G49" s="12">
        <f t="shared" si="3"/>
        <v>17.695215746032176</v>
      </c>
    </row>
    <row r="50" spans="1:7">
      <c r="A50" s="35">
        <v>22.5</v>
      </c>
      <c r="B50" s="40">
        <v>3072.94</v>
      </c>
      <c r="C50" s="36">
        <f t="shared" si="1"/>
        <v>3.07294</v>
      </c>
      <c r="D50" s="12">
        <f t="shared" si="2"/>
        <v>0.215413094</v>
      </c>
      <c r="E50" s="12">
        <f t="shared" si="0"/>
        <v>9.6166559821428584E-3</v>
      </c>
      <c r="F50" s="12">
        <f>E50/Calculation!K$18*1000</f>
        <v>1.2594128811739339E-2</v>
      </c>
      <c r="G50" s="12">
        <f t="shared" si="3"/>
        <v>18.131593001898814</v>
      </c>
    </row>
    <row r="51" spans="1:7">
      <c r="A51" s="35">
        <v>23</v>
      </c>
      <c r="B51" s="40">
        <v>2464.41</v>
      </c>
      <c r="C51" s="36">
        <f t="shared" si="1"/>
        <v>2.46441</v>
      </c>
      <c r="D51" s="12">
        <f t="shared" si="2"/>
        <v>0.17275514099999997</v>
      </c>
      <c r="E51" s="12">
        <f t="shared" si="0"/>
        <v>7.7122830803571423E-3</v>
      </c>
      <c r="F51" s="12">
        <f>E51/Calculation!K$18*1000</f>
        <v>1.0100131139865579E-2</v>
      </c>
      <c r="G51" s="12">
        <f t="shared" si="3"/>
        <v>18.47200690117289</v>
      </c>
    </row>
    <row r="52" spans="1:7">
      <c r="A52" s="35">
        <v>23.5</v>
      </c>
      <c r="B52" s="40">
        <v>2021.84</v>
      </c>
      <c r="C52" s="36">
        <f t="shared" si="1"/>
        <v>2.0218400000000001</v>
      </c>
      <c r="D52" s="12">
        <f t="shared" si="2"/>
        <v>0.14173098399999998</v>
      </c>
      <c r="E52" s="12">
        <f t="shared" si="0"/>
        <v>6.3272760714285711E-3</v>
      </c>
      <c r="F52" s="12">
        <f>E52/Calculation!K$18*1000</f>
        <v>8.2863034737831066E-3</v>
      </c>
      <c r="G52" s="12">
        <f t="shared" si="3"/>
        <v>18.747803420377618</v>
      </c>
    </row>
    <row r="53" spans="1:7">
      <c r="A53" s="35">
        <v>24</v>
      </c>
      <c r="B53" s="40">
        <v>1656.41</v>
      </c>
      <c r="C53" s="36">
        <f t="shared" si="1"/>
        <v>1.6564100000000002</v>
      </c>
      <c r="D53" s="12">
        <f t="shared" si="2"/>
        <v>0.116114341</v>
      </c>
      <c r="E53" s="12">
        <f t="shared" si="0"/>
        <v>5.1836759374999999E-3</v>
      </c>
      <c r="F53" s="12">
        <f>E53/Calculation!K$19*1000</f>
        <v>7.2307619321783098E-3</v>
      </c>
      <c r="G53" s="12">
        <f t="shared" si="3"/>
        <v>18.98055940146704</v>
      </c>
    </row>
    <row r="54" spans="1:7">
      <c r="A54" s="35">
        <v>24.5</v>
      </c>
      <c r="B54" s="40">
        <v>1348.51</v>
      </c>
      <c r="C54" s="36">
        <f t="shared" si="1"/>
        <v>1.3485100000000001</v>
      </c>
      <c r="D54" s="12">
        <f t="shared" si="2"/>
        <v>9.453055099999999E-2</v>
      </c>
      <c r="E54" s="12">
        <f t="shared" si="0"/>
        <v>4.2201138839285711E-3</v>
      </c>
      <c r="F54" s="12">
        <f>E54/Calculation!K$19*1000</f>
        <v>5.8866794894752942E-3</v>
      </c>
      <c r="G54" s="12">
        <f t="shared" si="3"/>
        <v>19.177321022791844</v>
      </c>
    </row>
    <row r="55" spans="1:7">
      <c r="A55" s="35">
        <v>25</v>
      </c>
      <c r="B55" s="40">
        <v>1073.5999999999999</v>
      </c>
      <c r="C55" s="36">
        <f t="shared" si="1"/>
        <v>1.0735999999999999</v>
      </c>
      <c r="D55" s="12">
        <f t="shared" si="2"/>
        <v>7.5259359999999983E-2</v>
      </c>
      <c r="E55" s="12">
        <f t="shared" si="0"/>
        <v>3.3597928571428566E-3</v>
      </c>
      <c r="F55" s="12">
        <f>E55/Calculation!K$19*1000</f>
        <v>4.6866089980057068E-3</v>
      </c>
      <c r="G55" s="12">
        <f t="shared" si="3"/>
        <v>19.335920350104058</v>
      </c>
    </row>
    <row r="56" spans="1:7">
      <c r="A56" s="35">
        <v>25.5</v>
      </c>
      <c r="B56" s="40">
        <v>899.68</v>
      </c>
      <c r="C56" s="36">
        <f t="shared" si="1"/>
        <v>0.89967999999999992</v>
      </c>
      <c r="D56" s="12">
        <f t="shared" si="2"/>
        <v>6.3067567999999991E-2</v>
      </c>
      <c r="E56" s="12">
        <f t="shared" si="0"/>
        <v>2.8155164285714285E-3</v>
      </c>
      <c r="F56" s="12">
        <f>E56/Calculation!K$19*1000</f>
        <v>3.9273923093570921E-3</v>
      </c>
      <c r="G56" s="12">
        <f t="shared" si="3"/>
        <v>19.465130369714501</v>
      </c>
    </row>
    <row r="57" spans="1:7">
      <c r="A57" s="35">
        <v>26</v>
      </c>
      <c r="B57" s="40">
        <v>784.47</v>
      </c>
      <c r="C57" s="36">
        <f t="shared" si="1"/>
        <v>0.78447</v>
      </c>
      <c r="D57" s="12">
        <f t="shared" si="2"/>
        <v>5.4991346999999996E-2</v>
      </c>
      <c r="E57" s="12">
        <f t="shared" si="0"/>
        <v>2.4549708482142856E-3</v>
      </c>
      <c r="F57" s="12">
        <f>E57/Calculation!K$19*1000</f>
        <v>3.4244636369835479E-3</v>
      </c>
      <c r="G57" s="12">
        <f t="shared" si="3"/>
        <v>19.575408208909611</v>
      </c>
    </row>
    <row r="58" spans="1:7">
      <c r="A58" s="35">
        <v>26.5</v>
      </c>
      <c r="B58" s="40">
        <v>637.29</v>
      </c>
      <c r="C58" s="36">
        <f t="shared" si="1"/>
        <v>0.63728999999999991</v>
      </c>
      <c r="D58" s="12">
        <f t="shared" si="2"/>
        <v>4.467402899999999E-2</v>
      </c>
      <c r="E58" s="12">
        <f t="shared" si="0"/>
        <v>1.9943762946428569E-3</v>
      </c>
      <c r="F58" s="12">
        <f>E58/Calculation!K$19*1000</f>
        <v>2.7819756411503879E-3</v>
      </c>
      <c r="G58" s="12">
        <f t="shared" si="3"/>
        <v>19.668504798081621</v>
      </c>
    </row>
    <row r="59" spans="1:7">
      <c r="A59" s="35">
        <v>27</v>
      </c>
      <c r="B59" s="40">
        <v>570.13</v>
      </c>
      <c r="C59" s="36">
        <f t="shared" si="1"/>
        <v>0.57013000000000003</v>
      </c>
      <c r="D59" s="12">
        <f t="shared" si="2"/>
        <v>3.9966113000000004E-2</v>
      </c>
      <c r="E59" s="12">
        <f t="shared" si="0"/>
        <v>1.7842014732142861E-3</v>
      </c>
      <c r="F59" s="12">
        <f>E59/Calculation!K$19*1000</f>
        <v>2.4888006594942199E-3</v>
      </c>
      <c r="G59" s="12">
        <f t="shared" si="3"/>
        <v>19.747566442591289</v>
      </c>
    </row>
    <row r="60" spans="1:7">
      <c r="A60" s="35">
        <v>27.5</v>
      </c>
      <c r="B60" s="40">
        <v>518.87</v>
      </c>
      <c r="C60" s="36">
        <f t="shared" si="1"/>
        <v>0.51887000000000005</v>
      </c>
      <c r="D60" s="12">
        <f t="shared" si="2"/>
        <v>3.6372787000000004E-2</v>
      </c>
      <c r="E60" s="12">
        <f t="shared" si="0"/>
        <v>1.6237851339285718E-3</v>
      </c>
      <c r="F60" s="12">
        <f>E60/Calculation!K$19*1000</f>
        <v>2.2650342872533734E-3</v>
      </c>
      <c r="G60" s="12">
        <f t="shared" si="3"/>
        <v>19.818873966792502</v>
      </c>
    </row>
    <row r="61" spans="1:7">
      <c r="A61" s="35">
        <v>28</v>
      </c>
      <c r="B61" s="40">
        <v>432.25</v>
      </c>
      <c r="C61" s="36">
        <f t="shared" si="1"/>
        <v>0.43225000000000002</v>
      </c>
      <c r="D61" s="12">
        <f t="shared" si="2"/>
        <v>3.0300724999999997E-2</v>
      </c>
      <c r="E61" s="12">
        <f t="shared" si="0"/>
        <v>1.3527109375E-3</v>
      </c>
      <c r="F61" s="12">
        <f>E61/Calculation!K$19*1000</f>
        <v>1.8869101521870033E-3</v>
      </c>
      <c r="G61" s="12">
        <f t="shared" si="3"/>
        <v>19.881153133384107</v>
      </c>
    </row>
    <row r="62" spans="1:7">
      <c r="A62" s="35">
        <v>28.5</v>
      </c>
      <c r="B62" s="40">
        <v>387.75</v>
      </c>
      <c r="C62" s="36">
        <f t="shared" si="1"/>
        <v>0.38774999999999998</v>
      </c>
      <c r="D62" s="12">
        <f t="shared" si="2"/>
        <v>2.7181274999999994E-2</v>
      </c>
      <c r="E62" s="12">
        <f t="shared" si="0"/>
        <v>1.213449776785714E-3</v>
      </c>
      <c r="F62" s="12">
        <f>E62/Calculation!K$19*1000</f>
        <v>1.6926533522510364E-3</v>
      </c>
      <c r="G62" s="12">
        <f t="shared" si="3"/>
        <v>19.934846585950677</v>
      </c>
    </row>
    <row r="63" spans="1:7">
      <c r="A63" s="35">
        <v>29</v>
      </c>
      <c r="B63" s="40">
        <v>334.97</v>
      </c>
      <c r="C63" s="36">
        <f t="shared" si="1"/>
        <v>0.33497000000000005</v>
      </c>
      <c r="D63" s="12">
        <f t="shared" si="2"/>
        <v>2.3481397000000001E-2</v>
      </c>
      <c r="E63" s="12">
        <f t="shared" si="0"/>
        <v>1.0482766517857145E-3</v>
      </c>
      <c r="F63" s="12">
        <f>E63/Calculation!K$19*1000</f>
        <v>1.4622516915629394E-3</v>
      </c>
      <c r="G63" s="12">
        <f t="shared" si="3"/>
        <v>19.982170161607886</v>
      </c>
    </row>
    <row r="64" spans="1:7">
      <c r="A64" s="35">
        <v>29.5</v>
      </c>
      <c r="B64" s="40">
        <v>302.49</v>
      </c>
      <c r="C64" s="36">
        <f t="shared" si="1"/>
        <v>0.30249000000000004</v>
      </c>
      <c r="D64" s="12">
        <f t="shared" si="2"/>
        <v>2.1204549E-2</v>
      </c>
      <c r="E64" s="12">
        <f t="shared" si="0"/>
        <v>9.4663165178571435E-4</v>
      </c>
      <c r="F64" s="12">
        <f>E64/Calculation!K$19*1000</f>
        <v>1.320466054216418E-3</v>
      </c>
      <c r="G64" s="12">
        <f t="shared" si="3"/>
        <v>20.023910927794578</v>
      </c>
    </row>
    <row r="65" spans="1:7">
      <c r="A65" s="35">
        <v>30</v>
      </c>
      <c r="B65" s="40">
        <v>259.52</v>
      </c>
      <c r="C65" s="36">
        <f t="shared" si="1"/>
        <v>0.25951999999999997</v>
      </c>
      <c r="D65" s="12">
        <f t="shared" si="2"/>
        <v>1.8192351999999995E-2</v>
      </c>
      <c r="E65" s="12">
        <f t="shared" si="0"/>
        <v>8.1215857142857124E-4</v>
      </c>
      <c r="F65" s="12">
        <f>E65/Calculation!K$4*1000</f>
        <v>5.509895328552044E-4</v>
      </c>
      <c r="G65" s="12">
        <f t="shared" si="3"/>
        <v>20.051982761600652</v>
      </c>
    </row>
    <row r="66" spans="1:7">
      <c r="A66" s="35">
        <v>30.5</v>
      </c>
      <c r="B66" s="40">
        <v>230.25</v>
      </c>
      <c r="C66" s="36">
        <f t="shared" si="1"/>
        <v>0.23025000000000001</v>
      </c>
      <c r="D66" s="12">
        <f t="shared" si="2"/>
        <v>1.6140524999999999E-2</v>
      </c>
      <c r="E66" s="12">
        <f t="shared" si="0"/>
        <v>7.2055915178571427E-4</v>
      </c>
      <c r="F66" s="12">
        <f>E66/Calculation!K$20*1000</f>
        <v>1.0658560172187837E-3</v>
      </c>
      <c r="G66" s="12">
        <f t="shared" si="3"/>
        <v>20.076235444851761</v>
      </c>
    </row>
    <row r="67" spans="1:7">
      <c r="A67" s="35">
        <v>31</v>
      </c>
      <c r="B67" s="40">
        <v>205.04</v>
      </c>
      <c r="C67" s="36">
        <f t="shared" si="1"/>
        <v>0.20504</v>
      </c>
      <c r="D67" s="12">
        <f t="shared" si="2"/>
        <v>1.4373303999999998E-2</v>
      </c>
      <c r="E67" s="12">
        <f t="shared" si="0"/>
        <v>6.4166535714285709E-4</v>
      </c>
      <c r="F67" s="12">
        <f>E67/Calculation!K$20*1000</f>
        <v>9.4915577750505711E-4</v>
      </c>
      <c r="G67" s="12">
        <f t="shared" si="3"/>
        <v>20.106460621772619</v>
      </c>
    </row>
    <row r="68" spans="1:7">
      <c r="A68" s="35">
        <v>31.5</v>
      </c>
      <c r="B68" s="40">
        <v>165.79</v>
      </c>
      <c r="C68" s="36">
        <f t="shared" si="1"/>
        <v>0.16578999999999999</v>
      </c>
      <c r="D68" s="12">
        <f t="shared" si="2"/>
        <v>1.1621878999999998E-2</v>
      </c>
      <c r="E68" s="12">
        <f t="shared" si="0"/>
        <v>5.1883388392857141E-4</v>
      </c>
      <c r="F68" s="12">
        <f>E68/Calculation!K$20*1000</f>
        <v>7.6746262364691482E-4</v>
      </c>
      <c r="G68" s="12">
        <f t="shared" si="3"/>
        <v>20.132209897789899</v>
      </c>
    </row>
    <row r="69" spans="1:7">
      <c r="A69" s="35">
        <v>32</v>
      </c>
      <c r="B69" s="40">
        <v>0</v>
      </c>
      <c r="C69" s="36">
        <f t="shared" si="1"/>
        <v>0</v>
      </c>
      <c r="D69" s="12">
        <f t="shared" si="2"/>
        <v>0</v>
      </c>
      <c r="E69" s="12">
        <f t="shared" si="0"/>
        <v>0</v>
      </c>
      <c r="F69" s="12">
        <f>E69/Calculation!K$20*1000</f>
        <v>0</v>
      </c>
      <c r="G69" s="12">
        <f t="shared" si="3"/>
        <v>20.143721837144604</v>
      </c>
    </row>
    <row r="70" spans="1:7">
      <c r="A70" s="35">
        <v>32.5</v>
      </c>
      <c r="B70" s="40">
        <v>0</v>
      </c>
      <c r="C70" s="36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20.143721837144604</v>
      </c>
    </row>
    <row r="71" spans="1:7">
      <c r="A71" s="35">
        <v>33</v>
      </c>
      <c r="B71" s="40">
        <v>0</v>
      </c>
      <c r="C71" s="36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20.143721837144604</v>
      </c>
    </row>
    <row r="72" spans="1:7">
      <c r="A72" s="35">
        <v>33.5</v>
      </c>
      <c r="B72" s="40">
        <v>0</v>
      </c>
      <c r="C72" s="36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20.143721837144604</v>
      </c>
    </row>
    <row r="73" spans="1:7">
      <c r="A73" s="35">
        <v>34</v>
      </c>
      <c r="B73" s="40">
        <v>0</v>
      </c>
      <c r="C73" s="36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20.143721837144604</v>
      </c>
    </row>
    <row r="74" spans="1:7">
      <c r="A74" s="35">
        <v>34.5</v>
      </c>
      <c r="B74" s="40">
        <v>0</v>
      </c>
      <c r="C74" s="36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20.143721837144604</v>
      </c>
    </row>
    <row r="75" spans="1:7">
      <c r="A75" s="35">
        <v>35</v>
      </c>
      <c r="B75" s="40">
        <v>0</v>
      </c>
      <c r="C75" s="36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20.143721837144604</v>
      </c>
    </row>
    <row r="76" spans="1:7">
      <c r="A76" s="35">
        <v>35.5</v>
      </c>
      <c r="B76" s="40">
        <v>0</v>
      </c>
      <c r="C76" s="36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20.143721837144604</v>
      </c>
    </row>
    <row r="77" spans="1:7">
      <c r="A77" s="35">
        <v>36</v>
      </c>
      <c r="B77" s="40">
        <v>0</v>
      </c>
      <c r="C77" s="36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20.143721837144604</v>
      </c>
    </row>
    <row r="78" spans="1:7">
      <c r="A78" s="35">
        <v>36.5</v>
      </c>
      <c r="B78" s="40">
        <v>0</v>
      </c>
      <c r="C78" s="36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20.143721837144604</v>
      </c>
    </row>
    <row r="79" spans="1:7">
      <c r="A79" s="35">
        <v>37</v>
      </c>
      <c r="B79" s="40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20.143721837144604</v>
      </c>
    </row>
    <row r="80" spans="1:7">
      <c r="A80" s="35">
        <v>37.5</v>
      </c>
      <c r="B80" s="40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20.143721837144604</v>
      </c>
    </row>
    <row r="81" spans="1:7">
      <c r="A81" s="35">
        <v>38</v>
      </c>
      <c r="B81" s="40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20.143721837144604</v>
      </c>
    </row>
    <row r="82" spans="1:7">
      <c r="A82" s="35">
        <v>38.5</v>
      </c>
      <c r="B82" s="40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20.143721837144604</v>
      </c>
    </row>
    <row r="83" spans="1:7">
      <c r="A83" s="35">
        <v>39</v>
      </c>
      <c r="B83" s="40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20.143721837144604</v>
      </c>
    </row>
    <row r="84" spans="1:7">
      <c r="A84" s="35">
        <v>39.5</v>
      </c>
      <c r="B84" s="40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20.143721837144604</v>
      </c>
    </row>
    <row r="85" spans="1:7">
      <c r="A85" s="35">
        <v>40</v>
      </c>
      <c r="B85" s="40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20.143721837144604</v>
      </c>
    </row>
    <row r="86" spans="1:7">
      <c r="A86" s="35">
        <v>40.5</v>
      </c>
      <c r="B86" s="40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20.143721837144604</v>
      </c>
    </row>
    <row r="87" spans="1:7">
      <c r="A87" s="35">
        <v>41</v>
      </c>
      <c r="B87" s="40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20.143721837144604</v>
      </c>
    </row>
    <row r="88" spans="1:7">
      <c r="A88" s="35">
        <v>41.5</v>
      </c>
      <c r="B88" s="40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20.143721837144604</v>
      </c>
    </row>
    <row r="89" spans="1:7">
      <c r="A89" s="35">
        <v>42</v>
      </c>
      <c r="B89" s="40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20.143721837144604</v>
      </c>
    </row>
    <row r="90" spans="1:7">
      <c r="A90" s="35">
        <v>42.5</v>
      </c>
      <c r="B90" s="40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20.143721837144604</v>
      </c>
    </row>
    <row r="91" spans="1:7">
      <c r="A91" s="35">
        <v>43</v>
      </c>
      <c r="B91" s="40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20.143721837144604</v>
      </c>
    </row>
    <row r="92" spans="1:7">
      <c r="A92" s="35">
        <v>43.5</v>
      </c>
      <c r="B92" s="40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20.143721837144604</v>
      </c>
    </row>
    <row r="93" spans="1:7">
      <c r="A93" s="35">
        <v>44</v>
      </c>
      <c r="B93" s="40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20.143721837144604</v>
      </c>
    </row>
    <row r="94" spans="1:7">
      <c r="A94" s="35">
        <v>44.5</v>
      </c>
      <c r="B94" s="40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20.143721837144604</v>
      </c>
    </row>
    <row r="95" spans="1:7">
      <c r="A95" s="35">
        <v>45</v>
      </c>
      <c r="B95" s="40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20.143721837144604</v>
      </c>
    </row>
    <row r="96" spans="1:7">
      <c r="A96" s="35">
        <v>45.5</v>
      </c>
      <c r="B96" s="40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20.143721837144604</v>
      </c>
    </row>
    <row r="97" spans="1:7">
      <c r="A97" s="35">
        <v>46</v>
      </c>
      <c r="B97" s="40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20.143721837144604</v>
      </c>
    </row>
    <row r="98" spans="1:7">
      <c r="A98" s="35">
        <v>46.5</v>
      </c>
      <c r="B98" s="40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20.143721837144604</v>
      </c>
    </row>
    <row r="99" spans="1:7">
      <c r="A99" s="35">
        <v>47</v>
      </c>
      <c r="B99" s="40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20.143721837144604</v>
      </c>
    </row>
    <row r="100" spans="1:7">
      <c r="A100" s="35">
        <v>47.5</v>
      </c>
      <c r="B100" s="40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20.143721837144604</v>
      </c>
    </row>
    <row r="101" spans="1:7">
      <c r="A101" s="35">
        <v>48</v>
      </c>
      <c r="B101" s="40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20.143721837144604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J3" sqref="J3:K2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18" t="s">
        <v>41</v>
      </c>
      <c r="B1" s="118"/>
      <c r="D1" s="139" t="s">
        <v>4</v>
      </c>
      <c r="E1" s="139" t="s">
        <v>5</v>
      </c>
      <c r="F1" s="118" t="s">
        <v>143</v>
      </c>
      <c r="G1" s="118"/>
      <c r="H1" s="118"/>
      <c r="I1" s="118"/>
      <c r="J1" s="118" t="s">
        <v>42</v>
      </c>
      <c r="K1" s="118"/>
      <c r="L1" s="118"/>
      <c r="M1" s="118"/>
      <c r="N1" s="140" t="s">
        <v>43</v>
      </c>
      <c r="O1" s="116"/>
      <c r="P1" s="116"/>
      <c r="Q1" s="141"/>
      <c r="R1" s="118" t="s">
        <v>65</v>
      </c>
      <c r="S1" s="118"/>
      <c r="T1" s="118"/>
      <c r="U1" s="118"/>
    </row>
    <row r="2" spans="1:21">
      <c r="A2" s="118" t="s">
        <v>34</v>
      </c>
      <c r="B2" s="118"/>
      <c r="D2" s="139"/>
      <c r="E2" s="139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18" t="s">
        <v>35</v>
      </c>
      <c r="B3" s="14" t="s">
        <v>38</v>
      </c>
      <c r="D3" s="16">
        <v>0</v>
      </c>
      <c r="E3" s="64">
        <v>-0.16666666666666666</v>
      </c>
      <c r="F3" s="53">
        <v>50.704928952042629</v>
      </c>
      <c r="G3" s="53">
        <v>0.32805066287271584</v>
      </c>
      <c r="H3" s="13">
        <f>F3*Calculation!I3/Calculation!F23</f>
        <v>50.704928952042621</v>
      </c>
      <c r="I3" s="13">
        <f>G3*Calculation!I3/Calculation!F23</f>
        <v>0.32805066287271584</v>
      </c>
      <c r="J3" s="13">
        <v>2.0870337477797518</v>
      </c>
      <c r="K3" s="13">
        <v>3.7737010310571668E-16</v>
      </c>
      <c r="L3" s="13">
        <f>J3*Calculation!I3/Calculation!F23</f>
        <v>2.0870337477797518</v>
      </c>
      <c r="M3" s="13">
        <f>K3*Calculation!I3/Calculation!F23</f>
        <v>3.7737010310571668E-16</v>
      </c>
      <c r="N3" s="13">
        <v>48.848182070496811</v>
      </c>
      <c r="O3" s="13">
        <v>0.29851411956145008</v>
      </c>
      <c r="P3" s="13">
        <f>N3*Calculation!I3/Calculation!F23</f>
        <v>48.848182070496811</v>
      </c>
      <c r="Q3" s="13">
        <f>O3*Calculation!I3/Calculation!F23</f>
        <v>0.29851411956145008</v>
      </c>
      <c r="R3" s="13">
        <v>1.1007314070533709</v>
      </c>
      <c r="S3" s="13">
        <v>1.2542912648047411E-2</v>
      </c>
      <c r="T3" s="13">
        <f>R3*Calculation!I3/Calculation!F23</f>
        <v>1.1007314070533709</v>
      </c>
      <c r="U3" s="13">
        <f>S3*Calculation!I3/Calculation!F23</f>
        <v>1.2542912648047411E-2</v>
      </c>
    </row>
    <row r="4" spans="1:21">
      <c r="A4" s="118"/>
      <c r="B4" s="14" t="s">
        <v>39</v>
      </c>
      <c r="D4" s="16">
        <v>0</v>
      </c>
      <c r="E4" s="65">
        <v>0.16666666666666666</v>
      </c>
      <c r="F4" s="53">
        <v>49.981497927767919</v>
      </c>
      <c r="G4" s="53">
        <v>0.46328021391419355</v>
      </c>
      <c r="H4" s="13">
        <f>F4*Calculation!I4/Calculation!K3</f>
        <v>49.981497927767911</v>
      </c>
      <c r="I4" s="13">
        <f>G4*Calculation!I4/Calculation!K3</f>
        <v>0.46328021391419355</v>
      </c>
      <c r="J4" s="13">
        <v>2.0944345766725876</v>
      </c>
      <c r="K4" s="13">
        <v>6.4093058302578405E-3</v>
      </c>
      <c r="L4" s="13">
        <f>J4*Calculation!I4/Calculation!K3</f>
        <v>2.0944345766725876</v>
      </c>
      <c r="M4" s="13">
        <f>K4*Calculation!I4/Calculation!K3</f>
        <v>6.4093058302578405E-3</v>
      </c>
      <c r="N4" s="13">
        <v>48.742714404662777</v>
      </c>
      <c r="O4" s="13">
        <v>0.38409867092992056</v>
      </c>
      <c r="P4" s="13">
        <f>N4*Calculation!I4/Calculation!K3</f>
        <v>48.74271440466277</v>
      </c>
      <c r="Q4" s="13">
        <f>O4*Calculation!I4/Calculation!K3</f>
        <v>0.3840986709299205</v>
      </c>
      <c r="R4" s="13">
        <v>1.1079730610471432</v>
      </c>
      <c r="S4" s="13">
        <v>5.7478846644896567E-2</v>
      </c>
      <c r="T4" s="13">
        <f>R4*Calculation!I4/Calculation!K3</f>
        <v>1.1079730610471432</v>
      </c>
      <c r="U4" s="13">
        <f>S4*Calculation!I4/Calculation!K3</f>
        <v>5.7478846644896567E-2</v>
      </c>
    </row>
    <row r="5" spans="1:21">
      <c r="A5" s="15" t="s">
        <v>37</v>
      </c>
      <c r="B5" s="15">
        <v>180.16</v>
      </c>
      <c r="D5" s="16">
        <v>1</v>
      </c>
      <c r="E5" s="65">
        <v>2</v>
      </c>
      <c r="F5" s="53">
        <v>50.266429840142095</v>
      </c>
      <c r="G5" s="53">
        <v>0.49400532859680019</v>
      </c>
      <c r="H5" s="13">
        <f>F5*Calculation!I5/Calculation!K4</f>
        <v>50.266429840142088</v>
      </c>
      <c r="I5" s="13">
        <f>G5*Calculation!I5/Calculation!K4</f>
        <v>0.49400532859680013</v>
      </c>
      <c r="J5" s="13">
        <v>2.0796329188869156</v>
      </c>
      <c r="K5" s="13">
        <v>6.4093058302578405E-3</v>
      </c>
      <c r="L5" s="13">
        <f>J5*Calculation!I5/Calculation!K4</f>
        <v>2.0796329188869156</v>
      </c>
      <c r="M5" s="13">
        <f>K5*Calculation!I5/Calculation!K4</f>
        <v>6.4093058302578413E-3</v>
      </c>
      <c r="N5" s="13">
        <v>49.025811823480446</v>
      </c>
      <c r="O5" s="13">
        <v>0.46179599080306605</v>
      </c>
      <c r="P5" s="13">
        <f>N5*Calculation!I5/Calculation!K4</f>
        <v>49.025811823480446</v>
      </c>
      <c r="Q5" s="13">
        <f>O5*Calculation!I5/Calculation!K4</f>
        <v>0.46179599080306605</v>
      </c>
      <c r="R5" s="13">
        <v>1.2383228329350424</v>
      </c>
      <c r="S5" s="13">
        <v>2.172496198131655E-2</v>
      </c>
      <c r="T5" s="13">
        <f>R5*Calculation!I5/Calculation!K4</f>
        <v>1.2383228329350424</v>
      </c>
      <c r="U5" s="13">
        <f>S5*Calculation!I5/Calculation!K4</f>
        <v>2.172496198131655E-2</v>
      </c>
    </row>
    <row r="6" spans="1:21">
      <c r="A6" s="15" t="s">
        <v>40</v>
      </c>
      <c r="B6" s="15">
        <v>180.16</v>
      </c>
      <c r="D6" s="16">
        <v>2</v>
      </c>
      <c r="E6" s="65">
        <v>3.3333333333333335</v>
      </c>
      <c r="F6" s="53">
        <v>50.543960923623445</v>
      </c>
      <c r="G6" s="53">
        <v>1.0372833307760496</v>
      </c>
      <c r="H6" s="13">
        <f>F6*Calculation!I6/Calculation!K5</f>
        <v>50.543960923623445</v>
      </c>
      <c r="I6" s="13">
        <f>G6*Calculation!I6/Calculation!K5</f>
        <v>1.0372833307760496</v>
      </c>
      <c r="J6" s="13">
        <v>2.1055358200118413</v>
      </c>
      <c r="K6" s="13">
        <v>1.6957429303418606E-2</v>
      </c>
      <c r="L6" s="13">
        <f>J6*Calculation!I6/Calculation!K5</f>
        <v>2.1055358200118413</v>
      </c>
      <c r="M6" s="13">
        <f>K6*Calculation!I6/Calculation!K5</f>
        <v>1.6957429303418606E-2</v>
      </c>
      <c r="N6" s="13">
        <v>49.258950874271441</v>
      </c>
      <c r="O6" s="13">
        <v>1.0646069747493503</v>
      </c>
      <c r="P6" s="13">
        <f>N6*Calculation!I6/Calculation!K5</f>
        <v>49.258950874271441</v>
      </c>
      <c r="Q6" s="13">
        <f>O6*Calculation!I6/Calculation!K5</f>
        <v>1.0646069747493503</v>
      </c>
      <c r="R6" s="13">
        <v>1.354189296835397</v>
      </c>
      <c r="S6" s="13">
        <v>8.7800388536332402E-2</v>
      </c>
      <c r="T6" s="13">
        <f>R6*Calculation!I6/Calculation!K5</f>
        <v>1.354189296835397</v>
      </c>
      <c r="U6" s="13">
        <f>S6*Calculation!I6/Calculation!K5</f>
        <v>8.7800388536332402E-2</v>
      </c>
    </row>
    <row r="7" spans="1:21">
      <c r="A7" s="31" t="s">
        <v>117</v>
      </c>
      <c r="B7" s="31">
        <v>46.03</v>
      </c>
      <c r="D7" s="16">
        <v>3</v>
      </c>
      <c r="E7" s="65">
        <v>4.666666666666667</v>
      </c>
      <c r="F7" s="53">
        <v>51.333999407933696</v>
      </c>
      <c r="G7" s="53">
        <v>0.20366571492946223</v>
      </c>
      <c r="H7" s="13">
        <f>F7*Calculation!I7/Calculation!K6</f>
        <v>51.371387608522141</v>
      </c>
      <c r="I7" s="13">
        <f>G7*Calculation!I7/Calculation!K6</f>
        <v>0.20381405121127535</v>
      </c>
      <c r="J7" s="13">
        <v>2.1018354055654234</v>
      </c>
      <c r="K7" s="13">
        <v>6.4093058302578405E-3</v>
      </c>
      <c r="L7" s="13">
        <f>J7*Calculation!I7/Calculation!K6</f>
        <v>2.1033662398010864</v>
      </c>
      <c r="M7" s="13">
        <f>K7*Calculation!I7/Calculation!K6</f>
        <v>6.4139739335573728E-3</v>
      </c>
      <c r="N7" s="13">
        <v>49.919511518179306</v>
      </c>
      <c r="O7" s="13">
        <v>0.1764986188796511</v>
      </c>
      <c r="P7" s="13">
        <f>N7*Calculation!I7/Calculation!K6</f>
        <v>49.955869501805068</v>
      </c>
      <c r="Q7" s="13">
        <f>O7*Calculation!I7/Calculation!K6</f>
        <v>0.17662716849281909</v>
      </c>
      <c r="R7" s="13">
        <v>1.6004055326236513</v>
      </c>
      <c r="S7" s="13">
        <v>0.10716669264210828</v>
      </c>
      <c r="T7" s="13">
        <f>R7*Calculation!I7/Calculation!K6</f>
        <v>1.6015711593772008</v>
      </c>
      <c r="U7" s="13">
        <f>S7*Calculation!I7/Calculation!K6</f>
        <v>0.10724474558649438</v>
      </c>
    </row>
    <row r="8" spans="1:21">
      <c r="A8" s="15" t="s">
        <v>43</v>
      </c>
      <c r="B8" s="15">
        <v>60.05</v>
      </c>
      <c r="D8" s="16">
        <v>4</v>
      </c>
      <c r="E8" s="65">
        <v>6</v>
      </c>
      <c r="F8" s="53">
        <v>50.590216104203677</v>
      </c>
      <c r="G8" s="53">
        <v>0.26225341304215133</v>
      </c>
      <c r="H8" s="13">
        <f>F8*Calculation!I8/Calculation!K7</f>
        <v>50.627062583522104</v>
      </c>
      <c r="I8" s="13">
        <f>G8*Calculation!I8/Calculation!K7</f>
        <v>0.26244442062630435</v>
      </c>
      <c r="J8" s="13">
        <v>2.1536412078152756</v>
      </c>
      <c r="K8" s="13">
        <v>3.7737010310571668E-16</v>
      </c>
      <c r="L8" s="13">
        <f>J8*Calculation!I8/Calculation!K7</f>
        <v>2.1552097738806908</v>
      </c>
      <c r="M8" s="13">
        <f>K8*Calculation!I8/Calculation!K7</f>
        <v>3.7764495387272734E-16</v>
      </c>
      <c r="N8" s="13">
        <v>49.142381348875936</v>
      </c>
      <c r="O8" s="13">
        <v>0.45999091813266185</v>
      </c>
      <c r="P8" s="13">
        <f>N8*Calculation!I8/Calculation!K7</f>
        <v>49.178173323638411</v>
      </c>
      <c r="Q8" s="13">
        <f>O8*Calculation!I8/Calculation!K7</f>
        <v>0.46032594429299156</v>
      </c>
      <c r="R8" s="13">
        <v>1.759721920486639</v>
      </c>
      <c r="S8" s="13">
        <v>2.172496198131655E-2</v>
      </c>
      <c r="T8" s="13">
        <f>R8*Calculation!I8/Calculation!K7</f>
        <v>1.7610035824826233</v>
      </c>
      <c r="U8" s="13">
        <f>S8*Calculation!I8/Calculation!K7</f>
        <v>2.1740784968921296E-2</v>
      </c>
    </row>
    <row r="9" spans="1:21">
      <c r="A9" s="31" t="s">
        <v>67</v>
      </c>
      <c r="B9" s="31">
        <v>74.08</v>
      </c>
      <c r="D9" s="16">
        <v>5</v>
      </c>
      <c r="E9" s="65">
        <v>7.333333333333333</v>
      </c>
      <c r="F9" s="53">
        <v>50.616119005328599</v>
      </c>
      <c r="G9" s="53">
        <v>0.20257868107121271</v>
      </c>
      <c r="H9" s="13">
        <f>F9*Calculation!I9/Calculation!K8</f>
        <v>50.652984350561894</v>
      </c>
      <c r="I9" s="13">
        <f>G9*Calculation!I9/Calculation!K8</f>
        <v>0.20272622563135195</v>
      </c>
      <c r="J9" s="13">
        <v>2.1499407933688572</v>
      </c>
      <c r="K9" s="13">
        <v>6.4093058302578405E-3</v>
      </c>
      <c r="L9" s="13">
        <f>J9*Calculation!I9/Calculation!K8</f>
        <v>2.1515066643035761</v>
      </c>
      <c r="M9" s="13">
        <f>K9*Calculation!I9/Calculation!K8</f>
        <v>6.4139739335573719E-3</v>
      </c>
      <c r="N9" s="13">
        <v>48.798223702470167</v>
      </c>
      <c r="O9" s="13">
        <v>0.28326063440850524</v>
      </c>
      <c r="P9" s="13">
        <f>N9*Calculation!I9/Calculation!K8</f>
        <v>48.833765016164605</v>
      </c>
      <c r="Q9" s="13">
        <f>O9*Calculation!I9/Calculation!K8</f>
        <v>0.2834669422267197</v>
      </c>
      <c r="R9" s="13">
        <v>1.8393801144181332</v>
      </c>
      <c r="S9" s="13">
        <v>4.5224114696200884E-2</v>
      </c>
      <c r="T9" s="13">
        <f>R9*Calculation!I9/Calculation!K8</f>
        <v>1.840719794035335</v>
      </c>
      <c r="U9" s="13">
        <f>S9*Calculation!I9/Calculation!K8</f>
        <v>4.5257052871507657E-2</v>
      </c>
    </row>
    <row r="10" spans="1:21">
      <c r="A10" s="31" t="s">
        <v>66</v>
      </c>
      <c r="B10" s="31">
        <v>88.11</v>
      </c>
      <c r="D10" s="16">
        <v>6</v>
      </c>
      <c r="E10" s="65">
        <v>8.6666666666666661</v>
      </c>
      <c r="F10" s="53">
        <v>50.876998223801067</v>
      </c>
      <c r="G10" s="53">
        <v>0.47372531734795215</v>
      </c>
      <c r="H10" s="13">
        <f>F10*Calculation!I10/Calculation!K9</f>
        <v>50.914053575748483</v>
      </c>
      <c r="I10" s="13">
        <f>G10*Calculation!I10/Calculation!K9</f>
        <v>0.47407034671237164</v>
      </c>
      <c r="J10" s="13">
        <v>2.142539964476021</v>
      </c>
      <c r="K10" s="13">
        <v>1.1101243339254007E-2</v>
      </c>
      <c r="L10" s="13">
        <f>J10*Calculation!I10/Calculation!K9</f>
        <v>2.1441004451493466</v>
      </c>
      <c r="M10" s="13">
        <f>K10*Calculation!I10/Calculation!K9</f>
        <v>1.1109328731343777E-2</v>
      </c>
      <c r="N10" s="13">
        <v>48.94254787676936</v>
      </c>
      <c r="O10" s="13">
        <v>0.33263920658515039</v>
      </c>
      <c r="P10" s="13">
        <f>N10*Calculation!I10/Calculation!K9</f>
        <v>48.978194306395558</v>
      </c>
      <c r="Q10" s="13">
        <f>O10*Calculation!I10/Calculation!K9</f>
        <v>0.33288147840349352</v>
      </c>
      <c r="R10" s="13">
        <v>1.9986965022811212</v>
      </c>
      <c r="S10" s="13">
        <v>0.16401986607149141</v>
      </c>
      <c r="T10" s="13">
        <f>R10*Calculation!I10/Calculation!K9</f>
        <v>2.0001522171407577</v>
      </c>
      <c r="U10" s="13">
        <f>S10*Calculation!I10/Calculation!K9</f>
        <v>0.1641393270081786</v>
      </c>
    </row>
    <row r="11" spans="1:21">
      <c r="A11" s="15" t="s">
        <v>42</v>
      </c>
      <c r="B11" s="15">
        <v>90.08</v>
      </c>
      <c r="D11" s="16">
        <v>7</v>
      </c>
      <c r="E11" s="65">
        <v>10</v>
      </c>
      <c r="F11" s="53">
        <v>49.333925399644762</v>
      </c>
      <c r="G11" s="53">
        <v>0.97608909123575938</v>
      </c>
      <c r="H11" s="13">
        <f>F11*Calculation!I11/Calculation!K10</f>
        <v>49.412017306414583</v>
      </c>
      <c r="I11" s="13">
        <f>G11*Calculation!I11/Calculation!K10</f>
        <v>0.97763416711801165</v>
      </c>
      <c r="J11" s="13">
        <v>2.0352279455298996</v>
      </c>
      <c r="K11" s="13">
        <v>9.3100544889055184E-2</v>
      </c>
      <c r="L11" s="13">
        <f>J11*Calculation!I11/Calculation!K10</f>
        <v>2.0384495588454863</v>
      </c>
      <c r="M11" s="13">
        <f>K11*Calculation!I11/Calculation!K10</f>
        <v>9.3247916074558859E-2</v>
      </c>
      <c r="N11" s="13">
        <v>47.332778240355253</v>
      </c>
      <c r="O11" s="13">
        <v>0.84820314051830326</v>
      </c>
      <c r="P11" s="13">
        <f>N11*Calculation!I11/Calculation!K10</f>
        <v>47.407702481140056</v>
      </c>
      <c r="Q11" s="13">
        <f>O11*Calculation!I11/Calculation!K10</f>
        <v>0.84954578252448143</v>
      </c>
      <c r="R11" s="13">
        <v>2.1290462741690206</v>
      </c>
      <c r="S11" s="13">
        <v>9.4696913828821838E-2</v>
      </c>
      <c r="T11" s="13">
        <f>R11*Calculation!I11/Calculation!K10</f>
        <v>2.1324163948679957</v>
      </c>
      <c r="U11" s="13">
        <f>S11*Calculation!I11/Calculation!K10</f>
        <v>9.484681194672355E-2</v>
      </c>
    </row>
    <row r="12" spans="1:21">
      <c r="A12" s="15" t="s">
        <v>44</v>
      </c>
      <c r="B12" s="15">
        <v>46.07</v>
      </c>
      <c r="D12" s="16">
        <v>8</v>
      </c>
      <c r="E12" s="65">
        <v>11.333333333333334</v>
      </c>
      <c r="F12" s="53">
        <v>49.065645352279454</v>
      </c>
      <c r="G12" s="53">
        <v>0.54027634976007433</v>
      </c>
      <c r="H12" s="13">
        <f>F12*Calculation!I12/Calculation!K11</f>
        <v>49.143312591839496</v>
      </c>
      <c r="I12" s="13">
        <f>G12*Calculation!I12/Calculation!K11</f>
        <v>0.54113156673284957</v>
      </c>
      <c r="J12" s="13">
        <v>1.9723208999407931</v>
      </c>
      <c r="K12" s="13">
        <v>2.3109080811124942E-2</v>
      </c>
      <c r="L12" s="13">
        <f>J12*Calculation!I12/Calculation!K11</f>
        <v>1.9754429361175347</v>
      </c>
      <c r="M12" s="13">
        <f>K12*Calculation!I12/Calculation!K11</f>
        <v>2.3145660754229403E-2</v>
      </c>
      <c r="N12" s="13">
        <v>47.160699417152365</v>
      </c>
      <c r="O12" s="13">
        <v>0.3652241831717124</v>
      </c>
      <c r="P12" s="13">
        <f>N12*Calculation!I12/Calculation!K11</f>
        <v>47.235351270055808</v>
      </c>
      <c r="Q12" s="13">
        <f>O12*Calculation!I12/Calculation!K11</f>
        <v>0.36580230568337729</v>
      </c>
      <c r="R12" s="13">
        <v>2.5635455137953507</v>
      </c>
      <c r="S12" s="13">
        <v>3.7628737944142315E-2</v>
      </c>
      <c r="T12" s="13">
        <f>R12*Calculation!I12/Calculation!K11</f>
        <v>2.5676034142288109</v>
      </c>
      <c r="U12" s="13">
        <f>S12*Calculation!I12/Calculation!K11</f>
        <v>3.7688301416369509E-2</v>
      </c>
    </row>
    <row r="13" spans="1:21">
      <c r="D13" s="16">
        <v>9</v>
      </c>
      <c r="E13" s="65">
        <v>12.666666666666666</v>
      </c>
      <c r="F13" s="53">
        <v>49.291370633510951</v>
      </c>
      <c r="G13" s="53">
        <v>0.16261837469699966</v>
      </c>
      <c r="H13" s="13">
        <f>F13*Calculation!I13/Calculation!K12</f>
        <v>49.415664528084157</v>
      </c>
      <c r="I13" s="13">
        <f>G13*Calculation!I13/Calculation!K12</f>
        <v>0.16302843574542411</v>
      </c>
      <c r="J13" s="13">
        <v>1.9612196566015394</v>
      </c>
      <c r="K13" s="13">
        <v>1.6957429303418606E-2</v>
      </c>
      <c r="L13" s="13">
        <f>J13*Calculation!I13/Calculation!K12</f>
        <v>1.9661650988990356</v>
      </c>
      <c r="M13" s="13">
        <f>K13*Calculation!I13/Calculation!K12</f>
        <v>1.7000189423556931E-2</v>
      </c>
      <c r="N13" s="13">
        <v>47.194004995836806</v>
      </c>
      <c r="O13" s="13">
        <v>0.20463290137293225</v>
      </c>
      <c r="P13" s="13">
        <f>N13*Calculation!I13/Calculation!K12</f>
        <v>47.31301014026775</v>
      </c>
      <c r="Q13" s="13">
        <f>O13*Calculation!I13/Calculation!K12</f>
        <v>0.20514890691188484</v>
      </c>
      <c r="R13" s="13">
        <v>3.36012745311029</v>
      </c>
      <c r="S13" s="13">
        <v>3.3185427583140296E-2</v>
      </c>
      <c r="T13" s="13">
        <f>R13*Calculation!I13/Calculation!K12</f>
        <v>3.3686004032847676</v>
      </c>
      <c r="U13" s="13">
        <f>S13*Calculation!I13/Calculation!K12</f>
        <v>3.3269108478687998E-2</v>
      </c>
    </row>
    <row r="14" spans="1:21">
      <c r="D14" s="16">
        <v>10</v>
      </c>
      <c r="E14" s="65">
        <v>14</v>
      </c>
      <c r="F14" s="53">
        <v>47.975873297809351</v>
      </c>
      <c r="G14" s="53">
        <v>0.27374939787353547</v>
      </c>
      <c r="H14" s="13">
        <f>F14*Calculation!I14/Calculation!K13</f>
        <v>48.23900819101415</v>
      </c>
      <c r="I14" s="13">
        <f>G14*Calculation!I14/Calculation!K13</f>
        <v>0.27525084044503773</v>
      </c>
      <c r="J14" s="13">
        <v>1.8650088809946714</v>
      </c>
      <c r="K14" s="13">
        <v>1.1101243339254007E-2</v>
      </c>
      <c r="L14" s="13">
        <f>J14*Calculation!I14/Calculation!K13</f>
        <v>1.8752379582160534</v>
      </c>
      <c r="M14" s="13">
        <f>K14*Calculation!I14/Calculation!K13</f>
        <v>1.1162130703666997E-2</v>
      </c>
      <c r="N14" s="13">
        <v>46.122675548154326</v>
      </c>
      <c r="O14" s="13">
        <v>0.2068792134730402</v>
      </c>
      <c r="P14" s="13">
        <f>N14*Calculation!I14/Calculation!K13</f>
        <v>46.375646145048854</v>
      </c>
      <c r="Q14" s="13">
        <f>O14*Calculation!I14/Calculation!K13</f>
        <v>0.20801389088486352</v>
      </c>
      <c r="R14" s="13">
        <v>5.3588239553914114</v>
      </c>
      <c r="S14" s="13">
        <v>0.13797203912852249</v>
      </c>
      <c r="T14" s="13">
        <f>R14*Calculation!I14/Calculation!K13</f>
        <v>5.3882156781944985</v>
      </c>
      <c r="U14" s="13">
        <f>S14*Calculation!I14/Calculation!K13</f>
        <v>0.13872877903309844</v>
      </c>
    </row>
    <row r="15" spans="1:21">
      <c r="D15" s="16">
        <v>11</v>
      </c>
      <c r="E15" s="65">
        <v>15.333333333333334</v>
      </c>
      <c r="F15" s="53">
        <v>45.137655417406748</v>
      </c>
      <c r="G15" s="53">
        <v>0.24517165658700982</v>
      </c>
      <c r="H15" s="13">
        <f>F15*Calculation!I15/Calculation!K14</f>
        <v>45.525880125328278</v>
      </c>
      <c r="I15" s="13">
        <f>G15*Calculation!I15/Calculation!K14</f>
        <v>0.24728035483216554</v>
      </c>
      <c r="J15" s="13">
        <v>1.8502072232089994</v>
      </c>
      <c r="K15" s="13">
        <v>6.4093058302578405E-3</v>
      </c>
      <c r="L15" s="13">
        <f>J15*Calculation!I15/Calculation!K14</f>
        <v>1.8661206806578243</v>
      </c>
      <c r="M15" s="13">
        <f>K15*Calculation!I15/Calculation!K14</f>
        <v>6.4644316639087401E-3</v>
      </c>
      <c r="N15" s="13">
        <v>44.063280599500409</v>
      </c>
      <c r="O15" s="13">
        <v>0.37087522816519747</v>
      </c>
      <c r="P15" s="13">
        <f>N15*Calculation!I15/Calculation!K14</f>
        <v>44.442264711160952</v>
      </c>
      <c r="Q15" s="13">
        <f>O15*Calculation!I15/Calculation!K14</f>
        <v>0.37406509094823959</v>
      </c>
      <c r="R15" s="13">
        <v>7.6182200014483312</v>
      </c>
      <c r="S15" s="13">
        <v>3.3185427583140303E-2</v>
      </c>
      <c r="T15" s="13">
        <f>R15*Calculation!I15/Calculation!K14</f>
        <v>7.6837435916214192</v>
      </c>
      <c r="U15" s="13">
        <f>S15*Calculation!I15/Calculation!K14</f>
        <v>3.3470852309160685E-2</v>
      </c>
    </row>
    <row r="16" spans="1:21">
      <c r="D16" s="16">
        <v>12</v>
      </c>
      <c r="E16" s="65">
        <v>16.666666666666668</v>
      </c>
      <c r="F16" s="53">
        <v>40.671255180580225</v>
      </c>
      <c r="G16" s="53">
        <v>0.54453644896183306</v>
      </c>
      <c r="H16" s="13">
        <f>F16*Calculation!I16/Calculation!K15</f>
        <v>41.202774945308754</v>
      </c>
      <c r="I16" s="13">
        <f>G16*Calculation!I16/Calculation!K15</f>
        <v>0.55165282351071843</v>
      </c>
      <c r="J16" s="13">
        <v>1.9390171699230314</v>
      </c>
      <c r="K16" s="13">
        <v>1.6957429303418606E-2</v>
      </c>
      <c r="L16" s="13">
        <f>J16*Calculation!I16/Calculation!K15</f>
        <v>1.964357571771612</v>
      </c>
      <c r="M16" s="13">
        <f>K16*Calculation!I16/Calculation!K15</f>
        <v>1.7179040581303567E-2</v>
      </c>
      <c r="N16" s="13">
        <v>40.360810435747993</v>
      </c>
      <c r="O16" s="13">
        <v>0.37619581182031436</v>
      </c>
      <c r="P16" s="13">
        <f>N16*Calculation!I16/Calculation!K15</f>
        <v>40.888273096337443</v>
      </c>
      <c r="Q16" s="13">
        <f>O16*Calculation!I16/Calculation!K15</f>
        <v>0.38111219584885708</v>
      </c>
      <c r="R16" s="13">
        <v>10.391773481063074</v>
      </c>
      <c r="S16" s="13">
        <v>0.14787875919083318</v>
      </c>
      <c r="T16" s="13">
        <f>R16*Calculation!I16/Calculation!K15</f>
        <v>10.527580280514991</v>
      </c>
      <c r="U16" s="13">
        <f>S16*Calculation!I16/Calculation!K15</f>
        <v>0.14981133990279971</v>
      </c>
    </row>
    <row r="17" spans="4:21">
      <c r="D17" s="16">
        <v>13</v>
      </c>
      <c r="E17" s="65">
        <v>18</v>
      </c>
      <c r="F17" s="53">
        <v>36.978241563055064</v>
      </c>
      <c r="G17" s="53">
        <v>4.3351741096286249E-2</v>
      </c>
      <c r="H17" s="13">
        <f>F17*Calculation!I17/Calculation!K16</f>
        <v>37.63594086923802</v>
      </c>
      <c r="I17" s="13">
        <f>G17*Calculation!I17/Calculation!K16</f>
        <v>4.4122800206607415E-2</v>
      </c>
      <c r="J17" s="13">
        <v>1.9538188277087036</v>
      </c>
      <c r="K17" s="13">
        <v>2.2202486678508014E-2</v>
      </c>
      <c r="L17" s="13">
        <f>J17*Calculation!I17/Calculation!K16</f>
        <v>1.9885696766694361</v>
      </c>
      <c r="M17" s="13">
        <f>K17*Calculation!I17/Calculation!K16</f>
        <v>2.2597382689425429E-2</v>
      </c>
      <c r="N17" s="13">
        <v>37.868442964196504</v>
      </c>
      <c r="O17" s="13">
        <v>0.26435483541028271</v>
      </c>
      <c r="P17" s="13">
        <f>N17*Calculation!I17/Calculation!K16</f>
        <v>38.541975496058818</v>
      </c>
      <c r="Q17" s="13">
        <f>O17*Calculation!I17/Calculation!K16</f>
        <v>0.26905668126574278</v>
      </c>
      <c r="R17" s="13">
        <v>14.751249185313922</v>
      </c>
      <c r="S17" s="13">
        <v>0.21724961981316432</v>
      </c>
      <c r="T17" s="13">
        <f>R17*Calculation!I17/Calculation!K16</f>
        <v>15.013616619362111</v>
      </c>
      <c r="U17" s="13">
        <f>S17*Calculation!I17/Calculation!K16</f>
        <v>0.22111364682418327</v>
      </c>
    </row>
    <row r="18" spans="4:21">
      <c r="D18" s="16">
        <v>14</v>
      </c>
      <c r="E18" s="65">
        <v>19.333333333333332</v>
      </c>
      <c r="F18" s="53">
        <v>32.250962107756067</v>
      </c>
      <c r="G18" s="53">
        <v>0.29035287275245109</v>
      </c>
      <c r="H18" s="13">
        <f>F18*Calculation!I18/Calculation!K17</f>
        <v>32.944379214211658</v>
      </c>
      <c r="I18" s="13">
        <f>G18*Calculation!I18/Calculation!K17</f>
        <v>0.29659565236945523</v>
      </c>
      <c r="J18" s="13">
        <v>2.068531675547661</v>
      </c>
      <c r="K18" s="13">
        <v>2.3109080811124942E-2</v>
      </c>
      <c r="L18" s="13">
        <f>J18*Calculation!I18/Calculation!K17</f>
        <v>2.1130064804938691</v>
      </c>
      <c r="M18" s="13">
        <f>K18*Calculation!I18/Calculation!K17</f>
        <v>2.3605941397651289E-2</v>
      </c>
      <c r="N18" s="13">
        <v>35.115181792950317</v>
      </c>
      <c r="O18" s="13">
        <v>0.24718783323022225</v>
      </c>
      <c r="P18" s="13">
        <f>N18*Calculation!I18/Calculation!K17</f>
        <v>35.870181525056722</v>
      </c>
      <c r="Q18" s="13">
        <f>O18*Calculation!I18/Calculation!K17</f>
        <v>0.2525025358272126</v>
      </c>
      <c r="R18" s="13">
        <v>18.495184300094138</v>
      </c>
      <c r="S18" s="13">
        <v>0.18089645878480423</v>
      </c>
      <c r="T18" s="13">
        <f>R18*Calculation!I18/Calculation!K17</f>
        <v>18.892843047076134</v>
      </c>
      <c r="U18" s="13">
        <f>S18*Calculation!I18/Calculation!K17</f>
        <v>0.18478585280038481</v>
      </c>
    </row>
    <row r="19" spans="4:21">
      <c r="D19" s="16">
        <v>15</v>
      </c>
      <c r="E19" s="65">
        <v>24.333333333333332</v>
      </c>
      <c r="F19" s="53">
        <v>26.400606867969213</v>
      </c>
      <c r="G19" s="53">
        <v>0.73782218362150109</v>
      </c>
      <c r="H19" s="13">
        <f>F19*Calculation!I19/Calculation!K18</f>
        <v>27.141110767947698</v>
      </c>
      <c r="I19" s="13">
        <f>G19*Calculation!I19/Calculation!K18</f>
        <v>0.75851717018733045</v>
      </c>
      <c r="J19" s="13">
        <v>2.8974245115452932</v>
      </c>
      <c r="K19" s="13">
        <v>2.2202486678508014E-2</v>
      </c>
      <c r="L19" s="13">
        <f>J19*Calculation!I19/Calculation!K18</f>
        <v>2.9786936339341299</v>
      </c>
      <c r="M19" s="13">
        <f>K19*Calculation!I19/Calculation!K18</f>
        <v>2.2825238574207912E-2</v>
      </c>
      <c r="N19" s="13">
        <v>33.272273105745214</v>
      </c>
      <c r="O19" s="13">
        <v>0.85043432704770594</v>
      </c>
      <c r="P19" s="13">
        <f>N19*Calculation!I19/Calculation!K18</f>
        <v>34.205518622379394</v>
      </c>
      <c r="Q19" s="13">
        <f>O19*Calculation!I19/Calculation!K18</f>
        <v>0.87428794295145462</v>
      </c>
      <c r="R19" s="13">
        <v>23.984358027373446</v>
      </c>
      <c r="S19" s="13">
        <v>0.62551292847655882</v>
      </c>
      <c r="T19" s="13">
        <f>R19*Calculation!I19/Calculation!K18</f>
        <v>24.65708917884173</v>
      </c>
      <c r="U19" s="13">
        <f>S19*Calculation!I19/Calculation!K18</f>
        <v>0.64305778134074931</v>
      </c>
    </row>
    <row r="20" spans="4:21">
      <c r="D20" s="16">
        <v>16</v>
      </c>
      <c r="E20" s="65">
        <v>30.166666666666668</v>
      </c>
      <c r="F20" s="53">
        <v>25.222024866785084</v>
      </c>
      <c r="G20" s="53">
        <v>0.59272219351324418</v>
      </c>
      <c r="H20" s="13">
        <f>F20*Calculation!I20/Calculation!K19</f>
        <v>25.92947102030017</v>
      </c>
      <c r="I20" s="13">
        <f>G20*Calculation!I20/Calculation!K19</f>
        <v>0.60934730740154941</v>
      </c>
      <c r="J20" s="13">
        <v>3.2304618117229129</v>
      </c>
      <c r="K20" s="13">
        <v>2.2202486678508014E-2</v>
      </c>
      <c r="L20" s="13">
        <f>J20*Calculation!I20/Calculation!K19</f>
        <v>3.3210722125472483</v>
      </c>
      <c r="M20" s="13">
        <f>K20*Calculation!I20/Calculation!K19</f>
        <v>2.2825238574207912E-2</v>
      </c>
      <c r="N20" s="13">
        <v>32.861504301970584</v>
      </c>
      <c r="O20" s="13">
        <v>0.75972743206996862</v>
      </c>
      <c r="P20" s="13">
        <f>N20*Calculation!I20/Calculation!K19</f>
        <v>33.783228269016682</v>
      </c>
      <c r="Q20" s="13">
        <f>O20*Calculation!I20/Calculation!K19</f>
        <v>0.78103683337206553</v>
      </c>
      <c r="R20" s="13">
        <v>23.687450213628797</v>
      </c>
      <c r="S20" s="13">
        <v>0.51425941856994872</v>
      </c>
      <c r="T20" s="13">
        <f>R20*Calculation!I20/Calculation!K19</f>
        <v>24.351853473427337</v>
      </c>
      <c r="U20" s="13">
        <f>S20*Calculation!I20/Calculation!K19</f>
        <v>0.52868375006187884</v>
      </c>
    </row>
    <row r="21" spans="4:21">
      <c r="D21" s="16">
        <v>17</v>
      </c>
      <c r="E21" s="65">
        <v>48</v>
      </c>
      <c r="F21" s="53">
        <v>25.220174659561874</v>
      </c>
      <c r="G21" s="53">
        <v>0.57298799812624013</v>
      </c>
      <c r="H21" s="13">
        <f>F21*Calculation!I21/Calculation!K20</f>
        <v>25.964874771642606</v>
      </c>
      <c r="I21" s="13">
        <f>G21*Calculation!I21/Calculation!K20</f>
        <v>0.58990716035193658</v>
      </c>
      <c r="J21" s="13">
        <v>3.6042036708111311</v>
      </c>
      <c r="K21" s="13">
        <v>4.6218161622249877E-2</v>
      </c>
      <c r="L21" s="13">
        <f>J21*Calculation!I21/Calculation!K20</f>
        <v>3.710628424558712</v>
      </c>
      <c r="M21" s="13">
        <f>K21*Calculation!I21/Calculation!K20</f>
        <v>4.7582889289875502E-2</v>
      </c>
      <c r="N21" s="13">
        <v>33.560921454343607</v>
      </c>
      <c r="O21" s="13">
        <v>0.82952512209703733</v>
      </c>
      <c r="P21" s="13">
        <f>N21*Calculation!I21/Calculation!K20</f>
        <v>34.551906739178129</v>
      </c>
      <c r="Q21" s="13">
        <f>O21*Calculation!I21/Calculation!K20</f>
        <v>0.85401930025948869</v>
      </c>
      <c r="R21" s="13">
        <v>24.092982837280033</v>
      </c>
      <c r="S21" s="13">
        <v>0.67592218927239012</v>
      </c>
      <c r="T21" s="13">
        <f>R21*Calculation!I21/Calculation!K20</f>
        <v>24.804399283100686</v>
      </c>
      <c r="U21" s="13">
        <f>S21*Calculation!I21/Calculation!K20</f>
        <v>0.69588078737504688</v>
      </c>
    </row>
    <row r="23" spans="4:21">
      <c r="D23" s="139" t="s">
        <v>4</v>
      </c>
      <c r="E23" s="139" t="s">
        <v>60</v>
      </c>
      <c r="F23" s="118" t="s">
        <v>44</v>
      </c>
      <c r="G23" s="118"/>
      <c r="H23" s="118"/>
      <c r="I23" s="118"/>
      <c r="J23" s="118" t="s">
        <v>66</v>
      </c>
      <c r="K23" s="118"/>
      <c r="L23" s="118"/>
      <c r="M23" s="118"/>
      <c r="N23" s="140" t="s">
        <v>67</v>
      </c>
      <c r="O23" s="116"/>
      <c r="P23" s="116"/>
      <c r="Q23" s="141"/>
    </row>
    <row r="24" spans="4:21">
      <c r="D24" s="139"/>
      <c r="E24" s="139"/>
      <c r="F24" s="20" t="s">
        <v>48</v>
      </c>
      <c r="G24" s="20" t="s">
        <v>23</v>
      </c>
      <c r="H24" s="20" t="s">
        <v>48</v>
      </c>
      <c r="I24" s="20" t="s">
        <v>23</v>
      </c>
      <c r="J24" s="20" t="s">
        <v>48</v>
      </c>
      <c r="K24" s="20" t="s">
        <v>23</v>
      </c>
      <c r="L24" s="20" t="s">
        <v>48</v>
      </c>
      <c r="M24" s="20" t="s">
        <v>23</v>
      </c>
      <c r="N24" s="20" t="s">
        <v>48</v>
      </c>
      <c r="O24" s="20" t="s">
        <v>23</v>
      </c>
      <c r="P24" s="20" t="s">
        <v>48</v>
      </c>
      <c r="Q24" s="20" t="s">
        <v>23</v>
      </c>
    </row>
    <row r="25" spans="4:21">
      <c r="D25" s="16">
        <v>0</v>
      </c>
      <c r="E25" s="64">
        <v>-0.16666666666666666</v>
      </c>
      <c r="F25" s="13">
        <v>0</v>
      </c>
      <c r="G25" s="13">
        <v>0</v>
      </c>
      <c r="H25" s="13">
        <f>F25*Calculation!I3/Calculation!F23</f>
        <v>0</v>
      </c>
      <c r="I25" s="13">
        <f>G25*Calculation!I3/Calculation!F23</f>
        <v>0</v>
      </c>
      <c r="J25" s="13">
        <v>0</v>
      </c>
      <c r="K25" s="13">
        <v>0</v>
      </c>
      <c r="L25" s="13">
        <f>J25*Calculation!I3/Calculation!F23</f>
        <v>0</v>
      </c>
      <c r="M25" s="13">
        <f>K25*Calculation!I3/Calculation!F23</f>
        <v>0</v>
      </c>
      <c r="N25" s="13">
        <v>0</v>
      </c>
      <c r="O25" s="13">
        <v>0</v>
      </c>
      <c r="P25" s="13">
        <f>N25*Calculation!I3/Calculation!F23</f>
        <v>0</v>
      </c>
      <c r="Q25" s="13">
        <f>O25*Calculation!I3/Calculation!F23</f>
        <v>0</v>
      </c>
    </row>
    <row r="26" spans="4:21">
      <c r="D26" s="16">
        <v>0</v>
      </c>
      <c r="E26" s="65">
        <v>0.16666666666666666</v>
      </c>
      <c r="F26" s="13">
        <v>0</v>
      </c>
      <c r="G26" s="13">
        <v>0</v>
      </c>
      <c r="H26" s="13">
        <f>F26*Calculation!I4/Calculation!K3</f>
        <v>0</v>
      </c>
      <c r="I26" s="13">
        <f>G26*Calculation!I4/Calculation!K3</f>
        <v>0</v>
      </c>
      <c r="J26" s="13">
        <v>0</v>
      </c>
      <c r="K26" s="13">
        <v>0</v>
      </c>
      <c r="L26" s="13">
        <f>J26*Calculation!I4/Calculation!K3</f>
        <v>0</v>
      </c>
      <c r="M26" s="13">
        <f>K26*Calculation!I4/Calculation!K3</f>
        <v>0</v>
      </c>
      <c r="N26" s="13">
        <v>0</v>
      </c>
      <c r="O26" s="13">
        <v>0</v>
      </c>
      <c r="P26" s="13">
        <f>N26*Calculation!I4/Calculation!K3</f>
        <v>0</v>
      </c>
      <c r="Q26" s="13">
        <f>O26*Calculation!I4/Calculation!K3</f>
        <v>0</v>
      </c>
    </row>
    <row r="27" spans="4:21">
      <c r="D27" s="16">
        <v>1</v>
      </c>
      <c r="E27" s="65">
        <v>2</v>
      </c>
      <c r="F27" s="13">
        <v>0</v>
      </c>
      <c r="G27" s="13">
        <v>0</v>
      </c>
      <c r="H27" s="13">
        <f>F27*Calculation!I5/Calculation!K4</f>
        <v>0</v>
      </c>
      <c r="I27" s="13">
        <f>G27*Calculation!I5/Calculation!K4</f>
        <v>0</v>
      </c>
      <c r="J27" s="13">
        <v>0</v>
      </c>
      <c r="K27" s="13">
        <v>0</v>
      </c>
      <c r="L27" s="13">
        <f>J27*Calculation!I5/Calculation!K4</f>
        <v>0</v>
      </c>
      <c r="M27" s="13">
        <f>K27*Calculation!I5/Calculation!K4</f>
        <v>0</v>
      </c>
      <c r="N27" s="13">
        <v>0</v>
      </c>
      <c r="O27" s="13">
        <v>0</v>
      </c>
      <c r="P27" s="13">
        <f>N27*Calculation!I5/Calculation!K4</f>
        <v>0</v>
      </c>
      <c r="Q27" s="13">
        <f>O27*Calculation!I5/Calculation!K4</f>
        <v>0</v>
      </c>
    </row>
    <row r="28" spans="4:21">
      <c r="D28" s="16">
        <v>2</v>
      </c>
      <c r="E28" s="65">
        <v>3.3333333333333335</v>
      </c>
      <c r="F28" s="13">
        <v>0</v>
      </c>
      <c r="G28" s="13">
        <v>0</v>
      </c>
      <c r="H28" s="13">
        <f>F28*Calculation!I6/Calculation!K5</f>
        <v>0</v>
      </c>
      <c r="I28" s="13">
        <f>G28*Calculation!I6/Calculation!K5</f>
        <v>0</v>
      </c>
      <c r="J28" s="13">
        <v>0.17402489312601671</v>
      </c>
      <c r="K28" s="13">
        <v>2.8562155015589407E-2</v>
      </c>
      <c r="L28" s="13">
        <f>J28*Calculation!I6/Calculation!K5</f>
        <v>0.17402489312601671</v>
      </c>
      <c r="M28" s="13">
        <f>K28*Calculation!I6/Calculation!K5</f>
        <v>2.8562155015589404E-2</v>
      </c>
      <c r="N28" s="13">
        <v>0</v>
      </c>
      <c r="O28" s="13">
        <v>0</v>
      </c>
      <c r="P28" s="13">
        <f>N28*Calculation!I6/Calculation!K5</f>
        <v>0</v>
      </c>
      <c r="Q28" s="13">
        <f>O28*Calculation!I6/Calculation!K5</f>
        <v>0</v>
      </c>
    </row>
    <row r="29" spans="4:21">
      <c r="D29" s="16">
        <v>3</v>
      </c>
      <c r="E29" s="65">
        <v>4.666666666666667</v>
      </c>
      <c r="F29" s="13">
        <v>0</v>
      </c>
      <c r="G29" s="13">
        <v>0</v>
      </c>
      <c r="H29" s="13">
        <f>F29*Calculation!I7/Calculation!K6</f>
        <v>0</v>
      </c>
      <c r="I29" s="13">
        <f>G29*Calculation!I7/Calculation!K6</f>
        <v>0</v>
      </c>
      <c r="J29" s="13">
        <v>0.57125562743540281</v>
      </c>
      <c r="K29" s="13">
        <v>1.7336570555577621E-2</v>
      </c>
      <c r="L29" s="13">
        <f>J29*Calculation!I7/Calculation!K6</f>
        <v>0.57167169125727857</v>
      </c>
      <c r="M29" s="13">
        <f>K29*Calculation!I7/Calculation!K6</f>
        <v>1.7349197336754298E-2</v>
      </c>
      <c r="N29" s="13">
        <v>0</v>
      </c>
      <c r="O29" s="13">
        <v>0</v>
      </c>
      <c r="P29" s="13">
        <f>N29*Calculation!I7/Calculation!K6</f>
        <v>0</v>
      </c>
      <c r="Q29" s="13">
        <f>O29*Calculation!I7/Calculation!K6</f>
        <v>0</v>
      </c>
    </row>
    <row r="30" spans="4:21">
      <c r="D30" s="16">
        <v>4</v>
      </c>
      <c r="E30" s="65">
        <v>6</v>
      </c>
      <c r="F30" s="13">
        <v>0</v>
      </c>
      <c r="G30" s="13">
        <v>0</v>
      </c>
      <c r="H30" s="13">
        <f>F30*Calculation!I8/Calculation!K7</f>
        <v>0</v>
      </c>
      <c r="I30" s="13">
        <f>G30*Calculation!I8/Calculation!K7</f>
        <v>0</v>
      </c>
      <c r="J30" s="13">
        <v>0.94578746264139513</v>
      </c>
      <c r="K30" s="13">
        <v>1.7336570555577663E-2</v>
      </c>
      <c r="L30" s="13">
        <f>J30*Calculation!I8/Calculation!K7</f>
        <v>0.94647631002860666</v>
      </c>
      <c r="M30" s="13">
        <f>K30*Calculation!I8/Calculation!K7</f>
        <v>1.734919733675434E-2</v>
      </c>
      <c r="N30" s="13">
        <v>0</v>
      </c>
      <c r="O30" s="13">
        <v>0</v>
      </c>
      <c r="P30" s="13">
        <f>N30*Calculation!I8/Calculation!K7</f>
        <v>0</v>
      </c>
      <c r="Q30" s="13">
        <f>O30*Calculation!I8/Calculation!K7</f>
        <v>0</v>
      </c>
    </row>
    <row r="31" spans="4:21">
      <c r="D31" s="16">
        <v>5</v>
      </c>
      <c r="E31" s="65">
        <v>7.333333333333333</v>
      </c>
      <c r="F31" s="13">
        <v>0</v>
      </c>
      <c r="G31" s="13">
        <v>0</v>
      </c>
      <c r="H31" s="13">
        <f>F31*Calculation!I9/Calculation!K8</f>
        <v>0</v>
      </c>
      <c r="I31" s="13">
        <f>G31*Calculation!I9/Calculation!K8</f>
        <v>0</v>
      </c>
      <c r="J31" s="13">
        <v>1.3316687473990845</v>
      </c>
      <c r="K31" s="13">
        <v>3.4673141111155242E-2</v>
      </c>
      <c r="L31" s="13">
        <f>J31*Calculation!I9/Calculation!K8</f>
        <v>1.3326386445202782</v>
      </c>
      <c r="M31" s="13">
        <f>K31*Calculation!I9/Calculation!K8</f>
        <v>3.4698394673508597E-2</v>
      </c>
      <c r="N31" s="13">
        <v>0</v>
      </c>
      <c r="O31" s="13">
        <v>0</v>
      </c>
      <c r="P31" s="13">
        <f>N31*Calculation!I9/Calculation!K8</f>
        <v>0</v>
      </c>
      <c r="Q31" s="13">
        <f>O31*Calculation!I9/Calculation!K8</f>
        <v>0</v>
      </c>
    </row>
    <row r="32" spans="4:21">
      <c r="D32" s="16">
        <v>6</v>
      </c>
      <c r="E32" s="65">
        <v>8.6666666666666661</v>
      </c>
      <c r="F32" s="13">
        <v>0</v>
      </c>
      <c r="G32" s="13">
        <v>0</v>
      </c>
      <c r="H32" s="13">
        <f>F32*Calculation!I10/Calculation!K9</f>
        <v>0</v>
      </c>
      <c r="I32" s="13">
        <f>G32*Calculation!I10/Calculation!K9</f>
        <v>0</v>
      </c>
      <c r="J32" s="13">
        <v>1.7251163318579048</v>
      </c>
      <c r="K32" s="13">
        <v>3.9315646522957187E-2</v>
      </c>
      <c r="L32" s="13">
        <f>J32*Calculation!I10/Calculation!K9</f>
        <v>1.7263727894921785</v>
      </c>
      <c r="M32" s="13">
        <f>K32*Calculation!I10/Calculation!K9</f>
        <v>3.934428137111666E-2</v>
      </c>
      <c r="N32" s="13">
        <v>0</v>
      </c>
      <c r="O32" s="13">
        <v>0</v>
      </c>
      <c r="P32" s="13">
        <f>N32*Calculation!I10/Calculation!K9</f>
        <v>0</v>
      </c>
      <c r="Q32" s="13">
        <f>O32*Calculation!I10/Calculation!K9</f>
        <v>0</v>
      </c>
    </row>
    <row r="33" spans="4:17">
      <c r="D33" s="16">
        <v>7</v>
      </c>
      <c r="E33" s="65">
        <v>10</v>
      </c>
      <c r="F33" s="13">
        <v>0</v>
      </c>
      <c r="G33" s="13">
        <v>0</v>
      </c>
      <c r="H33" s="13">
        <f>F33*Calculation!I11/Calculation!K10</f>
        <v>0</v>
      </c>
      <c r="I33" s="13">
        <f>G33*Calculation!I11/Calculation!K10</f>
        <v>0</v>
      </c>
      <c r="J33" s="13">
        <v>2.1261302160178568</v>
      </c>
      <c r="K33" s="13">
        <v>6.2507894078834489E-2</v>
      </c>
      <c r="L33" s="13">
        <f>J33*Calculation!I11/Calculation!K10</f>
        <v>2.1294957208153114</v>
      </c>
      <c r="M33" s="13">
        <f>K33*Calculation!I11/Calculation!K10</f>
        <v>6.260683939075197E-2</v>
      </c>
      <c r="N33" s="13">
        <v>0</v>
      </c>
      <c r="O33" s="13">
        <v>0</v>
      </c>
      <c r="P33" s="13">
        <f>N33*Calculation!I11/Calculation!K10</f>
        <v>0</v>
      </c>
      <c r="Q33" s="13">
        <f>O33*Calculation!I11/Calculation!K10</f>
        <v>0</v>
      </c>
    </row>
    <row r="34" spans="4:17">
      <c r="D34" s="16">
        <v>8</v>
      </c>
      <c r="E34" s="65">
        <v>11.333333333333334</v>
      </c>
      <c r="F34" s="13">
        <v>0</v>
      </c>
      <c r="G34" s="13">
        <v>0</v>
      </c>
      <c r="H34" s="13">
        <f>F34*Calculation!I12/Calculation!K11</f>
        <v>0</v>
      </c>
      <c r="I34" s="13">
        <f>G34*Calculation!I12/Calculation!K11</f>
        <v>0</v>
      </c>
      <c r="J34" s="13">
        <v>2.807097189119661</v>
      </c>
      <c r="K34" s="13">
        <v>5.7124310031178877E-2</v>
      </c>
      <c r="L34" s="13">
        <f>J34*Calculation!I12/Calculation!K11</f>
        <v>2.8115406136031331</v>
      </c>
      <c r="M34" s="13">
        <f>K34*Calculation!I12/Calculation!K11</f>
        <v>5.721473353300055E-2</v>
      </c>
      <c r="N34" s="13">
        <v>0</v>
      </c>
      <c r="O34" s="13">
        <v>0</v>
      </c>
      <c r="P34" s="13">
        <f>N34*Calculation!I12/Calculation!K11</f>
        <v>0</v>
      </c>
      <c r="Q34" s="13">
        <f>O34*Calculation!I12/Calculation!K11</f>
        <v>0</v>
      </c>
    </row>
    <row r="35" spans="4:17">
      <c r="D35" s="16">
        <v>9</v>
      </c>
      <c r="E35" s="65">
        <v>12.666666666666666</v>
      </c>
      <c r="F35" s="13">
        <v>0</v>
      </c>
      <c r="G35" s="13">
        <v>0</v>
      </c>
      <c r="H35" s="13">
        <f>F35*Calculation!I13/Calculation!K12</f>
        <v>0</v>
      </c>
      <c r="I35" s="13">
        <f>G35*Calculation!I13/Calculation!K12</f>
        <v>0</v>
      </c>
      <c r="J35" s="13">
        <v>3.7755835508644502</v>
      </c>
      <c r="K35" s="13">
        <v>6.5526077538261979E-3</v>
      </c>
      <c r="L35" s="13">
        <f>J35*Calculation!I13/Calculation!K12</f>
        <v>3.785104121661977</v>
      </c>
      <c r="M35" s="13">
        <f>K35*Calculation!I13/Calculation!K12</f>
        <v>6.5691309124818829E-3</v>
      </c>
      <c r="N35" s="13">
        <v>0</v>
      </c>
      <c r="O35" s="13">
        <v>0</v>
      </c>
      <c r="P35" s="13">
        <f>N35*Calculation!I13/Calculation!K12</f>
        <v>0</v>
      </c>
      <c r="Q35" s="13">
        <f>O35*Calculation!I13/Calculation!K12</f>
        <v>0</v>
      </c>
    </row>
    <row r="36" spans="4:17">
      <c r="D36" s="16">
        <v>10</v>
      </c>
      <c r="E36" s="65">
        <v>14</v>
      </c>
      <c r="F36" s="13">
        <v>0</v>
      </c>
      <c r="G36" s="13">
        <v>0</v>
      </c>
      <c r="H36" s="13">
        <f>F36*Calculation!I14/Calculation!K13</f>
        <v>0</v>
      </c>
      <c r="I36" s="13">
        <f>G36*Calculation!I14/Calculation!K13</f>
        <v>0</v>
      </c>
      <c r="J36" s="13">
        <v>5.8071350206181673</v>
      </c>
      <c r="K36" s="13">
        <v>1.7336570555577663E-2</v>
      </c>
      <c r="L36" s="13">
        <f>J36*Calculation!I14/Calculation!K13</f>
        <v>5.8389856102674864</v>
      </c>
      <c r="M36" s="13">
        <f>K36*Calculation!I14/Calculation!K13</f>
        <v>1.7431657029842798E-2</v>
      </c>
      <c r="N36" s="13">
        <v>0</v>
      </c>
      <c r="O36" s="13">
        <v>0</v>
      </c>
      <c r="P36" s="13">
        <f>N36*Calculation!I14/Calculation!K13</f>
        <v>0</v>
      </c>
      <c r="Q36" s="13">
        <f>O36*Calculation!I14/Calculation!K13</f>
        <v>0</v>
      </c>
    </row>
    <row r="37" spans="4:17">
      <c r="D37" s="16">
        <v>11</v>
      </c>
      <c r="E37" s="65">
        <v>15.333333333333334</v>
      </c>
      <c r="F37" s="13">
        <v>0</v>
      </c>
      <c r="G37" s="13">
        <v>0</v>
      </c>
      <c r="H37" s="13">
        <f>F37*Calculation!I15/Calculation!K14</f>
        <v>0</v>
      </c>
      <c r="I37" s="13">
        <f>G37*Calculation!I15/Calculation!K14</f>
        <v>0</v>
      </c>
      <c r="J37" s="13">
        <v>8.6709794574963102</v>
      </c>
      <c r="K37" s="13">
        <v>8.1842044613868861E-2</v>
      </c>
      <c r="L37" s="13">
        <f>J37*Calculation!I15/Calculation!K14</f>
        <v>8.7455577322460858</v>
      </c>
      <c r="M37" s="13">
        <f>K37*Calculation!I15/Calculation!K14</f>
        <v>8.254596030404153E-2</v>
      </c>
      <c r="N37" s="13">
        <v>0</v>
      </c>
      <c r="O37" s="13">
        <v>0</v>
      </c>
      <c r="P37" s="13">
        <f>N37*Calculation!I15/Calculation!K14</f>
        <v>0</v>
      </c>
      <c r="Q37" s="13">
        <f>O37*Calculation!I15/Calculation!K14</f>
        <v>0</v>
      </c>
    </row>
    <row r="38" spans="4:17">
      <c r="D38" s="16">
        <v>12</v>
      </c>
      <c r="E38" s="65">
        <v>16.666666666666668</v>
      </c>
      <c r="F38" s="13">
        <v>0</v>
      </c>
      <c r="G38" s="13">
        <v>0</v>
      </c>
      <c r="H38" s="13">
        <f>F38*Calculation!I16/Calculation!K15</f>
        <v>0</v>
      </c>
      <c r="I38" s="13">
        <f>G38*Calculation!I16/Calculation!K15</f>
        <v>0</v>
      </c>
      <c r="J38" s="13">
        <v>12.953505088336545</v>
      </c>
      <c r="K38" s="13">
        <v>8.8156321247917072E-2</v>
      </c>
      <c r="L38" s="13">
        <f>J38*Calculation!I16/Calculation!K15</f>
        <v>13.122790347579047</v>
      </c>
      <c r="M38" s="13">
        <f>K38*Calculation!I16/Calculation!K15</f>
        <v>8.930840831582243E-2</v>
      </c>
      <c r="N38" s="13">
        <v>0</v>
      </c>
      <c r="O38" s="13">
        <v>0</v>
      </c>
      <c r="P38" s="13">
        <f>N38*Calculation!I16/Calculation!K15</f>
        <v>0</v>
      </c>
      <c r="Q38" s="13">
        <f>O38*Calculation!I16/Calculation!K15</f>
        <v>0</v>
      </c>
    </row>
    <row r="39" spans="4:17">
      <c r="D39" s="16">
        <v>13</v>
      </c>
      <c r="E39" s="65">
        <v>18</v>
      </c>
      <c r="F39" s="13">
        <v>0</v>
      </c>
      <c r="G39" s="13">
        <v>0</v>
      </c>
      <c r="H39" s="13">
        <f>F39*Calculation!I17/Calculation!K16</f>
        <v>0</v>
      </c>
      <c r="I39" s="13">
        <f>G39*Calculation!I17/Calculation!K16</f>
        <v>0</v>
      </c>
      <c r="J39" s="13">
        <v>18.866568304770553</v>
      </c>
      <c r="K39" s="13">
        <v>9.7851300695172574E-2</v>
      </c>
      <c r="L39" s="13">
        <f>J39*Calculation!I17/Calculation!K16</f>
        <v>19.202131283419551</v>
      </c>
      <c r="M39" s="13">
        <f>K39*Calculation!I17/Calculation!K16</f>
        <v>9.9591695312547066E-2</v>
      </c>
      <c r="N39" s="13">
        <v>0</v>
      </c>
      <c r="O39" s="13">
        <v>0</v>
      </c>
      <c r="P39" s="13">
        <f>N39*Calculation!I17/Calculation!K16</f>
        <v>0</v>
      </c>
      <c r="Q39" s="13">
        <f>O39*Calculation!I17/Calculation!K16</f>
        <v>0</v>
      </c>
    </row>
    <row r="40" spans="4:17">
      <c r="D40" s="16">
        <v>14</v>
      </c>
      <c r="E40" s="65">
        <v>19.333333333333332</v>
      </c>
      <c r="F40" s="13">
        <v>0</v>
      </c>
      <c r="G40" s="13">
        <v>0</v>
      </c>
      <c r="H40" s="13">
        <f>F40*Calculation!I18/Calculation!K17</f>
        <v>0</v>
      </c>
      <c r="I40" s="13">
        <f>G40*Calculation!I18/Calculation!K17</f>
        <v>0</v>
      </c>
      <c r="J40" s="13">
        <v>23.792229410206939</v>
      </c>
      <c r="K40" s="13">
        <v>8.6682852777888605E-2</v>
      </c>
      <c r="L40" s="13">
        <f>J40*Calculation!I18/Calculation!K17</f>
        <v>24.303778145361907</v>
      </c>
      <c r="M40" s="13">
        <f>K40*Calculation!I18/Calculation!K17</f>
        <v>8.8546591687497872E-2</v>
      </c>
      <c r="N40" s="13">
        <v>0</v>
      </c>
      <c r="O40" s="13">
        <v>0</v>
      </c>
      <c r="P40" s="13">
        <f>N40*Calculation!I18/Calculation!K17</f>
        <v>0</v>
      </c>
      <c r="Q40" s="13">
        <f>O40*Calculation!I18/Calculation!K17</f>
        <v>0</v>
      </c>
    </row>
    <row r="41" spans="4:17">
      <c r="D41" s="16">
        <v>15</v>
      </c>
      <c r="E41" s="65">
        <v>24.333333333333332</v>
      </c>
      <c r="F41" s="13">
        <v>0</v>
      </c>
      <c r="G41" s="13">
        <v>0</v>
      </c>
      <c r="H41" s="13">
        <f>F41*Calculation!I19/Calculation!K18</f>
        <v>0</v>
      </c>
      <c r="I41" s="13">
        <f>G41*Calculation!I19/Calculation!K18</f>
        <v>0</v>
      </c>
      <c r="J41" s="13">
        <v>27.669958007036659</v>
      </c>
      <c r="K41" s="13">
        <v>0.78393401154598275</v>
      </c>
      <c r="L41" s="13">
        <f>J41*Calculation!I19/Calculation!K18</f>
        <v>28.446065613915611</v>
      </c>
      <c r="M41" s="13">
        <f>K41*Calculation!I19/Calculation!K18</f>
        <v>0.80592237703237934</v>
      </c>
      <c r="N41" s="13">
        <v>0</v>
      </c>
      <c r="O41" s="13">
        <v>0</v>
      </c>
      <c r="P41" s="13">
        <f>N41*Calculation!I19/Calculation!K18</f>
        <v>0</v>
      </c>
      <c r="Q41" s="13">
        <f>O41*Calculation!I19/Calculation!K18</f>
        <v>0</v>
      </c>
    </row>
    <row r="42" spans="4:17">
      <c r="D42" s="16">
        <v>16</v>
      </c>
      <c r="E42" s="65">
        <v>30.166666666666668</v>
      </c>
      <c r="F42" s="13">
        <v>0</v>
      </c>
      <c r="G42" s="13">
        <v>0</v>
      </c>
      <c r="H42" s="13">
        <f>F42*Calculation!I20/Calculation!K19</f>
        <v>0</v>
      </c>
      <c r="I42" s="13">
        <f>G42*Calculation!I20/Calculation!K19</f>
        <v>0</v>
      </c>
      <c r="J42" s="13">
        <v>27.843982900162679</v>
      </c>
      <c r="K42" s="13">
        <v>0.56762378340743969</v>
      </c>
      <c r="L42" s="13">
        <f>J42*Calculation!I20/Calculation!K19</f>
        <v>28.62497168695911</v>
      </c>
      <c r="M42" s="13">
        <f>K42*Calculation!I20/Calculation!K19</f>
        <v>0.58354491838118605</v>
      </c>
      <c r="N42" s="13">
        <v>0</v>
      </c>
      <c r="O42" s="13">
        <v>0</v>
      </c>
      <c r="P42" s="13">
        <f>N42*Calculation!I20/Calculation!K19</f>
        <v>0</v>
      </c>
      <c r="Q42" s="13">
        <f>O42*Calculation!I20/Calculation!K19</f>
        <v>0</v>
      </c>
    </row>
    <row r="43" spans="4:17">
      <c r="D43" s="16">
        <v>17</v>
      </c>
      <c r="E43" s="65">
        <v>48</v>
      </c>
      <c r="F43" s="13">
        <v>0</v>
      </c>
      <c r="G43" s="13">
        <v>0</v>
      </c>
      <c r="H43" s="13">
        <f>F43*Calculation!I21/Calculation!K20</f>
        <v>0</v>
      </c>
      <c r="I43" s="13">
        <f>G43*Calculation!I21/Calculation!K20</f>
        <v>0</v>
      </c>
      <c r="J43" s="13">
        <v>29.047024552642533</v>
      </c>
      <c r="K43" s="13">
        <v>0.75967872132575764</v>
      </c>
      <c r="L43" s="13">
        <f>J43*Calculation!I21/Calculation!K20</f>
        <v>29.904723705481807</v>
      </c>
      <c r="M43" s="13">
        <f>K43*Calculation!I21/Calculation!K20</f>
        <v>0.78211047830417924</v>
      </c>
      <c r="N43" s="13">
        <v>0</v>
      </c>
      <c r="O43" s="13">
        <v>0</v>
      </c>
      <c r="P43" s="13">
        <f>N43*Calculation!I21/Calculation!K20</f>
        <v>0</v>
      </c>
      <c r="Q43" s="13">
        <f>O43*Calculation!I21/Calculation!K20</f>
        <v>0</v>
      </c>
    </row>
  </sheetData>
  <mergeCells count="14">
    <mergeCell ref="F23:I23"/>
    <mergeCell ref="J23:M23"/>
    <mergeCell ref="N23:Q23"/>
    <mergeCell ref="N1:Q1"/>
    <mergeCell ref="A1:B1"/>
    <mergeCell ref="A2:B2"/>
    <mergeCell ref="A3:A4"/>
    <mergeCell ref="D23:D24"/>
    <mergeCell ref="E23:E24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143</v>
      </c>
      <c r="B2" s="17">
        <v>180.16</v>
      </c>
    </row>
    <row r="4" spans="1:8">
      <c r="A4" s="142" t="s">
        <v>144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8" t="s">
        <v>4</v>
      </c>
      <c r="B6" s="28" t="s">
        <v>5</v>
      </c>
      <c r="C6" s="28" t="s">
        <v>19</v>
      </c>
      <c r="D6" s="147"/>
      <c r="E6" s="147"/>
      <c r="F6" s="147"/>
      <c r="G6" s="149"/>
      <c r="H6" s="149"/>
    </row>
    <row r="7" spans="1:8">
      <c r="A7" s="16">
        <v>0</v>
      </c>
      <c r="B7" s="64">
        <v>-0.16666666666666666</v>
      </c>
      <c r="C7" s="16">
        <v>1</v>
      </c>
      <c r="D7" s="19">
        <v>9.2029999999999994</v>
      </c>
      <c r="E7" s="16">
        <v>9.0960000000000001</v>
      </c>
      <c r="F7" s="16">
        <v>9.1059999999999999</v>
      </c>
      <c r="G7" s="19">
        <f>(C7*1000*AVERAGE(D7:F7)/$B$2)</f>
        <v>50.704928952042629</v>
      </c>
      <c r="H7" s="19">
        <f>(C7*1000*STDEV(D7:F7))/$B$2</f>
        <v>0.32805066287271584</v>
      </c>
    </row>
    <row r="8" spans="1:8">
      <c r="A8" s="16">
        <v>0</v>
      </c>
      <c r="B8" s="65">
        <v>0.16666666666666666</v>
      </c>
      <c r="C8" s="16">
        <v>1</v>
      </c>
      <c r="D8" s="16">
        <v>9.1010000000000009</v>
      </c>
      <c r="E8" s="16">
        <v>8.9589999999999996</v>
      </c>
      <c r="F8" s="16">
        <v>8.9540000000000006</v>
      </c>
      <c r="G8" s="19">
        <f t="shared" ref="G8:G17" si="0">(C8*1000*AVERAGE(D8:F8))/$B$2</f>
        <v>49.981497927767919</v>
      </c>
      <c r="H8" s="19">
        <f t="shared" ref="H8:H17" si="1">(C8*1000*STDEV(D8:F8))/$B$2</f>
        <v>0.46328021391419355</v>
      </c>
    </row>
    <row r="9" spans="1:8">
      <c r="A9" s="16">
        <v>1</v>
      </c>
      <c r="B9" s="65">
        <v>2</v>
      </c>
      <c r="C9" s="16">
        <v>1</v>
      </c>
      <c r="D9" s="19">
        <v>9.1449999999999996</v>
      </c>
      <c r="E9" s="16">
        <v>9.0559999999999992</v>
      </c>
      <c r="F9" s="19">
        <v>8.9670000000000005</v>
      </c>
      <c r="G9" s="19">
        <f t="shared" si="0"/>
        <v>50.266429840142095</v>
      </c>
      <c r="H9" s="19">
        <f t="shared" si="1"/>
        <v>0.49400532859680019</v>
      </c>
    </row>
    <row r="10" spans="1:8">
      <c r="A10" s="16">
        <v>2</v>
      </c>
      <c r="B10" s="65">
        <v>3.3333333333333335</v>
      </c>
      <c r="C10" s="16">
        <v>1</v>
      </c>
      <c r="D10" s="16">
        <v>9.2569999999999997</v>
      </c>
      <c r="E10" s="16">
        <v>9.1639999999999997</v>
      </c>
      <c r="F10" s="16">
        <v>8.8970000000000002</v>
      </c>
      <c r="G10" s="19">
        <f t="shared" si="0"/>
        <v>50.543960923623445</v>
      </c>
      <c r="H10" s="19">
        <f t="shared" si="1"/>
        <v>1.0372833307760496</v>
      </c>
    </row>
    <row r="11" spans="1:8">
      <c r="A11" s="16">
        <v>3</v>
      </c>
      <c r="B11" s="65">
        <v>4.666666666666667</v>
      </c>
      <c r="C11" s="16">
        <v>1</v>
      </c>
      <c r="D11" s="16">
        <v>9.2439999999999998</v>
      </c>
      <c r="E11" s="16">
        <v>9.2870000000000008</v>
      </c>
      <c r="F11" s="16">
        <v>9.2140000000000004</v>
      </c>
      <c r="G11" s="19">
        <f t="shared" si="0"/>
        <v>51.333999407933696</v>
      </c>
      <c r="H11" s="19">
        <f t="shared" si="1"/>
        <v>0.20366571492946223</v>
      </c>
    </row>
    <row r="12" spans="1:8">
      <c r="A12" s="16">
        <v>4</v>
      </c>
      <c r="B12" s="65">
        <v>6</v>
      </c>
      <c r="C12" s="16">
        <v>1</v>
      </c>
      <c r="D12" s="16">
        <v>9.1240000000000006</v>
      </c>
      <c r="E12" s="16">
        <v>9.1560000000000006</v>
      </c>
      <c r="F12" s="16">
        <v>9.0630000000000006</v>
      </c>
      <c r="G12" s="19">
        <f t="shared" si="0"/>
        <v>50.590216104203677</v>
      </c>
      <c r="H12" s="19">
        <f t="shared" si="1"/>
        <v>0.26225341304215133</v>
      </c>
    </row>
    <row r="13" spans="1:8">
      <c r="A13" s="16">
        <v>5</v>
      </c>
      <c r="B13" s="65">
        <v>7.333333333333333</v>
      </c>
      <c r="C13" s="16">
        <v>1</v>
      </c>
      <c r="D13" s="19">
        <v>9.1430000000000007</v>
      </c>
      <c r="E13" s="16">
        <v>9.1370000000000005</v>
      </c>
      <c r="F13" s="16">
        <v>9.077</v>
      </c>
      <c r="G13" s="19">
        <f t="shared" si="0"/>
        <v>50.616119005328599</v>
      </c>
      <c r="H13" s="19">
        <f t="shared" si="1"/>
        <v>0.20257868107121271</v>
      </c>
    </row>
    <row r="14" spans="1:8">
      <c r="A14" s="16">
        <v>6</v>
      </c>
      <c r="B14" s="65">
        <v>8.6666666666666661</v>
      </c>
      <c r="C14" s="16">
        <v>1</v>
      </c>
      <c r="D14" s="16">
        <v>9.1080000000000005</v>
      </c>
      <c r="E14" s="16">
        <v>9.1259999999999994</v>
      </c>
      <c r="F14" s="16">
        <v>9.2639999999999993</v>
      </c>
      <c r="G14" s="19">
        <f t="shared" si="0"/>
        <v>50.876998223801067</v>
      </c>
      <c r="H14" s="19">
        <f t="shared" si="1"/>
        <v>0.47372531734795215</v>
      </c>
    </row>
    <row r="15" spans="1:8">
      <c r="A15" s="16">
        <v>7</v>
      </c>
      <c r="B15" s="65">
        <v>10</v>
      </c>
      <c r="C15" s="16">
        <v>1</v>
      </c>
      <c r="D15" s="16">
        <v>9.0259999999999998</v>
      </c>
      <c r="E15" s="16">
        <v>8.9480000000000004</v>
      </c>
      <c r="F15" s="19">
        <v>8.69</v>
      </c>
      <c r="G15" s="19">
        <f t="shared" si="0"/>
        <v>49.333925399644762</v>
      </c>
      <c r="H15" s="19">
        <f t="shared" si="1"/>
        <v>0.97608909123575938</v>
      </c>
    </row>
    <row r="16" spans="1:8">
      <c r="A16" s="16">
        <v>8</v>
      </c>
      <c r="B16" s="65">
        <v>11.333333333333334</v>
      </c>
      <c r="C16" s="16">
        <v>1</v>
      </c>
      <c r="D16" s="16">
        <v>8.9120000000000008</v>
      </c>
      <c r="E16" s="16">
        <v>8.7289999999999992</v>
      </c>
      <c r="F16" s="16">
        <v>8.8780000000000001</v>
      </c>
      <c r="G16" s="19">
        <f t="shared" si="0"/>
        <v>49.065645352279454</v>
      </c>
      <c r="H16" s="19">
        <f t="shared" si="1"/>
        <v>0.54027634976007433</v>
      </c>
    </row>
    <row r="17" spans="1:8">
      <c r="A17" s="16">
        <v>9</v>
      </c>
      <c r="B17" s="65">
        <v>12.666666666666666</v>
      </c>
      <c r="C17" s="16">
        <v>1</v>
      </c>
      <c r="D17" s="19">
        <v>8.8469999999999995</v>
      </c>
      <c r="E17" s="16">
        <v>8.9019999999999992</v>
      </c>
      <c r="F17" s="16">
        <v>8.8919999999999995</v>
      </c>
      <c r="G17" s="19">
        <f t="shared" si="0"/>
        <v>49.291370633510951</v>
      </c>
      <c r="H17" s="19">
        <f t="shared" si="1"/>
        <v>0.16261837469699966</v>
      </c>
    </row>
    <row r="18" spans="1:8">
      <c r="A18" s="16">
        <v>10</v>
      </c>
      <c r="B18" s="65">
        <v>14</v>
      </c>
      <c r="C18" s="16">
        <v>1</v>
      </c>
      <c r="D18" s="19">
        <v>8.6329999999999991</v>
      </c>
      <c r="E18" s="19">
        <v>8.6</v>
      </c>
      <c r="F18" s="16">
        <v>8.6969999999999992</v>
      </c>
      <c r="G18" s="19">
        <f t="shared" ref="G18:G23" si="2">(C18*1000*AVERAGE(D18:F18))/$B$2</f>
        <v>47.975873297809351</v>
      </c>
      <c r="H18" s="19">
        <f t="shared" ref="H18:H23" si="3">(C18*1000*STDEV(D18:F18))/$B$2</f>
        <v>0.27374939787353547</v>
      </c>
    </row>
    <row r="19" spans="1:8">
      <c r="A19" s="16">
        <v>11</v>
      </c>
      <c r="B19" s="65">
        <v>15.333333333333334</v>
      </c>
      <c r="C19" s="16">
        <v>1</v>
      </c>
      <c r="D19" s="16">
        <v>8.1579999999999995</v>
      </c>
      <c r="E19" s="16">
        <v>8.157</v>
      </c>
      <c r="F19" s="16">
        <v>8.0809999999999995</v>
      </c>
      <c r="G19" s="19">
        <f t="shared" si="2"/>
        <v>45.137655417406748</v>
      </c>
      <c r="H19" s="19">
        <f t="shared" si="3"/>
        <v>0.24517165658700982</v>
      </c>
    </row>
    <row r="20" spans="1:8">
      <c r="A20" s="16">
        <v>12</v>
      </c>
      <c r="B20" s="65">
        <v>16.666666666666668</v>
      </c>
      <c r="C20" s="16">
        <v>1</v>
      </c>
      <c r="D20" s="16">
        <v>7.3040000000000003</v>
      </c>
      <c r="E20" s="16">
        <v>7.4349999999999996</v>
      </c>
      <c r="F20" s="19">
        <v>7.2430000000000003</v>
      </c>
      <c r="G20" s="19">
        <f t="shared" si="2"/>
        <v>40.671255180580225</v>
      </c>
      <c r="H20" s="19">
        <f t="shared" si="3"/>
        <v>0.54453644896183306</v>
      </c>
    </row>
    <row r="21" spans="1:8">
      <c r="A21" s="16">
        <v>13</v>
      </c>
      <c r="B21" s="65">
        <v>18</v>
      </c>
      <c r="C21" s="16">
        <v>1</v>
      </c>
      <c r="D21" s="16">
        <v>6.6529999999999996</v>
      </c>
      <c r="E21" s="19">
        <v>6.6669999999999998</v>
      </c>
      <c r="F21" s="16">
        <v>6.6660000000000004</v>
      </c>
      <c r="G21" s="19">
        <f t="shared" si="2"/>
        <v>36.978241563055064</v>
      </c>
      <c r="H21" s="19">
        <f t="shared" si="3"/>
        <v>4.3351741096286249E-2</v>
      </c>
    </row>
    <row r="22" spans="1:8">
      <c r="A22" s="16">
        <v>14</v>
      </c>
      <c r="B22" s="65">
        <v>19.333333333333332</v>
      </c>
      <c r="C22" s="16">
        <v>1</v>
      </c>
      <c r="D22" s="16">
        <v>5.75</v>
      </c>
      <c r="E22" s="16">
        <v>5.843</v>
      </c>
      <c r="F22" s="16">
        <v>5.8380000000000001</v>
      </c>
      <c r="G22" s="19">
        <f t="shared" si="2"/>
        <v>32.250962107756067</v>
      </c>
      <c r="H22" s="19">
        <f t="shared" si="3"/>
        <v>0.29035287275245109</v>
      </c>
    </row>
    <row r="23" spans="1:8">
      <c r="A23" s="16">
        <v>15</v>
      </c>
      <c r="B23" s="65">
        <v>24.333333333333332</v>
      </c>
      <c r="C23" s="16">
        <v>1</v>
      </c>
      <c r="D23" s="16">
        <v>4.6029999999999998</v>
      </c>
      <c r="E23" s="16">
        <v>4.827</v>
      </c>
      <c r="F23" s="16">
        <v>4.8390000000000004</v>
      </c>
      <c r="G23" s="19">
        <f t="shared" si="2"/>
        <v>26.400606867969213</v>
      </c>
      <c r="H23" s="19">
        <f t="shared" si="3"/>
        <v>0.73782218362150109</v>
      </c>
    </row>
    <row r="24" spans="1:8">
      <c r="A24" s="16">
        <v>16</v>
      </c>
      <c r="B24" s="65">
        <v>30.166666666666668</v>
      </c>
      <c r="C24" s="16">
        <v>1</v>
      </c>
      <c r="D24" s="16">
        <v>4.5979999999999999</v>
      </c>
      <c r="E24" s="16">
        <v>4.6130000000000004</v>
      </c>
      <c r="F24" s="16">
        <v>4.4210000000000003</v>
      </c>
      <c r="G24" s="19">
        <f t="shared" ref="G24:G25" si="4">(C24*1000*AVERAGE(D24:F24))/$B$2</f>
        <v>25.222024866785084</v>
      </c>
      <c r="H24" s="19">
        <f t="shared" ref="H24:H25" si="5">(C24*1000*STDEV(D24:F24))/$B$2</f>
        <v>0.59272219351324418</v>
      </c>
    </row>
    <row r="25" spans="1:8">
      <c r="A25" s="16">
        <v>17</v>
      </c>
      <c r="B25" s="65">
        <v>48</v>
      </c>
      <c r="C25" s="16">
        <v>1</v>
      </c>
      <c r="D25" s="16">
        <v>4.6189999999999998</v>
      </c>
      <c r="E25" s="16">
        <v>4.5860000000000003</v>
      </c>
      <c r="F25" s="16">
        <v>4.4260000000000002</v>
      </c>
      <c r="G25" s="19">
        <f t="shared" si="4"/>
        <v>25.220174659561874</v>
      </c>
      <c r="H25" s="19">
        <f t="shared" si="5"/>
        <v>0.57298799812624013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6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42" t="s">
        <v>65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8" t="s">
        <v>4</v>
      </c>
      <c r="B6" s="28" t="s">
        <v>60</v>
      </c>
      <c r="C6" s="28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1</v>
      </c>
      <c r="D7" s="56">
        <v>5.0999999999999997E-2</v>
      </c>
      <c r="E7" s="56">
        <v>5.0999999999999997E-2</v>
      </c>
      <c r="F7" s="56">
        <v>0.05</v>
      </c>
      <c r="G7" s="16">
        <f>(C7*1000*AVERAGE(D7:F7))/$B$2</f>
        <v>1.1007314070533709</v>
      </c>
      <c r="H7" s="19">
        <f t="shared" ref="H7:H9" si="0">(C7*1000*STDEV(D7:F7))/$B$2</f>
        <v>1.2542912648047411E-2</v>
      </c>
    </row>
    <row r="8" spans="1:8">
      <c r="A8" s="67">
        <v>0</v>
      </c>
      <c r="B8" s="65">
        <v>0.16666666666666666</v>
      </c>
      <c r="C8" s="16">
        <v>1</v>
      </c>
      <c r="D8" s="56">
        <v>4.9000000000000002E-2</v>
      </c>
      <c r="E8" s="56">
        <v>0.05</v>
      </c>
      <c r="F8" s="56">
        <v>5.3999999999999999E-2</v>
      </c>
      <c r="G8" s="16">
        <f t="shared" ref="G8:G10" si="1">(C8*1000*AVERAGE(D8:F8))/$B$2</f>
        <v>1.1079730610471432</v>
      </c>
      <c r="H8" s="19">
        <f t="shared" si="0"/>
        <v>5.7478846644896567E-2</v>
      </c>
    </row>
    <row r="9" spans="1:8">
      <c r="A9" s="67">
        <v>1</v>
      </c>
      <c r="B9" s="65">
        <v>2</v>
      </c>
      <c r="C9" s="16">
        <v>1</v>
      </c>
      <c r="D9" s="56">
        <v>5.6000000000000001E-2</v>
      </c>
      <c r="E9" s="56">
        <v>5.7000000000000002E-2</v>
      </c>
      <c r="F9" s="56">
        <v>5.8000000000000003E-2</v>
      </c>
      <c r="G9" s="16">
        <f t="shared" si="1"/>
        <v>1.2383228329350424</v>
      </c>
      <c r="H9" s="19">
        <f t="shared" si="0"/>
        <v>2.172496198131655E-2</v>
      </c>
    </row>
    <row r="10" spans="1:8">
      <c r="A10" s="67">
        <v>2</v>
      </c>
      <c r="B10" s="65">
        <v>3.3333333333333335</v>
      </c>
      <c r="C10" s="16">
        <v>1</v>
      </c>
      <c r="D10" s="56">
        <v>6.6000000000000003E-2</v>
      </c>
      <c r="E10" s="56">
        <v>5.8000000000000003E-2</v>
      </c>
      <c r="F10" s="56">
        <v>6.3E-2</v>
      </c>
      <c r="G10" s="16">
        <f t="shared" si="1"/>
        <v>1.354189296835397</v>
      </c>
      <c r="H10" s="19">
        <f t="shared" ref="H10:H23" si="2">(C10*1000*STDEV(D10:F10))/$B$2</f>
        <v>8.7800388536332402E-2</v>
      </c>
    </row>
    <row r="11" spans="1:8">
      <c r="A11" s="67">
        <v>3</v>
      </c>
      <c r="B11" s="65">
        <v>4.666666666666667</v>
      </c>
      <c r="C11" s="16">
        <v>1</v>
      </c>
      <c r="D11" s="56">
        <v>7.5999999999999998E-2</v>
      </c>
      <c r="E11" s="56">
        <v>7.6999999999999999E-2</v>
      </c>
      <c r="F11" s="56">
        <v>6.8000000000000005E-2</v>
      </c>
      <c r="G11" s="16">
        <f t="shared" ref="G11:G23" si="3">(C11*1000*AVERAGE(D11:F11))/$B$2</f>
        <v>1.6004055326236513</v>
      </c>
      <c r="H11" s="19">
        <f t="shared" si="2"/>
        <v>0.10716669264210828</v>
      </c>
    </row>
    <row r="12" spans="1:8">
      <c r="A12" s="67">
        <v>4</v>
      </c>
      <c r="B12" s="65">
        <v>6</v>
      </c>
      <c r="C12" s="16">
        <v>1</v>
      </c>
      <c r="D12" s="56">
        <v>8.1000000000000003E-2</v>
      </c>
      <c r="E12" s="56">
        <v>8.2000000000000003E-2</v>
      </c>
      <c r="F12" s="56">
        <v>0.08</v>
      </c>
      <c r="G12" s="16">
        <f t="shared" si="3"/>
        <v>1.759721920486639</v>
      </c>
      <c r="H12" s="19">
        <f t="shared" si="2"/>
        <v>2.172496198131655E-2</v>
      </c>
    </row>
    <row r="13" spans="1:8">
      <c r="A13" s="67">
        <v>5</v>
      </c>
      <c r="B13" s="65">
        <v>7.333333333333333</v>
      </c>
      <c r="C13" s="16">
        <v>1</v>
      </c>
      <c r="D13" s="56">
        <v>8.6999999999999994E-2</v>
      </c>
      <c r="E13" s="56">
        <v>8.4000000000000005E-2</v>
      </c>
      <c r="F13" s="56">
        <v>8.3000000000000004E-2</v>
      </c>
      <c r="G13" s="16">
        <f t="shared" si="3"/>
        <v>1.8393801144181332</v>
      </c>
      <c r="H13" s="19">
        <f t="shared" si="2"/>
        <v>4.5224114696200884E-2</v>
      </c>
    </row>
    <row r="14" spans="1:8">
      <c r="A14" s="67">
        <v>6</v>
      </c>
      <c r="B14" s="65">
        <v>8.6666666666666661</v>
      </c>
      <c r="C14" s="16">
        <v>1</v>
      </c>
      <c r="D14" s="56">
        <v>9.0999999999999998E-2</v>
      </c>
      <c r="E14" s="56">
        <v>8.5000000000000006E-2</v>
      </c>
      <c r="F14" s="56">
        <v>0.1</v>
      </c>
      <c r="G14" s="16">
        <f t="shared" si="3"/>
        <v>1.9986965022811212</v>
      </c>
      <c r="H14" s="19">
        <f t="shared" si="2"/>
        <v>0.16401986607149141</v>
      </c>
    </row>
    <row r="15" spans="1:8">
      <c r="A15" s="67">
        <v>7</v>
      </c>
      <c r="B15" s="65">
        <v>10</v>
      </c>
      <c r="C15" s="16">
        <v>1</v>
      </c>
      <c r="D15" s="56">
        <v>0.10299999999999999</v>
      </c>
      <c r="E15" s="56">
        <v>9.6000000000000002E-2</v>
      </c>
      <c r="F15" s="56">
        <v>9.5000000000000001E-2</v>
      </c>
      <c r="G15" s="16">
        <f t="shared" si="3"/>
        <v>2.1290462741690206</v>
      </c>
      <c r="H15" s="19">
        <f t="shared" si="2"/>
        <v>9.4696913828821838E-2</v>
      </c>
    </row>
    <row r="16" spans="1:8">
      <c r="A16" s="67">
        <v>8</v>
      </c>
      <c r="B16" s="65">
        <v>11.333333333333334</v>
      </c>
      <c r="C16" s="16">
        <v>1</v>
      </c>
      <c r="D16" s="56">
        <v>0.11700000000000001</v>
      </c>
      <c r="E16" s="56">
        <v>0.12</v>
      </c>
      <c r="F16" s="56">
        <v>0.11700000000000001</v>
      </c>
      <c r="G16" s="16">
        <f t="shared" si="3"/>
        <v>2.5635455137953507</v>
      </c>
      <c r="H16" s="19">
        <f t="shared" si="2"/>
        <v>3.7628737944142315E-2</v>
      </c>
    </row>
    <row r="17" spans="1:8">
      <c r="A17" s="67">
        <v>9</v>
      </c>
      <c r="B17" s="65">
        <v>12.666666666666666</v>
      </c>
      <c r="C17" s="16">
        <v>1</v>
      </c>
      <c r="D17" s="56">
        <v>0.156</v>
      </c>
      <c r="E17" s="56">
        <v>0.155</v>
      </c>
      <c r="F17" s="56">
        <v>0.153</v>
      </c>
      <c r="G17" s="16">
        <f t="shared" si="3"/>
        <v>3.36012745311029</v>
      </c>
      <c r="H17" s="19">
        <f t="shared" si="2"/>
        <v>3.3185427583140296E-2</v>
      </c>
    </row>
    <row r="18" spans="1:8">
      <c r="A18" s="67">
        <v>10</v>
      </c>
      <c r="B18" s="65">
        <v>14</v>
      </c>
      <c r="C18" s="16">
        <v>1</v>
      </c>
      <c r="D18" s="111">
        <v>0.24299999999999999</v>
      </c>
      <c r="E18" s="111">
        <v>0.24299999999999999</v>
      </c>
      <c r="F18" s="111">
        <v>0.254</v>
      </c>
      <c r="G18" s="16">
        <f t="shared" si="3"/>
        <v>5.3588239553914114</v>
      </c>
      <c r="H18" s="19">
        <f t="shared" si="2"/>
        <v>0.13797203912852249</v>
      </c>
    </row>
    <row r="19" spans="1:8">
      <c r="A19" s="67">
        <v>11</v>
      </c>
      <c r="B19" s="65">
        <v>15.333333333333334</v>
      </c>
      <c r="C19" s="16">
        <v>1</v>
      </c>
      <c r="D19" s="111">
        <v>0.35099999999999998</v>
      </c>
      <c r="E19" s="111">
        <v>0.35199999999999998</v>
      </c>
      <c r="F19" s="111">
        <v>0.34899999999999998</v>
      </c>
      <c r="G19" s="16">
        <f t="shared" si="3"/>
        <v>7.6182200014483312</v>
      </c>
      <c r="H19" s="19">
        <f t="shared" si="2"/>
        <v>3.3185427583140303E-2</v>
      </c>
    </row>
    <row r="20" spans="1:8">
      <c r="A20" s="67">
        <v>12</v>
      </c>
      <c r="B20" s="65">
        <v>16.666666666666668</v>
      </c>
      <c r="C20" s="16">
        <v>1</v>
      </c>
      <c r="D20" s="111">
        <v>0.47599999999999998</v>
      </c>
      <c r="E20" s="111">
        <v>0.48599999999999999</v>
      </c>
      <c r="F20" s="111">
        <v>0.47299999999999998</v>
      </c>
      <c r="G20" s="16">
        <f t="shared" si="3"/>
        <v>10.391773481063074</v>
      </c>
      <c r="H20" s="19">
        <f t="shared" si="2"/>
        <v>0.14787875919083318</v>
      </c>
    </row>
    <row r="21" spans="1:8">
      <c r="A21" s="67">
        <v>13</v>
      </c>
      <c r="B21" s="65">
        <v>18</v>
      </c>
      <c r="C21" s="16">
        <v>1</v>
      </c>
      <c r="D21" s="111">
        <v>0.66900000000000004</v>
      </c>
      <c r="E21" s="111">
        <v>0.67900000000000005</v>
      </c>
      <c r="F21" s="111">
        <v>0.68899999999999995</v>
      </c>
      <c r="G21" s="16">
        <f t="shared" si="3"/>
        <v>14.751249185313922</v>
      </c>
      <c r="H21" s="19">
        <f t="shared" si="2"/>
        <v>0.21724961981316432</v>
      </c>
    </row>
    <row r="22" spans="1:8">
      <c r="A22" s="67">
        <v>14</v>
      </c>
      <c r="B22" s="65">
        <v>19.333333333333332</v>
      </c>
      <c r="C22" s="16">
        <v>1</v>
      </c>
      <c r="D22" s="111">
        <v>0.84199999999999997</v>
      </c>
      <c r="E22" s="111">
        <v>0.85799999999999998</v>
      </c>
      <c r="F22" s="111">
        <v>0.85399999999999998</v>
      </c>
      <c r="G22" s="16">
        <f t="shared" si="3"/>
        <v>18.495184300094138</v>
      </c>
      <c r="H22" s="19">
        <f t="shared" si="2"/>
        <v>0.18089645878480423</v>
      </c>
    </row>
    <row r="23" spans="1:8">
      <c r="A23" s="67">
        <v>15</v>
      </c>
      <c r="B23" s="65">
        <v>24.333333333333332</v>
      </c>
      <c r="C23" s="16">
        <v>1</v>
      </c>
      <c r="D23" s="111">
        <v>1.071</v>
      </c>
      <c r="E23" s="111">
        <v>1.117</v>
      </c>
      <c r="F23" s="111">
        <v>1.1240000000000001</v>
      </c>
      <c r="G23" s="16">
        <f t="shared" si="3"/>
        <v>23.984358027373446</v>
      </c>
      <c r="H23" s="19">
        <f t="shared" si="2"/>
        <v>0.62551292847655882</v>
      </c>
    </row>
    <row r="24" spans="1:8">
      <c r="A24" s="67">
        <v>16</v>
      </c>
      <c r="B24" s="65">
        <v>30.166666666666668</v>
      </c>
      <c r="C24" s="16">
        <v>1</v>
      </c>
      <c r="D24" s="111">
        <v>1.1040000000000001</v>
      </c>
      <c r="E24" s="111">
        <v>1.1040000000000001</v>
      </c>
      <c r="F24" s="111">
        <v>1.0629999999999999</v>
      </c>
      <c r="G24" s="16">
        <f t="shared" ref="G24" si="4">(C24*1000*AVERAGE(D24:F24))/$B$2</f>
        <v>23.687450213628797</v>
      </c>
      <c r="H24" s="19">
        <f t="shared" ref="H24" si="5">(C24*1000*STDEV(D24:F24))/$B$2</f>
        <v>0.51425941856994872</v>
      </c>
    </row>
    <row r="25" spans="1:8">
      <c r="A25" s="67">
        <v>17</v>
      </c>
      <c r="B25" s="65">
        <v>48</v>
      </c>
      <c r="C25" s="16">
        <v>1</v>
      </c>
      <c r="D25" s="111">
        <v>1.141</v>
      </c>
      <c r="E25" s="111">
        <v>1.131</v>
      </c>
      <c r="F25" s="111">
        <v>1.087</v>
      </c>
      <c r="G25" s="16">
        <f>(C25*1000*AVERAGE(E25:F25))/$B$2</f>
        <v>24.092982837280033</v>
      </c>
      <c r="H25" s="19">
        <f>(C25*1000*STDEV(E25:F25))/$B$2</f>
        <v>0.67592218927239012</v>
      </c>
    </row>
    <row r="26" spans="1:8">
      <c r="D26" s="112"/>
      <c r="E26" s="112"/>
      <c r="F26" s="112"/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2" t="s">
        <v>43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2" t="s">
        <v>4</v>
      </c>
      <c r="B6" s="22" t="s">
        <v>60</v>
      </c>
      <c r="C6" s="22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1</v>
      </c>
      <c r="D7" s="19">
        <v>2.9540000000000002</v>
      </c>
      <c r="E7" s="19">
        <v>2.9239999999999999</v>
      </c>
      <c r="F7" s="19">
        <v>2.9220000000000002</v>
      </c>
      <c r="G7" s="16">
        <f>(C7*1000*AVERAGE(D7:F7))/$B$2</f>
        <v>48.848182070496811</v>
      </c>
      <c r="H7" s="19">
        <f>(C7*1000*STDEV(D7:F7))/$B$2</f>
        <v>0.29851411956145008</v>
      </c>
    </row>
    <row r="8" spans="1:8">
      <c r="A8" s="67">
        <v>0</v>
      </c>
      <c r="B8" s="65">
        <v>0.16666666666666666</v>
      </c>
      <c r="C8" s="16">
        <v>1</v>
      </c>
      <c r="D8" s="19">
        <v>2.9510000000000001</v>
      </c>
      <c r="E8" s="19">
        <v>2.9249999999999998</v>
      </c>
      <c r="F8" s="19">
        <v>2.9049999999999998</v>
      </c>
      <c r="G8" s="16">
        <f t="shared" ref="G8:G17" si="0">(C8*1000*AVERAGE(D8:F8))/$B$2</f>
        <v>48.742714404662777</v>
      </c>
      <c r="H8" s="19">
        <f t="shared" ref="H8:H17" si="1">(C8*1000*STDEV(D8:F8))/$B$2</f>
        <v>0.38409867092992056</v>
      </c>
    </row>
    <row r="9" spans="1:8">
      <c r="A9" s="67">
        <v>1</v>
      </c>
      <c r="B9" s="65">
        <v>2</v>
      </c>
      <c r="C9" s="16">
        <v>1</v>
      </c>
      <c r="D9" s="19">
        <v>2.976</v>
      </c>
      <c r="E9" s="19">
        <v>2.927</v>
      </c>
      <c r="F9" s="19">
        <v>2.9289999999999998</v>
      </c>
      <c r="G9" s="16">
        <f t="shared" si="0"/>
        <v>49.025811823480446</v>
      </c>
      <c r="H9" s="19">
        <f t="shared" si="1"/>
        <v>0.46179599080306605</v>
      </c>
    </row>
    <row r="10" spans="1:8">
      <c r="A10" s="67">
        <v>2</v>
      </c>
      <c r="B10" s="65">
        <v>3.3333333333333335</v>
      </c>
      <c r="C10" s="16">
        <v>1</v>
      </c>
      <c r="D10" s="19">
        <v>3.0110000000000001</v>
      </c>
      <c r="E10" s="19">
        <v>2.976</v>
      </c>
      <c r="F10" s="19">
        <v>2.887</v>
      </c>
      <c r="G10" s="16">
        <f t="shared" si="0"/>
        <v>49.258950874271441</v>
      </c>
      <c r="H10" s="19">
        <f t="shared" si="1"/>
        <v>1.0646069747493503</v>
      </c>
    </row>
    <row r="11" spans="1:8">
      <c r="A11" s="67">
        <v>3</v>
      </c>
      <c r="B11" s="65">
        <v>4.666666666666667</v>
      </c>
      <c r="C11" s="16">
        <v>1</v>
      </c>
      <c r="D11" s="19">
        <v>3.0089999999999999</v>
      </c>
      <c r="E11" s="19">
        <v>2.996</v>
      </c>
      <c r="F11" s="19">
        <v>2.988</v>
      </c>
      <c r="G11" s="16">
        <f t="shared" si="0"/>
        <v>49.919511518179306</v>
      </c>
      <c r="H11" s="19">
        <f t="shared" si="1"/>
        <v>0.1764986188796511</v>
      </c>
    </row>
    <row r="12" spans="1:8">
      <c r="A12" s="67">
        <v>4</v>
      </c>
      <c r="B12" s="65">
        <v>6</v>
      </c>
      <c r="C12" s="16">
        <v>1</v>
      </c>
      <c r="D12" s="19">
        <v>2.948</v>
      </c>
      <c r="E12" s="19">
        <v>2.98</v>
      </c>
      <c r="F12" s="19">
        <v>2.9249999999999998</v>
      </c>
      <c r="G12" s="16">
        <f t="shared" si="0"/>
        <v>49.142381348875936</v>
      </c>
      <c r="H12" s="19">
        <f t="shared" si="1"/>
        <v>0.45999091813266185</v>
      </c>
    </row>
    <row r="13" spans="1:8">
      <c r="A13" s="67">
        <v>5</v>
      </c>
      <c r="B13" s="65">
        <v>7.333333333333333</v>
      </c>
      <c r="C13" s="16">
        <v>1</v>
      </c>
      <c r="D13" s="19">
        <v>2.9430000000000001</v>
      </c>
      <c r="E13" s="19">
        <v>2.9369999999999998</v>
      </c>
      <c r="F13" s="19">
        <v>2.911</v>
      </c>
      <c r="G13" s="16">
        <f t="shared" si="0"/>
        <v>48.798223702470167</v>
      </c>
      <c r="H13" s="19">
        <f t="shared" si="1"/>
        <v>0.28326063440850524</v>
      </c>
    </row>
    <row r="14" spans="1:8">
      <c r="A14" s="67">
        <v>6</v>
      </c>
      <c r="B14" s="65">
        <v>8.6666666666666661</v>
      </c>
      <c r="C14" s="16">
        <v>1</v>
      </c>
      <c r="D14" s="19">
        <v>2.9260000000000002</v>
      </c>
      <c r="E14" s="19">
        <v>2.9289999999999998</v>
      </c>
      <c r="F14" s="19">
        <v>2.9620000000000002</v>
      </c>
      <c r="G14" s="16">
        <f t="shared" si="0"/>
        <v>48.94254787676936</v>
      </c>
      <c r="H14" s="19">
        <f t="shared" si="1"/>
        <v>0.33263920658515039</v>
      </c>
    </row>
    <row r="15" spans="1:8">
      <c r="A15" s="67">
        <v>7</v>
      </c>
      <c r="B15" s="65">
        <v>10</v>
      </c>
      <c r="C15" s="16">
        <v>1</v>
      </c>
      <c r="D15" s="19">
        <v>2.8889999999999998</v>
      </c>
      <c r="E15" s="19">
        <v>2.85</v>
      </c>
      <c r="F15" s="19">
        <v>2.7879999999999998</v>
      </c>
      <c r="G15" s="16">
        <f t="shared" si="0"/>
        <v>47.332778240355253</v>
      </c>
      <c r="H15" s="19">
        <f t="shared" si="1"/>
        <v>0.84820314051830326</v>
      </c>
    </row>
    <row r="16" spans="1:8">
      <c r="A16" s="67">
        <v>8</v>
      </c>
      <c r="B16" s="65">
        <v>11.333333333333334</v>
      </c>
      <c r="C16" s="16">
        <v>1</v>
      </c>
      <c r="D16" s="19">
        <v>2.8410000000000002</v>
      </c>
      <c r="E16" s="19">
        <v>2.8069999999999999</v>
      </c>
      <c r="F16" s="19">
        <v>2.8479999999999999</v>
      </c>
      <c r="G16" s="16">
        <f t="shared" si="0"/>
        <v>47.160699417152365</v>
      </c>
      <c r="H16" s="19">
        <f t="shared" si="1"/>
        <v>0.3652241831717124</v>
      </c>
    </row>
    <row r="17" spans="1:8">
      <c r="A17" s="67">
        <v>9</v>
      </c>
      <c r="B17" s="65">
        <v>12.666666666666666</v>
      </c>
      <c r="C17" s="16">
        <v>1</v>
      </c>
      <c r="D17" s="19">
        <v>2.843</v>
      </c>
      <c r="E17" s="19">
        <v>2.82</v>
      </c>
      <c r="F17" s="19">
        <v>2.839</v>
      </c>
      <c r="G17" s="16">
        <f t="shared" si="0"/>
        <v>47.194004995836806</v>
      </c>
      <c r="H17" s="19">
        <f t="shared" si="1"/>
        <v>0.20463290137293225</v>
      </c>
    </row>
    <row r="18" spans="1:8">
      <c r="A18" s="67">
        <v>10</v>
      </c>
      <c r="B18" s="65">
        <v>14</v>
      </c>
      <c r="C18" s="16">
        <v>1</v>
      </c>
      <c r="D18" s="19">
        <v>2.762</v>
      </c>
      <c r="E18" s="19">
        <v>2.7629999999999999</v>
      </c>
      <c r="F18" s="19">
        <v>2.7839999999999998</v>
      </c>
      <c r="G18" s="16">
        <f t="shared" ref="G18:G23" si="2">(C18*1000*AVERAGE(D18:F18))/$B$2</f>
        <v>46.122675548154326</v>
      </c>
      <c r="H18" s="19">
        <f t="shared" ref="H18:H23" si="3">(C18*1000*STDEV(D18:F18))/$B$2</f>
        <v>0.2068792134730402</v>
      </c>
    </row>
    <row r="19" spans="1:8">
      <c r="A19" s="67">
        <v>11</v>
      </c>
      <c r="B19" s="65">
        <v>15.333333333333334</v>
      </c>
      <c r="C19" s="16">
        <v>1</v>
      </c>
      <c r="D19" s="19">
        <v>2.67</v>
      </c>
      <c r="E19" s="19">
        <v>2.6419999999999999</v>
      </c>
      <c r="F19" s="19">
        <v>2.6259999999999999</v>
      </c>
      <c r="G19" s="16">
        <f t="shared" si="2"/>
        <v>44.063280599500409</v>
      </c>
      <c r="H19" s="19">
        <f t="shared" si="3"/>
        <v>0.37087522816519747</v>
      </c>
    </row>
    <row r="20" spans="1:8">
      <c r="A20" s="67">
        <v>12</v>
      </c>
      <c r="B20" s="65">
        <v>16.666666666666668</v>
      </c>
      <c r="C20" s="16">
        <v>1</v>
      </c>
      <c r="D20" s="19">
        <v>2.4260000000000002</v>
      </c>
      <c r="E20" s="19">
        <v>2.4449999999999998</v>
      </c>
      <c r="F20" s="19">
        <v>2.4</v>
      </c>
      <c r="G20" s="16">
        <f t="shared" si="2"/>
        <v>40.360810435747993</v>
      </c>
      <c r="H20" s="19">
        <f t="shared" si="3"/>
        <v>0.37619581182031436</v>
      </c>
    </row>
    <row r="21" spans="1:8">
      <c r="A21" s="67">
        <v>13</v>
      </c>
      <c r="B21" s="65">
        <v>18</v>
      </c>
      <c r="C21" s="16">
        <v>1</v>
      </c>
      <c r="D21" s="19">
        <v>2.262</v>
      </c>
      <c r="E21" s="19">
        <v>2.2919999999999998</v>
      </c>
      <c r="F21" s="19">
        <v>2.2679999999999998</v>
      </c>
      <c r="G21" s="16">
        <f t="shared" si="2"/>
        <v>37.868442964196504</v>
      </c>
      <c r="H21" s="19">
        <f t="shared" si="3"/>
        <v>0.26435483541028271</v>
      </c>
    </row>
    <row r="22" spans="1:8">
      <c r="A22" s="67">
        <v>14</v>
      </c>
      <c r="B22" s="65">
        <v>19.333333333333332</v>
      </c>
      <c r="C22" s="16">
        <v>1</v>
      </c>
      <c r="D22" s="19">
        <v>2.0960000000000001</v>
      </c>
      <c r="E22" s="19">
        <v>2.125</v>
      </c>
      <c r="F22" s="19">
        <v>2.105</v>
      </c>
      <c r="G22" s="16">
        <f t="shared" si="2"/>
        <v>35.115181792950317</v>
      </c>
      <c r="H22" s="19">
        <f t="shared" si="3"/>
        <v>0.24718783323022225</v>
      </c>
    </row>
    <row r="23" spans="1:8">
      <c r="A23" s="67">
        <v>15</v>
      </c>
      <c r="B23" s="65">
        <v>24.333333333333332</v>
      </c>
      <c r="C23" s="16">
        <v>1</v>
      </c>
      <c r="D23" s="19">
        <v>1.9419999999999999</v>
      </c>
      <c r="E23" s="19">
        <v>2.0099999999999998</v>
      </c>
      <c r="F23" s="19">
        <v>2.0419999999999998</v>
      </c>
      <c r="G23" s="16">
        <f t="shared" si="2"/>
        <v>33.272273105745214</v>
      </c>
      <c r="H23" s="19">
        <f t="shared" si="3"/>
        <v>0.85043432704770594</v>
      </c>
    </row>
    <row r="24" spans="1:8">
      <c r="A24" s="67">
        <v>16</v>
      </c>
      <c r="B24" s="65">
        <v>30.166666666666668</v>
      </c>
      <c r="C24" s="16">
        <v>1</v>
      </c>
      <c r="D24" s="19">
        <v>1.982</v>
      </c>
      <c r="E24" s="19">
        <v>2.0139999999999998</v>
      </c>
      <c r="F24" s="19">
        <v>1.9239999999999999</v>
      </c>
      <c r="G24" s="16">
        <f t="shared" ref="G24:G25" si="4">(C24*1000*AVERAGE(D24:F24))/$B$2</f>
        <v>32.861504301970584</v>
      </c>
      <c r="H24" s="19">
        <f t="shared" ref="H24:H25" si="5">(C24*1000*STDEV(D24:F24))/$B$2</f>
        <v>0.75972743206996862</v>
      </c>
    </row>
    <row r="25" spans="1:8">
      <c r="A25" s="67">
        <v>17</v>
      </c>
      <c r="B25" s="65">
        <v>48</v>
      </c>
      <c r="C25" s="16">
        <v>1</v>
      </c>
      <c r="D25" s="19">
        <v>2.04</v>
      </c>
      <c r="E25" s="19">
        <v>2.048</v>
      </c>
      <c r="F25" s="19">
        <v>1.958</v>
      </c>
      <c r="G25" s="16">
        <f t="shared" si="4"/>
        <v>33.560921454343607</v>
      </c>
      <c r="H25" s="19">
        <f t="shared" si="5"/>
        <v>0.82952512209703733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42" t="s">
        <v>67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8" t="s">
        <v>4</v>
      </c>
      <c r="B6" s="28" t="s">
        <v>60</v>
      </c>
      <c r="C6" s="28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7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7">
        <v>14</v>
      </c>
      <c r="B22" s="65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7">
        <v>15</v>
      </c>
      <c r="B23" s="65">
        <v>24.333333333333332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7">
        <v>16</v>
      </c>
      <c r="B24" s="65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7">
        <v>17</v>
      </c>
      <c r="B25" s="65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42" t="s">
        <v>66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8" t="s">
        <v>4</v>
      </c>
      <c r="B6" s="28" t="s">
        <v>60</v>
      </c>
      <c r="C6" s="28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1</v>
      </c>
      <c r="D7" s="109">
        <v>0</v>
      </c>
      <c r="E7" s="110">
        <v>0</v>
      </c>
      <c r="F7" s="110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7">
        <v>0</v>
      </c>
      <c r="B8" s="65">
        <v>0.16666666666666666</v>
      </c>
      <c r="C8" s="16">
        <v>1</v>
      </c>
      <c r="D8" s="57">
        <v>0</v>
      </c>
      <c r="E8" s="58">
        <v>0</v>
      </c>
      <c r="F8" s="58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7">
        <v>1</v>
      </c>
      <c r="B9" s="65">
        <v>2</v>
      </c>
      <c r="C9" s="16">
        <v>1</v>
      </c>
      <c r="D9" s="57">
        <v>0</v>
      </c>
      <c r="E9" s="58">
        <v>0</v>
      </c>
      <c r="F9" s="58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7">
        <v>2</v>
      </c>
      <c r="B10" s="65">
        <v>3.3333333333333335</v>
      </c>
      <c r="C10" s="16">
        <v>1</v>
      </c>
      <c r="D10" s="43">
        <v>1.4999999999999999E-2</v>
      </c>
      <c r="E10" s="43">
        <v>1.7999999999999999E-2</v>
      </c>
      <c r="F10" s="43">
        <v>1.2999999999999999E-2</v>
      </c>
      <c r="G10" s="16">
        <f t="shared" si="1"/>
        <v>0.17402489312601671</v>
      </c>
      <c r="H10" s="19">
        <f t="shared" si="0"/>
        <v>2.8562155015589407E-2</v>
      </c>
    </row>
    <row r="11" spans="1:8">
      <c r="A11" s="67">
        <v>3</v>
      </c>
      <c r="B11" s="65">
        <v>4.666666666666667</v>
      </c>
      <c r="C11" s="16">
        <v>1</v>
      </c>
      <c r="D11" s="43">
        <v>5.1999999999999998E-2</v>
      </c>
      <c r="E11" s="43">
        <v>0.05</v>
      </c>
      <c r="F11" s="43">
        <v>4.9000000000000002E-2</v>
      </c>
      <c r="G11" s="16">
        <f t="shared" si="1"/>
        <v>0.57125562743540281</v>
      </c>
      <c r="H11" s="19">
        <f t="shared" si="0"/>
        <v>1.7336570555577621E-2</v>
      </c>
    </row>
    <row r="12" spans="1:8">
      <c r="A12" s="67">
        <v>4</v>
      </c>
      <c r="B12" s="65">
        <v>6</v>
      </c>
      <c r="C12" s="16">
        <v>1</v>
      </c>
      <c r="D12" s="43">
        <v>8.3000000000000004E-2</v>
      </c>
      <c r="E12" s="43">
        <v>8.2000000000000003E-2</v>
      </c>
      <c r="F12" s="43">
        <v>8.5000000000000006E-2</v>
      </c>
      <c r="G12" s="16">
        <f t="shared" si="1"/>
        <v>0.94578746264139513</v>
      </c>
      <c r="H12" s="19">
        <f t="shared" si="0"/>
        <v>1.7336570555577663E-2</v>
      </c>
    </row>
    <row r="13" spans="1:8">
      <c r="A13" s="67">
        <v>5</v>
      </c>
      <c r="B13" s="65">
        <v>7.333333333333333</v>
      </c>
      <c r="C13" s="16">
        <v>1</v>
      </c>
      <c r="D13" s="56">
        <v>0.12</v>
      </c>
      <c r="E13" s="43">
        <v>0.11799999999999999</v>
      </c>
      <c r="F13" s="43">
        <v>0.114</v>
      </c>
      <c r="G13" s="16">
        <f t="shared" si="1"/>
        <v>1.3316687473990845</v>
      </c>
      <c r="H13" s="19">
        <f t="shared" si="0"/>
        <v>3.4673141111155242E-2</v>
      </c>
    </row>
    <row r="14" spans="1:8">
      <c r="A14" s="67">
        <v>6</v>
      </c>
      <c r="B14" s="65">
        <v>8.6666666666666661</v>
      </c>
      <c r="C14" s="16">
        <v>1</v>
      </c>
      <c r="D14" s="56">
        <v>0.15</v>
      </c>
      <c r="E14" s="56">
        <v>0.15</v>
      </c>
      <c r="F14" s="43">
        <v>0.156</v>
      </c>
      <c r="G14" s="16">
        <f t="shared" si="1"/>
        <v>1.7251163318579048</v>
      </c>
      <c r="H14" s="19">
        <f t="shared" si="0"/>
        <v>3.9315646522957187E-2</v>
      </c>
    </row>
    <row r="15" spans="1:8">
      <c r="A15" s="67">
        <v>7</v>
      </c>
      <c r="B15" s="65">
        <v>10</v>
      </c>
      <c r="C15" s="16">
        <v>1</v>
      </c>
      <c r="D15" s="43">
        <v>0.193</v>
      </c>
      <c r="E15" s="43">
        <v>0.187</v>
      </c>
      <c r="F15" s="43">
        <v>0.182</v>
      </c>
      <c r="G15" s="16">
        <f t="shared" si="1"/>
        <v>2.1261302160178568</v>
      </c>
      <c r="H15" s="19">
        <f t="shared" si="0"/>
        <v>6.2507894078834489E-2</v>
      </c>
    </row>
    <row r="16" spans="1:8">
      <c r="A16" s="67">
        <v>8</v>
      </c>
      <c r="B16" s="65">
        <v>11.333333333333334</v>
      </c>
      <c r="C16" s="16">
        <v>1</v>
      </c>
      <c r="D16" s="43">
        <v>0.252</v>
      </c>
      <c r="E16" s="43">
        <v>0.24199999999999999</v>
      </c>
      <c r="F16" s="43">
        <v>0.248</v>
      </c>
      <c r="G16" s="16">
        <f t="shared" si="1"/>
        <v>2.807097189119661</v>
      </c>
      <c r="H16" s="19">
        <f t="shared" si="0"/>
        <v>5.7124310031178877E-2</v>
      </c>
    </row>
    <row r="17" spans="1:8">
      <c r="A17" s="67">
        <v>9</v>
      </c>
      <c r="B17" s="65">
        <v>12.666666666666666</v>
      </c>
      <c r="C17" s="16">
        <v>1</v>
      </c>
      <c r="D17" s="43">
        <v>0.33300000000000002</v>
      </c>
      <c r="E17" s="43">
        <v>0.33200000000000002</v>
      </c>
      <c r="F17" s="43">
        <v>0.33300000000000002</v>
      </c>
      <c r="G17" s="16">
        <f t="shared" si="1"/>
        <v>3.7755835508644502</v>
      </c>
      <c r="H17" s="19">
        <f t="shared" si="0"/>
        <v>6.5526077538261979E-3</v>
      </c>
    </row>
    <row r="18" spans="1:8">
      <c r="A18" s="67">
        <v>10</v>
      </c>
      <c r="B18" s="65">
        <v>14</v>
      </c>
      <c r="C18" s="16">
        <v>1</v>
      </c>
      <c r="D18" s="68">
        <v>0.51</v>
      </c>
      <c r="E18" s="34">
        <v>0.51300000000000001</v>
      </c>
      <c r="F18" s="34">
        <v>0.51200000000000001</v>
      </c>
      <c r="G18" s="16">
        <f t="shared" ref="G18:G23" si="2">(C18*1000*AVERAGE(D18:F18))/$B$2</f>
        <v>5.8071350206181673</v>
      </c>
      <c r="H18" s="19">
        <f t="shared" ref="H18:H23" si="3">(C18*1000*STDEV(D18:F18))/$B$2</f>
        <v>1.7336570555577663E-2</v>
      </c>
    </row>
    <row r="19" spans="1:8">
      <c r="A19" s="67">
        <v>11</v>
      </c>
      <c r="B19" s="65">
        <v>15.333333333333334</v>
      </c>
      <c r="C19" s="16">
        <v>1</v>
      </c>
      <c r="D19" s="68">
        <v>0.77</v>
      </c>
      <c r="E19" s="34">
        <v>0.76600000000000001</v>
      </c>
      <c r="F19" s="34">
        <v>0.75600000000000001</v>
      </c>
      <c r="G19" s="16">
        <f t="shared" si="2"/>
        <v>8.6709794574963102</v>
      </c>
      <c r="H19" s="19">
        <f t="shared" si="3"/>
        <v>8.1842044613868861E-2</v>
      </c>
    </row>
    <row r="20" spans="1:8">
      <c r="A20" s="67">
        <v>12</v>
      </c>
      <c r="B20" s="65">
        <v>16.666666666666668</v>
      </c>
      <c r="C20" s="16">
        <v>1</v>
      </c>
      <c r="D20" s="34">
        <v>1.139</v>
      </c>
      <c r="E20" s="34">
        <v>1.1499999999999999</v>
      </c>
      <c r="F20" s="34">
        <v>1.135</v>
      </c>
      <c r="G20" s="16">
        <f t="shared" si="2"/>
        <v>12.953505088336545</v>
      </c>
      <c r="H20" s="19">
        <f t="shared" si="3"/>
        <v>8.8156321247917072E-2</v>
      </c>
    </row>
    <row r="21" spans="1:8">
      <c r="A21" s="67">
        <v>13</v>
      </c>
      <c r="B21" s="65">
        <v>18</v>
      </c>
      <c r="C21" s="16">
        <v>1</v>
      </c>
      <c r="D21" s="59">
        <v>1.653</v>
      </c>
      <c r="E21" s="34">
        <v>1.6639999999999999</v>
      </c>
      <c r="F21" s="68">
        <v>1.67</v>
      </c>
      <c r="G21" s="16">
        <f t="shared" si="2"/>
        <v>18.866568304770553</v>
      </c>
      <c r="H21" s="19">
        <f t="shared" si="3"/>
        <v>9.7851300695172574E-2</v>
      </c>
    </row>
    <row r="22" spans="1:8">
      <c r="A22" s="67">
        <v>14</v>
      </c>
      <c r="B22" s="65">
        <v>19.333333333333332</v>
      </c>
      <c r="C22" s="16">
        <v>1</v>
      </c>
      <c r="D22" s="34">
        <v>2.0880000000000001</v>
      </c>
      <c r="E22" s="34">
        <v>2.1030000000000002</v>
      </c>
      <c r="F22" s="34">
        <v>2.0979999999999999</v>
      </c>
      <c r="G22" s="16">
        <f t="shared" si="2"/>
        <v>23.792229410206939</v>
      </c>
      <c r="H22" s="19">
        <f t="shared" si="3"/>
        <v>8.6682852777888605E-2</v>
      </c>
    </row>
    <row r="23" spans="1:8">
      <c r="A23" s="67">
        <v>15</v>
      </c>
      <c r="B23" s="65">
        <v>24.333333333333332</v>
      </c>
      <c r="C23" s="16">
        <v>1</v>
      </c>
      <c r="D23" s="34">
        <v>2.359</v>
      </c>
      <c r="E23" s="34">
        <v>2.468</v>
      </c>
      <c r="F23" s="34">
        <v>2.4870000000000001</v>
      </c>
      <c r="G23" s="16">
        <f t="shared" si="2"/>
        <v>27.669958007036659</v>
      </c>
      <c r="H23" s="19">
        <f t="shared" si="3"/>
        <v>0.78393401154598275</v>
      </c>
    </row>
    <row r="24" spans="1:8">
      <c r="A24" s="67">
        <v>16</v>
      </c>
      <c r="B24" s="65">
        <v>30.166666666666668</v>
      </c>
      <c r="C24" s="16">
        <v>1</v>
      </c>
      <c r="D24" s="34">
        <v>2.476</v>
      </c>
      <c r="E24" s="34">
        <v>2.488</v>
      </c>
      <c r="F24" s="34">
        <v>2.3959999999999999</v>
      </c>
      <c r="G24" s="16">
        <f t="shared" ref="G24:G25" si="4">(C24*1000*AVERAGE(D24:F24))/$B$2</f>
        <v>27.843982900162679</v>
      </c>
      <c r="H24" s="19">
        <f t="shared" ref="H24:H25" si="5">(C24*1000*STDEV(D24:F24))/$B$2</f>
        <v>0.56762378340743969</v>
      </c>
    </row>
    <row r="25" spans="1:8">
      <c r="A25" s="67">
        <v>17</v>
      </c>
      <c r="B25" s="65">
        <v>48</v>
      </c>
      <c r="C25" s="16">
        <v>1</v>
      </c>
      <c r="D25" s="34">
        <v>2.6080000000000001</v>
      </c>
      <c r="E25" s="34">
        <v>2.5870000000000002</v>
      </c>
      <c r="F25" s="34">
        <v>2.4830000000000001</v>
      </c>
      <c r="G25" s="16">
        <f t="shared" si="4"/>
        <v>29.047024552642533</v>
      </c>
      <c r="H25" s="19">
        <f t="shared" si="5"/>
        <v>0.75967872132575764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2" t="s">
        <v>42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2" t="s">
        <v>4</v>
      </c>
      <c r="B6" s="22" t="s">
        <v>60</v>
      </c>
      <c r="C6" s="22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1</v>
      </c>
      <c r="D7" s="42">
        <v>0.188</v>
      </c>
      <c r="E7" s="42">
        <v>0.188</v>
      </c>
      <c r="F7" s="42">
        <v>0.188</v>
      </c>
      <c r="G7" s="16">
        <f>(C7*1000*AVERAGE(D7:F7))/$B$2</f>
        <v>2.0870337477797518</v>
      </c>
      <c r="H7" s="19">
        <f>(C7*1000*STDEV(D7:F7))/$B$2</f>
        <v>3.7737010310571668E-16</v>
      </c>
    </row>
    <row r="8" spans="1:8">
      <c r="A8" s="67">
        <v>0</v>
      </c>
      <c r="B8" s="65">
        <v>0.16666666666666666</v>
      </c>
      <c r="C8" s="16">
        <v>1</v>
      </c>
      <c r="D8" s="42">
        <v>0.189</v>
      </c>
      <c r="E8" s="42">
        <v>0.189</v>
      </c>
      <c r="F8" s="42">
        <v>0.188</v>
      </c>
      <c r="G8" s="16">
        <f t="shared" ref="G8:G23" si="0">(C8*1000*AVERAGE(D8:F8))/$B$2</f>
        <v>2.0944345766725876</v>
      </c>
      <c r="H8" s="19">
        <f t="shared" ref="H8:H23" si="1">(C8*1000*STDEV(D8:F8))/$B$2</f>
        <v>6.4093058302578405E-3</v>
      </c>
    </row>
    <row r="9" spans="1:8">
      <c r="A9" s="67">
        <v>1</v>
      </c>
      <c r="B9" s="65">
        <v>2</v>
      </c>
      <c r="C9" s="16">
        <v>1</v>
      </c>
      <c r="D9" s="42">
        <v>0.187</v>
      </c>
      <c r="E9" s="42">
        <v>0.187</v>
      </c>
      <c r="F9" s="42">
        <v>0.188</v>
      </c>
      <c r="G9" s="16">
        <f t="shared" si="0"/>
        <v>2.0796329188869156</v>
      </c>
      <c r="H9" s="19">
        <f t="shared" si="1"/>
        <v>6.4093058302578405E-3</v>
      </c>
    </row>
    <row r="10" spans="1:8">
      <c r="A10" s="67">
        <v>2</v>
      </c>
      <c r="B10" s="65">
        <v>3.3333333333333335</v>
      </c>
      <c r="C10" s="16">
        <v>1</v>
      </c>
      <c r="D10" s="56">
        <v>0.19</v>
      </c>
      <c r="E10" s="56">
        <v>0.191</v>
      </c>
      <c r="F10" s="56">
        <v>0.188</v>
      </c>
      <c r="G10" s="16">
        <f t="shared" si="0"/>
        <v>2.1055358200118413</v>
      </c>
      <c r="H10" s="19">
        <f t="shared" si="1"/>
        <v>1.6957429303418606E-2</v>
      </c>
    </row>
    <row r="11" spans="1:8">
      <c r="A11" s="67">
        <v>3</v>
      </c>
      <c r="B11" s="65">
        <v>4.666666666666667</v>
      </c>
      <c r="C11" s="16">
        <v>1</v>
      </c>
      <c r="D11" s="56">
        <v>0.19</v>
      </c>
      <c r="E11" s="56">
        <v>0.189</v>
      </c>
      <c r="F11" s="56">
        <v>0.189</v>
      </c>
      <c r="G11" s="16">
        <f t="shared" si="0"/>
        <v>2.1018354055654234</v>
      </c>
      <c r="H11" s="19">
        <f t="shared" si="1"/>
        <v>6.4093058302578405E-3</v>
      </c>
    </row>
    <row r="12" spans="1:8">
      <c r="A12" s="67">
        <v>4</v>
      </c>
      <c r="B12" s="65">
        <v>6</v>
      </c>
      <c r="C12" s="16">
        <v>1</v>
      </c>
      <c r="D12" s="56">
        <v>0.19400000000000001</v>
      </c>
      <c r="E12" s="56">
        <v>0.19400000000000001</v>
      </c>
      <c r="F12" s="56">
        <v>0.19400000000000001</v>
      </c>
      <c r="G12" s="16">
        <f t="shared" si="0"/>
        <v>2.1536412078152756</v>
      </c>
      <c r="H12" s="19">
        <f t="shared" si="1"/>
        <v>3.7737010310571668E-16</v>
      </c>
    </row>
    <row r="13" spans="1:8">
      <c r="A13" s="67">
        <v>5</v>
      </c>
      <c r="B13" s="65">
        <v>7.333333333333333</v>
      </c>
      <c r="C13" s="16">
        <v>1</v>
      </c>
      <c r="D13" s="56">
        <v>0.193</v>
      </c>
      <c r="E13" s="56">
        <v>0.19400000000000001</v>
      </c>
      <c r="F13" s="56">
        <v>0.19400000000000001</v>
      </c>
      <c r="G13" s="16">
        <f t="shared" si="0"/>
        <v>2.1499407933688572</v>
      </c>
      <c r="H13" s="19">
        <f t="shared" si="1"/>
        <v>6.4093058302578405E-3</v>
      </c>
    </row>
    <row r="14" spans="1:8">
      <c r="A14" s="67">
        <v>6</v>
      </c>
      <c r="B14" s="65">
        <v>8.6666666666666661</v>
      </c>
      <c r="C14" s="16">
        <v>1</v>
      </c>
      <c r="D14" s="56">
        <v>0.192</v>
      </c>
      <c r="E14" s="56">
        <v>0.19400000000000001</v>
      </c>
      <c r="F14" s="56">
        <v>0.193</v>
      </c>
      <c r="G14" s="16">
        <f t="shared" si="0"/>
        <v>2.142539964476021</v>
      </c>
      <c r="H14" s="19">
        <f t="shared" si="1"/>
        <v>1.1101243339254007E-2</v>
      </c>
    </row>
    <row r="15" spans="1:8">
      <c r="A15" s="67">
        <v>7</v>
      </c>
      <c r="B15" s="65">
        <v>10</v>
      </c>
      <c r="C15" s="16">
        <v>1</v>
      </c>
      <c r="D15" s="56">
        <v>0.193</v>
      </c>
      <c r="E15" s="56">
        <v>0.17899999999999999</v>
      </c>
      <c r="F15" s="56">
        <v>0.17799999999999999</v>
      </c>
      <c r="G15" s="16">
        <f t="shared" si="0"/>
        <v>2.0352279455298996</v>
      </c>
      <c r="H15" s="19">
        <f t="shared" si="1"/>
        <v>9.3100544889055184E-2</v>
      </c>
    </row>
    <row r="16" spans="1:8">
      <c r="A16" s="67">
        <v>8</v>
      </c>
      <c r="B16" s="65">
        <v>11.333333333333334</v>
      </c>
      <c r="C16" s="16">
        <v>1</v>
      </c>
      <c r="D16" s="56">
        <v>0.17699999999999999</v>
      </c>
      <c r="E16" s="56">
        <v>0.18</v>
      </c>
      <c r="F16" s="56">
        <v>0.17599999999999999</v>
      </c>
      <c r="G16" s="16">
        <f t="shared" si="0"/>
        <v>1.9723208999407931</v>
      </c>
      <c r="H16" s="19">
        <f t="shared" si="1"/>
        <v>2.3109080811124942E-2</v>
      </c>
    </row>
    <row r="17" spans="1:8">
      <c r="A17" s="67">
        <v>9</v>
      </c>
      <c r="B17" s="65">
        <v>12.666666666666666</v>
      </c>
      <c r="C17" s="16">
        <v>1</v>
      </c>
      <c r="D17" s="56">
        <v>0.17699999999999999</v>
      </c>
      <c r="E17" s="56">
        <v>0.17799999999999999</v>
      </c>
      <c r="F17" s="56">
        <v>0.17499999999999999</v>
      </c>
      <c r="G17" s="16">
        <f t="shared" si="0"/>
        <v>1.9612196566015394</v>
      </c>
      <c r="H17" s="19">
        <f t="shared" si="1"/>
        <v>1.6957429303418606E-2</v>
      </c>
    </row>
    <row r="18" spans="1:8">
      <c r="A18" s="67">
        <v>10</v>
      </c>
      <c r="B18" s="65">
        <v>14</v>
      </c>
      <c r="C18" s="16">
        <v>1</v>
      </c>
      <c r="D18" s="42">
        <v>0.16900000000000001</v>
      </c>
      <c r="E18" s="42">
        <v>0.16700000000000001</v>
      </c>
      <c r="F18" s="42">
        <v>0.16800000000000001</v>
      </c>
      <c r="G18" s="16">
        <f t="shared" si="0"/>
        <v>1.8650088809946714</v>
      </c>
      <c r="H18" s="19">
        <f t="shared" si="1"/>
        <v>1.1101243339254007E-2</v>
      </c>
    </row>
    <row r="19" spans="1:8">
      <c r="A19" s="67">
        <v>11</v>
      </c>
      <c r="B19" s="65">
        <v>15.333333333333334</v>
      </c>
      <c r="C19" s="16">
        <v>1</v>
      </c>
      <c r="D19" s="56">
        <v>0.16600000000000001</v>
      </c>
      <c r="E19" s="56">
        <v>0.16700000000000001</v>
      </c>
      <c r="F19" s="56">
        <v>0.16700000000000001</v>
      </c>
      <c r="G19" s="16">
        <f t="shared" si="0"/>
        <v>1.8502072232089994</v>
      </c>
      <c r="H19" s="19">
        <f t="shared" si="1"/>
        <v>6.4093058302578405E-3</v>
      </c>
    </row>
    <row r="20" spans="1:8">
      <c r="A20" s="67">
        <v>12</v>
      </c>
      <c r="B20" s="65">
        <v>16.666666666666668</v>
      </c>
      <c r="C20" s="16">
        <v>1</v>
      </c>
      <c r="D20" s="56">
        <v>0.17599999999999999</v>
      </c>
      <c r="E20" s="56">
        <v>0.17499999999999999</v>
      </c>
      <c r="F20" s="56">
        <v>0.17299999999999999</v>
      </c>
      <c r="G20" s="16">
        <f t="shared" si="0"/>
        <v>1.9390171699230314</v>
      </c>
      <c r="H20" s="19">
        <f t="shared" si="1"/>
        <v>1.6957429303418606E-2</v>
      </c>
    </row>
    <row r="21" spans="1:8">
      <c r="A21" s="67">
        <v>13</v>
      </c>
      <c r="B21" s="65">
        <v>18</v>
      </c>
      <c r="C21" s="16">
        <v>1</v>
      </c>
      <c r="D21" s="56">
        <v>0.17599999999999999</v>
      </c>
      <c r="E21" s="56">
        <v>0.17799999999999999</v>
      </c>
      <c r="F21" s="56">
        <v>0.17399999999999999</v>
      </c>
      <c r="G21" s="16">
        <f t="shared" si="0"/>
        <v>1.9538188277087036</v>
      </c>
      <c r="H21" s="19">
        <f t="shared" si="1"/>
        <v>2.2202486678508014E-2</v>
      </c>
    </row>
    <row r="22" spans="1:8">
      <c r="A22" s="67">
        <v>14</v>
      </c>
      <c r="B22" s="65">
        <v>19.333333333333332</v>
      </c>
      <c r="C22" s="16">
        <v>1</v>
      </c>
      <c r="D22" s="56">
        <v>0.188</v>
      </c>
      <c r="E22" s="56">
        <v>0.184</v>
      </c>
      <c r="F22" s="56">
        <v>0.187</v>
      </c>
      <c r="G22" s="16">
        <f t="shared" si="0"/>
        <v>2.068531675547661</v>
      </c>
      <c r="H22" s="19">
        <f t="shared" si="1"/>
        <v>2.3109080811124942E-2</v>
      </c>
    </row>
    <row r="23" spans="1:8">
      <c r="A23" s="67">
        <v>15</v>
      </c>
      <c r="B23" s="65">
        <v>24.333333333333332</v>
      </c>
      <c r="C23" s="16">
        <v>1</v>
      </c>
      <c r="D23" s="56">
        <v>0.25900000000000001</v>
      </c>
      <c r="E23" s="56">
        <v>0.26100000000000001</v>
      </c>
      <c r="F23" s="56">
        <v>0.26300000000000001</v>
      </c>
      <c r="G23" s="16">
        <f t="shared" si="0"/>
        <v>2.8974245115452932</v>
      </c>
      <c r="H23" s="19">
        <f t="shared" si="1"/>
        <v>2.2202486678508014E-2</v>
      </c>
    </row>
    <row r="24" spans="1:8">
      <c r="A24" s="67">
        <v>16</v>
      </c>
      <c r="B24" s="65">
        <v>30.166666666666668</v>
      </c>
      <c r="C24" s="16">
        <v>1</v>
      </c>
      <c r="D24" s="56">
        <v>0.29099999999999998</v>
      </c>
      <c r="E24" s="56">
        <v>0.29299999999999998</v>
      </c>
      <c r="F24" s="56">
        <v>0.28899999999999998</v>
      </c>
      <c r="G24" s="16">
        <f t="shared" ref="G24:G25" si="2">(C24*1000*AVERAGE(D24:F24))/$B$2</f>
        <v>3.2304618117229129</v>
      </c>
      <c r="H24" s="19">
        <f t="shared" ref="H24:H25" si="3">(C24*1000*STDEV(D24:F24))/$B$2</f>
        <v>2.2202486678508014E-2</v>
      </c>
    </row>
    <row r="25" spans="1:8">
      <c r="A25" s="67">
        <v>17</v>
      </c>
      <c r="B25" s="65">
        <v>48</v>
      </c>
      <c r="C25" s="16">
        <v>1</v>
      </c>
      <c r="D25" s="56">
        <v>0.32800000000000001</v>
      </c>
      <c r="E25" s="56">
        <v>0.32600000000000001</v>
      </c>
      <c r="F25" s="56">
        <v>0.32</v>
      </c>
      <c r="G25" s="16">
        <f t="shared" si="2"/>
        <v>3.6042036708111311</v>
      </c>
      <c r="H25" s="19">
        <f t="shared" si="3"/>
        <v>4.6218161622249877E-2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2" t="s">
        <v>44</v>
      </c>
      <c r="B4" s="143"/>
      <c r="C4" s="143"/>
      <c r="D4" s="143"/>
      <c r="E4" s="143"/>
      <c r="F4" s="143"/>
      <c r="G4" s="143"/>
      <c r="H4" s="144"/>
    </row>
    <row r="5" spans="1:8">
      <c r="A5" s="145" t="s">
        <v>62</v>
      </c>
      <c r="B5" s="143"/>
      <c r="C5" s="144"/>
      <c r="D5" s="146" t="s">
        <v>45</v>
      </c>
      <c r="E5" s="146" t="s">
        <v>46</v>
      </c>
      <c r="F5" s="146" t="s">
        <v>47</v>
      </c>
      <c r="G5" s="148" t="s">
        <v>63</v>
      </c>
      <c r="H5" s="148" t="s">
        <v>64</v>
      </c>
    </row>
    <row r="6" spans="1:8">
      <c r="A6" s="22" t="s">
        <v>4</v>
      </c>
      <c r="B6" s="22" t="s">
        <v>60</v>
      </c>
      <c r="C6" s="22" t="s">
        <v>19</v>
      </c>
      <c r="D6" s="147"/>
      <c r="E6" s="147"/>
      <c r="F6" s="147"/>
      <c r="G6" s="149"/>
      <c r="H6" s="149"/>
    </row>
    <row r="7" spans="1:8">
      <c r="A7" s="66">
        <v>0</v>
      </c>
      <c r="B7" s="64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7">
        <v>0</v>
      </c>
      <c r="B8" s="65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7">
        <v>1</v>
      </c>
      <c r="B9" s="65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7">
        <v>2</v>
      </c>
      <c r="B10" s="65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7">
        <v>3</v>
      </c>
      <c r="B11" s="65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7">
        <v>4</v>
      </c>
      <c r="B12" s="65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7">
        <v>5</v>
      </c>
      <c r="B13" s="65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7">
        <v>6</v>
      </c>
      <c r="B14" s="65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7">
        <v>7</v>
      </c>
      <c r="B15" s="65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7">
        <v>8</v>
      </c>
      <c r="B16" s="65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7">
        <v>9</v>
      </c>
      <c r="B17" s="65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7">
        <v>10</v>
      </c>
      <c r="B18" s="65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7">
        <v>11</v>
      </c>
      <c r="B19" s="65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7">
        <v>12</v>
      </c>
      <c r="B20" s="65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7">
        <v>13</v>
      </c>
      <c r="B21" s="65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7">
        <v>14</v>
      </c>
      <c r="B22" s="65">
        <v>19.333333333333332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7">
        <v>15</v>
      </c>
      <c r="B23" s="65">
        <v>24.333333333333332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7">
        <v>16</v>
      </c>
      <c r="B24" s="65">
        <v>30.166666666666668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67">
        <v>17</v>
      </c>
      <c r="B25" s="65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C40" sqref="C40"/>
    </sheetView>
  </sheetViews>
  <sheetFormatPr baseColWidth="10" defaultColWidth="8.83203125" defaultRowHeight="14" x14ac:dyDescent="0"/>
  <cols>
    <col min="1" max="1" width="27.6640625" customWidth="1"/>
  </cols>
  <sheetData>
    <row r="1" spans="1:5">
      <c r="B1" s="30" t="s">
        <v>78</v>
      </c>
      <c r="C1" s="30" t="s">
        <v>79</v>
      </c>
    </row>
    <row r="2" spans="1:5">
      <c r="A2" s="30" t="s">
        <v>145</v>
      </c>
      <c r="B2" s="72">
        <f>Metabolites!H4-Metabolites!H21</f>
        <v>24.016623156125306</v>
      </c>
      <c r="C2" s="72">
        <f>Metabolites!I4+Metabolites!I21</f>
        <v>1.0531873742661302</v>
      </c>
    </row>
    <row r="3" spans="1:5">
      <c r="A3" s="30" t="s">
        <v>124</v>
      </c>
      <c r="B3" s="72">
        <f>Metabolites!P4-Metabolites!P21</f>
        <v>14.190807665484641</v>
      </c>
      <c r="C3" s="72">
        <f>Metabolites!Q4+Metabolites!Q21</f>
        <v>1.2381179711894092</v>
      </c>
    </row>
    <row r="4" spans="1:5">
      <c r="A4" s="30" t="s">
        <v>125</v>
      </c>
      <c r="B4" s="72">
        <f>Metabolites!T21-Metabolites!T4</f>
        <v>23.696426222053542</v>
      </c>
      <c r="C4" s="72">
        <f>Metabolites!U4+Metabolites!U21</f>
        <v>0.75335963401994344</v>
      </c>
    </row>
    <row r="5" spans="1:5">
      <c r="A5" s="30" t="s">
        <v>126</v>
      </c>
      <c r="B5" s="72">
        <f>Metabolites!L21-Metabolites!L4</f>
        <v>1.6161938478861244</v>
      </c>
      <c r="C5" s="72">
        <f>Metabolites!M21+Metabolites!M4</f>
        <v>5.3992195120133341E-2</v>
      </c>
    </row>
    <row r="6" spans="1:5">
      <c r="A6" s="30" t="s">
        <v>127</v>
      </c>
      <c r="B6" s="72">
        <f>Metabolites!L43-Metabolites!L26</f>
        <v>29.904723705481807</v>
      </c>
      <c r="C6" s="72">
        <f>Metabolites!M43+Metabolites!M26</f>
        <v>0.78211047830417924</v>
      </c>
    </row>
    <row r="7" spans="1:5">
      <c r="A7" s="30" t="s">
        <v>80</v>
      </c>
      <c r="B7" s="72">
        <f>'H2'!G101</f>
        <v>0.26361679822112205</v>
      </c>
      <c r="C7" s="72"/>
    </row>
    <row r="8" spans="1:5">
      <c r="A8" s="30" t="s">
        <v>81</v>
      </c>
      <c r="B8" s="72">
        <f>'CO2'!G101</f>
        <v>20.143721837144604</v>
      </c>
      <c r="C8" s="72"/>
    </row>
    <row r="9" spans="1:5">
      <c r="A9" s="30" t="s">
        <v>128</v>
      </c>
      <c r="B9" s="72">
        <f>Calculation!G21*1.5/1000</f>
        <v>3.9E-2</v>
      </c>
      <c r="C9" s="72"/>
    </row>
    <row r="10" spans="1:5" ht="16">
      <c r="A10" s="30" t="s">
        <v>129</v>
      </c>
      <c r="B10" s="72">
        <f>Calculation!H21*1.5/1000</f>
        <v>0</v>
      </c>
      <c r="C10" s="72"/>
    </row>
    <row r="12" spans="1:5">
      <c r="A12" s="30" t="s">
        <v>82</v>
      </c>
      <c r="B12" s="69">
        <f>((4*$B$6)+(3*$B$5)+($B$4)+(B8))/((6*$B$2)+(2*$B$3))</f>
        <v>0.9758018490714131</v>
      </c>
    </row>
    <row r="14" spans="1:5">
      <c r="A14" s="62"/>
      <c r="B14" s="62"/>
      <c r="C14" s="62" t="s">
        <v>131</v>
      </c>
      <c r="D14" s="62" t="s">
        <v>132</v>
      </c>
    </row>
    <row r="15" spans="1:5">
      <c r="A15" s="62" t="s">
        <v>181</v>
      </c>
      <c r="B15" s="62" t="s">
        <v>133</v>
      </c>
      <c r="C15" s="73">
        <f>B2</f>
        <v>24.016623156125306</v>
      </c>
      <c r="D15" s="73">
        <f>B2</f>
        <v>24.016623156125306</v>
      </c>
      <c r="E15" s="62"/>
    </row>
    <row r="16" spans="1:5">
      <c r="A16" s="62" t="s">
        <v>173</v>
      </c>
      <c r="B16" s="62" t="s">
        <v>134</v>
      </c>
      <c r="C16" s="73">
        <f>2*C15</f>
        <v>48.033246312250611</v>
      </c>
      <c r="D16" s="73">
        <f>2*B2</f>
        <v>48.033246312250611</v>
      </c>
      <c r="E16" s="62"/>
    </row>
    <row r="17" spans="1:5">
      <c r="A17" s="62" t="s">
        <v>174</v>
      </c>
      <c r="B17" s="62" t="s">
        <v>135</v>
      </c>
      <c r="C17" s="73">
        <f>B5</f>
        <v>1.6161938478861244</v>
      </c>
      <c r="D17" s="73">
        <f>B5</f>
        <v>1.6161938478861244</v>
      </c>
      <c r="E17" s="62"/>
    </row>
    <row r="18" spans="1:5">
      <c r="A18" s="62" t="s">
        <v>175</v>
      </c>
      <c r="B18" s="62" t="s">
        <v>136</v>
      </c>
      <c r="C18" s="73">
        <f>B4</f>
        <v>23.696426222053542</v>
      </c>
      <c r="D18" s="73">
        <f>B4</f>
        <v>23.696426222053542</v>
      </c>
      <c r="E18" s="62"/>
    </row>
    <row r="19" spans="1:5">
      <c r="A19" s="62" t="s">
        <v>176</v>
      </c>
      <c r="B19" s="62" t="s">
        <v>137</v>
      </c>
      <c r="C19" s="74">
        <f>C16-C17-C18</f>
        <v>22.720626242310946</v>
      </c>
      <c r="D19" s="74">
        <f>B8</f>
        <v>20.143721837144604</v>
      </c>
      <c r="E19" s="62"/>
    </row>
    <row r="20" spans="1:5">
      <c r="A20" s="62" t="s">
        <v>177</v>
      </c>
      <c r="B20" s="62" t="s">
        <v>138</v>
      </c>
      <c r="C20" s="73">
        <f>B3</f>
        <v>14.190807665484641</v>
      </c>
      <c r="D20" s="73">
        <f>B3</f>
        <v>14.190807665484641</v>
      </c>
      <c r="E20" s="62"/>
    </row>
    <row r="21" spans="1:5">
      <c r="A21" s="62" t="s">
        <v>178</v>
      </c>
      <c r="B21" s="62" t="s">
        <v>140</v>
      </c>
      <c r="C21" s="73">
        <f>C16-C17+C20</f>
        <v>60.607860129849129</v>
      </c>
      <c r="D21" s="73">
        <f>B6</f>
        <v>29.904723705481807</v>
      </c>
      <c r="E21" s="62"/>
    </row>
    <row r="22" spans="1:5">
      <c r="A22" s="62" t="s">
        <v>179</v>
      </c>
      <c r="B22" s="62" t="s">
        <v>141</v>
      </c>
      <c r="C22" s="74">
        <f>C21/2</f>
        <v>30.303930064924565</v>
      </c>
      <c r="D22" s="74">
        <f>B6</f>
        <v>29.904723705481807</v>
      </c>
      <c r="E22" s="62"/>
    </row>
    <row r="23" spans="1:5">
      <c r="A23" s="62" t="s">
        <v>180</v>
      </c>
      <c r="B23" s="62"/>
      <c r="E23" s="62"/>
    </row>
    <row r="24" spans="1:5">
      <c r="A24" s="62"/>
      <c r="B24" s="62"/>
      <c r="C24" s="63"/>
      <c r="D24" s="63"/>
      <c r="E24" s="62"/>
    </row>
    <row r="25" spans="1:5">
      <c r="A25" s="62"/>
      <c r="B25" s="62"/>
      <c r="C25" s="62"/>
      <c r="D25" s="62"/>
      <c r="E25" s="62"/>
    </row>
    <row r="26" spans="1:5">
      <c r="A26" s="62"/>
      <c r="B26" s="62"/>
      <c r="C26" s="62"/>
      <c r="D26" s="62"/>
      <c r="E26" s="62"/>
    </row>
    <row r="27" spans="1:5">
      <c r="A27" s="62"/>
      <c r="B27" s="62"/>
      <c r="C27" s="62"/>
      <c r="D27" s="62"/>
      <c r="E27" s="62"/>
    </row>
    <row r="28" spans="1:5">
      <c r="C28" s="62"/>
      <c r="D28" s="62"/>
      <c r="E28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3" sqref="D3:D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19" t="s">
        <v>4</v>
      </c>
      <c r="B1" s="119" t="s">
        <v>118</v>
      </c>
      <c r="C1" s="119" t="s">
        <v>118</v>
      </c>
      <c r="D1" s="119" t="s">
        <v>5</v>
      </c>
      <c r="E1" s="4" t="s">
        <v>7</v>
      </c>
      <c r="F1" s="4" t="s">
        <v>9</v>
      </c>
      <c r="G1" s="118" t="s">
        <v>11</v>
      </c>
      <c r="H1" s="118" t="s">
        <v>12</v>
      </c>
      <c r="I1" s="4" t="s">
        <v>13</v>
      </c>
      <c r="J1" s="4" t="s">
        <v>16</v>
      </c>
      <c r="K1" s="4" t="s">
        <v>16</v>
      </c>
    </row>
    <row r="2" spans="1:11">
      <c r="A2" s="120"/>
      <c r="B2" s="120"/>
      <c r="C2" s="120"/>
      <c r="D2" s="120"/>
      <c r="E2" s="5" t="s">
        <v>8</v>
      </c>
      <c r="F2" s="5" t="s">
        <v>10</v>
      </c>
      <c r="G2" s="118"/>
      <c r="H2" s="118"/>
      <c r="I2" s="5" t="s">
        <v>14</v>
      </c>
      <c r="J2" s="5" t="s">
        <v>17</v>
      </c>
      <c r="K2" s="5" t="s">
        <v>142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53</v>
      </c>
      <c r="F3" s="1">
        <f>E3</f>
        <v>53</v>
      </c>
      <c r="G3" s="1">
        <v>0</v>
      </c>
      <c r="H3" s="1">
        <v>0</v>
      </c>
      <c r="I3" s="1">
        <f>$F$23+G3+H3</f>
        <v>1500</v>
      </c>
      <c r="J3" s="13">
        <f>F3*1500/I3</f>
        <v>53</v>
      </c>
      <c r="K3" s="13">
        <f>$F$24-J3</f>
        <v>1522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9" si="0">C4/60</f>
        <v>0.16666666666666666</v>
      </c>
      <c r="E4" s="1">
        <v>48</v>
      </c>
      <c r="F4" s="1">
        <f>E4+F3</f>
        <v>101</v>
      </c>
      <c r="G4" s="40">
        <v>0</v>
      </c>
      <c r="H4" s="40">
        <v>0</v>
      </c>
      <c r="I4" s="1">
        <f>$F$24-F3+G4+H4</f>
        <v>1522</v>
      </c>
      <c r="J4" s="13">
        <f>E4*K3/I4</f>
        <v>48</v>
      </c>
      <c r="K4" s="13">
        <f>K3-J4</f>
        <v>1474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50</v>
      </c>
      <c r="F5" s="1">
        <f t="shared" ref="F5:F18" si="1">E5+F4</f>
        <v>151</v>
      </c>
      <c r="G5" s="40">
        <v>0</v>
      </c>
      <c r="H5" s="40">
        <v>0</v>
      </c>
      <c r="I5" s="40">
        <f t="shared" ref="I5:I19" si="2">$F$24-F4+G5+H5</f>
        <v>1474</v>
      </c>
      <c r="J5" s="13">
        <f t="shared" ref="J5:J13" si="3">E5*K4/I5</f>
        <v>50</v>
      </c>
      <c r="K5" s="13">
        <f>K4-J5</f>
        <v>1424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51</v>
      </c>
      <c r="F6" s="1">
        <f t="shared" si="1"/>
        <v>202</v>
      </c>
      <c r="G6" s="40">
        <v>0</v>
      </c>
      <c r="H6" s="40">
        <v>0</v>
      </c>
      <c r="I6" s="40">
        <f t="shared" si="2"/>
        <v>1424</v>
      </c>
      <c r="J6" s="13">
        <f>E6*K5/I6</f>
        <v>51</v>
      </c>
      <c r="K6" s="13">
        <f t="shared" ref="K6:K13" si="4">K5-J6</f>
        <v>1373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49</v>
      </c>
      <c r="F7" s="1">
        <f t="shared" si="1"/>
        <v>251</v>
      </c>
      <c r="G7" s="40">
        <v>1</v>
      </c>
      <c r="H7" s="40">
        <v>0</v>
      </c>
      <c r="I7" s="40">
        <f t="shared" si="2"/>
        <v>1374</v>
      </c>
      <c r="J7" s="13">
        <f>E7*K6/I7</f>
        <v>48.964337700145563</v>
      </c>
      <c r="K7" s="13">
        <f>K6-J7</f>
        <v>1324.0356622998545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52</v>
      </c>
      <c r="F8" s="1">
        <f t="shared" si="1"/>
        <v>303</v>
      </c>
      <c r="G8" s="40">
        <v>1</v>
      </c>
      <c r="H8" s="40">
        <v>0</v>
      </c>
      <c r="I8" s="40">
        <f t="shared" si="2"/>
        <v>1325</v>
      </c>
      <c r="J8" s="13">
        <f t="shared" si="3"/>
        <v>51.962154294032032</v>
      </c>
      <c r="K8" s="13">
        <f t="shared" si="4"/>
        <v>1272.0735080058225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51</v>
      </c>
      <c r="F9" s="1">
        <f t="shared" si="1"/>
        <v>354</v>
      </c>
      <c r="G9" s="40">
        <v>1</v>
      </c>
      <c r="H9" s="40">
        <v>0</v>
      </c>
      <c r="I9" s="40">
        <f t="shared" si="2"/>
        <v>1273</v>
      </c>
      <c r="J9" s="13">
        <f t="shared" si="3"/>
        <v>50.962882096069876</v>
      </c>
      <c r="K9" s="13">
        <f t="shared" si="4"/>
        <v>1221.1106259097526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51</v>
      </c>
      <c r="F10" s="1">
        <f t="shared" si="1"/>
        <v>405</v>
      </c>
      <c r="G10" s="40">
        <v>1</v>
      </c>
      <c r="H10" s="40">
        <v>0</v>
      </c>
      <c r="I10" s="40">
        <f t="shared" si="2"/>
        <v>1222</v>
      </c>
      <c r="J10" s="13">
        <f t="shared" si="3"/>
        <v>50.962882096069869</v>
      </c>
      <c r="K10" s="13">
        <f t="shared" si="4"/>
        <v>1170.1477438136826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53</v>
      </c>
      <c r="F11" s="1">
        <f t="shared" si="1"/>
        <v>458</v>
      </c>
      <c r="G11" s="40">
        <v>2</v>
      </c>
      <c r="H11" s="40">
        <v>0</v>
      </c>
      <c r="I11" s="40">
        <f t="shared" si="2"/>
        <v>1172</v>
      </c>
      <c r="J11" s="13">
        <f>E11*K10/I11</f>
        <v>52.91623756154025</v>
      </c>
      <c r="K11" s="13">
        <f t="shared" si="4"/>
        <v>1117.2315062521423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52</v>
      </c>
      <c r="F12" s="1">
        <f t="shared" si="1"/>
        <v>510</v>
      </c>
      <c r="G12" s="40">
        <v>2</v>
      </c>
      <c r="H12" s="40">
        <v>0</v>
      </c>
      <c r="I12" s="40">
        <f t="shared" si="2"/>
        <v>1119</v>
      </c>
      <c r="J12" s="13">
        <f t="shared" si="3"/>
        <v>51.917817984907416</v>
      </c>
      <c r="K12" s="13">
        <f t="shared" si="4"/>
        <v>1065.3136882672347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53</v>
      </c>
      <c r="F13" s="1">
        <f t="shared" si="1"/>
        <v>563</v>
      </c>
      <c r="G13" s="40">
        <v>3</v>
      </c>
      <c r="H13" s="40">
        <v>0</v>
      </c>
      <c r="I13" s="40">
        <f t="shared" si="2"/>
        <v>1068</v>
      </c>
      <c r="J13" s="13">
        <f t="shared" si="3"/>
        <v>52.866690522624943</v>
      </c>
      <c r="K13" s="13">
        <f t="shared" si="4"/>
        <v>1012.4469977446098</v>
      </c>
    </row>
    <row r="14" spans="1:11">
      <c r="A14" s="37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50</v>
      </c>
      <c r="F14" s="37">
        <f t="shared" si="1"/>
        <v>613</v>
      </c>
      <c r="G14" s="40">
        <v>6</v>
      </c>
      <c r="H14" s="40">
        <v>0</v>
      </c>
      <c r="I14" s="40">
        <f t="shared" si="2"/>
        <v>1018</v>
      </c>
      <c r="J14" s="13">
        <f t="shared" ref="J14:J19" si="6">E14*K13/I14</f>
        <v>49.727259221248026</v>
      </c>
      <c r="K14" s="13">
        <f t="shared" ref="K14:K19" si="7">K13-J14</f>
        <v>962.7197385233618</v>
      </c>
    </row>
    <row r="15" spans="1:11">
      <c r="A15" s="37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7">
        <v>68</v>
      </c>
      <c r="F15" s="37">
        <f t="shared" si="1"/>
        <v>681</v>
      </c>
      <c r="G15" s="40">
        <v>9</v>
      </c>
      <c r="H15" s="40">
        <v>0</v>
      </c>
      <c r="I15" s="40">
        <f t="shared" si="2"/>
        <v>971</v>
      </c>
      <c r="J15" s="13">
        <f t="shared" si="6"/>
        <v>67.420125869813177</v>
      </c>
      <c r="K15" s="13">
        <f t="shared" si="7"/>
        <v>895.29961265354859</v>
      </c>
    </row>
    <row r="16" spans="1:11">
      <c r="A16" s="37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7">
        <v>48</v>
      </c>
      <c r="F16" s="37">
        <f t="shared" si="1"/>
        <v>729</v>
      </c>
      <c r="G16" s="40">
        <v>13</v>
      </c>
      <c r="H16" s="40">
        <v>0</v>
      </c>
      <c r="I16" s="40">
        <f t="shared" si="2"/>
        <v>907</v>
      </c>
      <c r="J16" s="13">
        <f t="shared" si="6"/>
        <v>47.380795377475557</v>
      </c>
      <c r="K16" s="13">
        <f t="shared" si="7"/>
        <v>847.91881727607301</v>
      </c>
    </row>
    <row r="17" spans="1:11">
      <c r="A17" s="37">
        <v>13</v>
      </c>
      <c r="B17" s="31">
        <v>80</v>
      </c>
      <c r="C17" s="31">
        <f t="shared" si="5"/>
        <v>1080</v>
      </c>
      <c r="D17" s="13">
        <f t="shared" si="0"/>
        <v>18</v>
      </c>
      <c r="E17" s="37">
        <v>41</v>
      </c>
      <c r="F17" s="37">
        <f t="shared" si="1"/>
        <v>770</v>
      </c>
      <c r="G17" s="40">
        <v>17</v>
      </c>
      <c r="H17" s="40">
        <v>0</v>
      </c>
      <c r="I17" s="40">
        <f t="shared" si="2"/>
        <v>863</v>
      </c>
      <c r="J17" s="13">
        <f t="shared" si="6"/>
        <v>40.283512755873687</v>
      </c>
      <c r="K17" s="13">
        <f t="shared" si="7"/>
        <v>807.63530452019927</v>
      </c>
    </row>
    <row r="18" spans="1:11">
      <c r="A18" s="37">
        <v>14</v>
      </c>
      <c r="B18" s="31">
        <v>80</v>
      </c>
      <c r="C18" s="31">
        <f t="shared" si="5"/>
        <v>1160</v>
      </c>
      <c r="D18" s="13">
        <f t="shared" si="0"/>
        <v>19.333333333333332</v>
      </c>
      <c r="E18" s="37">
        <v>45</v>
      </c>
      <c r="F18" s="37">
        <f t="shared" si="1"/>
        <v>815</v>
      </c>
      <c r="G18" s="40">
        <v>20</v>
      </c>
      <c r="H18" s="40">
        <v>0</v>
      </c>
      <c r="I18" s="40">
        <f t="shared" si="2"/>
        <v>825</v>
      </c>
      <c r="J18" s="13">
        <f t="shared" si="6"/>
        <v>44.05283479201087</v>
      </c>
      <c r="K18" s="13">
        <f t="shared" si="7"/>
        <v>763.58246972818836</v>
      </c>
    </row>
    <row r="19" spans="1:11">
      <c r="A19" s="37">
        <v>15</v>
      </c>
      <c r="B19" s="31">
        <v>300</v>
      </c>
      <c r="C19" s="31">
        <f>C18+B19</f>
        <v>1460</v>
      </c>
      <c r="D19" s="13">
        <f t="shared" si="0"/>
        <v>24.333333333333332</v>
      </c>
      <c r="E19" s="37">
        <v>48</v>
      </c>
      <c r="F19" s="37">
        <f>E19+F18</f>
        <v>863</v>
      </c>
      <c r="G19" s="40">
        <v>25</v>
      </c>
      <c r="H19" s="40">
        <v>0</v>
      </c>
      <c r="I19" s="40">
        <f t="shared" si="2"/>
        <v>785</v>
      </c>
      <c r="J19" s="13">
        <f t="shared" si="6"/>
        <v>46.690393053443366</v>
      </c>
      <c r="K19" s="13">
        <f t="shared" si="7"/>
        <v>716.892076674745</v>
      </c>
    </row>
    <row r="20" spans="1:11">
      <c r="A20" s="40">
        <v>16</v>
      </c>
      <c r="B20" s="31">
        <v>350</v>
      </c>
      <c r="C20" s="31">
        <f>C19+B20</f>
        <v>1810</v>
      </c>
      <c r="D20" s="13">
        <f t="shared" ref="D20:D21" si="8">C20/60</f>
        <v>30.166666666666668</v>
      </c>
      <c r="E20" s="40">
        <v>42</v>
      </c>
      <c r="F20" s="40">
        <f>E20+F19</f>
        <v>905</v>
      </c>
      <c r="G20" s="40">
        <v>25</v>
      </c>
      <c r="H20" s="40">
        <v>0</v>
      </c>
      <c r="I20" s="40">
        <f t="shared" ref="I20" si="9">$F$24-F19+G20+H20</f>
        <v>737</v>
      </c>
      <c r="J20" s="13">
        <f t="shared" ref="J20:J21" si="10">E20*K19/I20</f>
        <v>40.854093921762946</v>
      </c>
      <c r="K20" s="13">
        <f t="shared" ref="K20:K21" si="11">K19-J20</f>
        <v>676.03798275298209</v>
      </c>
    </row>
    <row r="21" spans="1:11">
      <c r="A21" s="40">
        <v>17</v>
      </c>
      <c r="B21" s="31">
        <v>1070</v>
      </c>
      <c r="C21" s="31">
        <f>C20+B21</f>
        <v>2880</v>
      </c>
      <c r="D21" s="13">
        <f t="shared" si="8"/>
        <v>48</v>
      </c>
      <c r="E21" s="40">
        <v>48</v>
      </c>
      <c r="F21" s="40">
        <f t="shared" ref="F21" si="12">E21+F20</f>
        <v>953</v>
      </c>
      <c r="G21" s="40">
        <v>26</v>
      </c>
      <c r="H21" s="40">
        <v>0</v>
      </c>
      <c r="I21" s="40">
        <f>$F$24-F20+G21+H21</f>
        <v>696</v>
      </c>
      <c r="J21" s="13">
        <f t="shared" si="10"/>
        <v>46.623309155378074</v>
      </c>
      <c r="K21" s="13">
        <f t="shared" si="11"/>
        <v>629.41467359760406</v>
      </c>
    </row>
    <row r="23" spans="1:11">
      <c r="A23" s="115" t="s">
        <v>15</v>
      </c>
      <c r="B23" s="116"/>
      <c r="C23" s="116"/>
      <c r="D23" s="116"/>
      <c r="E23" s="117"/>
      <c r="F23" s="1">
        <v>1500</v>
      </c>
    </row>
    <row r="24" spans="1:11">
      <c r="A24" s="115" t="s">
        <v>15</v>
      </c>
      <c r="B24" s="116"/>
      <c r="C24" s="116"/>
      <c r="D24" s="116"/>
      <c r="E24" s="117"/>
      <c r="F24" s="40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" sqref="A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19" t="s">
        <v>4</v>
      </c>
      <c r="B1" s="119" t="s">
        <v>118</v>
      </c>
      <c r="C1" s="119" t="s">
        <v>118</v>
      </c>
      <c r="D1" s="119" t="s">
        <v>5</v>
      </c>
      <c r="E1" s="124" t="s">
        <v>18</v>
      </c>
      <c r="F1" s="124"/>
      <c r="G1" s="124"/>
      <c r="H1" s="124"/>
      <c r="I1" s="124" t="s">
        <v>20</v>
      </c>
      <c r="J1" s="124"/>
      <c r="K1" s="124"/>
      <c r="L1" s="124"/>
      <c r="M1" s="124" t="s">
        <v>21</v>
      </c>
      <c r="N1" s="124"/>
      <c r="O1" s="124"/>
      <c r="P1" s="124"/>
      <c r="Q1" s="38" t="s">
        <v>22</v>
      </c>
      <c r="R1" s="38" t="s">
        <v>22</v>
      </c>
      <c r="S1" s="38" t="s">
        <v>22</v>
      </c>
    </row>
    <row r="2" spans="1:19">
      <c r="A2" s="120"/>
      <c r="B2" s="120"/>
      <c r="C2" s="120"/>
      <c r="D2" s="120"/>
      <c r="E2" s="41" t="s">
        <v>19</v>
      </c>
      <c r="F2" s="41" t="s">
        <v>68</v>
      </c>
      <c r="G2" s="41" t="s">
        <v>119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Q3" s="121"/>
      <c r="R3" s="122"/>
      <c r="S3" s="123"/>
    </row>
    <row r="4" spans="1:19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Q4" s="46" t="e">
        <f>AVERAGE('Flow cytometer'!P4,'Flow cytometer'!L4,'Flow cytometer'!H4)*Calculation!K4/Calculation!M3</f>
        <v>#DIV/0!</v>
      </c>
      <c r="R4" s="46" t="e">
        <f>STDEV('Flow cytometer'!P4,'Flow cytometer'!L4,'Flow cytometer'!H4)*Calculation!K4/Calculation!M3</f>
        <v>#DIV/0!</v>
      </c>
      <c r="S4" s="47" t="e">
        <f t="shared" ref="S4:S19" si="1">LOG(Q4)</f>
        <v>#DIV/0!</v>
      </c>
    </row>
    <row r="5" spans="1:19">
      <c r="A5" s="40">
        <v>1</v>
      </c>
      <c r="B5" s="31">
        <v>110</v>
      </c>
      <c r="C5" s="31">
        <f>C4+B5</f>
        <v>120</v>
      </c>
      <c r="D5" s="13">
        <f t="shared" si="0"/>
        <v>2</v>
      </c>
      <c r="Q5" s="46" t="e">
        <f>AVERAGE('Flow cytometer'!P5,'Flow cytometer'!L5,'Flow cytometer'!H5)*Calculation!K5/Calculation!M4</f>
        <v>#DIV/0!</v>
      </c>
      <c r="R5" s="46" t="e">
        <f>STDEV('Flow cytometer'!P5,'Flow cytometer'!L5,'Flow cytometer'!H5)*Calculation!K5/Calculation!M4</f>
        <v>#DIV/0!</v>
      </c>
      <c r="S5" s="47" t="e">
        <f t="shared" si="1"/>
        <v>#DIV/0!</v>
      </c>
    </row>
    <row r="6" spans="1:19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Q6" s="46" t="e">
        <f>AVERAGE('Flow cytometer'!P6,'Flow cytometer'!L6,'Flow cytometer'!H6)*Calculation!K6/Calculation!M5</f>
        <v>#DIV/0!</v>
      </c>
      <c r="R6" s="46" t="e">
        <f>STDEV('Flow cytometer'!P6,'Flow cytometer'!L6,'Flow cytometer'!H6)*Calculation!K6/Calculation!M5</f>
        <v>#DIV/0!</v>
      </c>
      <c r="S6" s="47" t="e">
        <f t="shared" si="1"/>
        <v>#DIV/0!</v>
      </c>
    </row>
    <row r="7" spans="1:19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Q7" s="46" t="e">
        <f>AVERAGE('Flow cytometer'!P7,'Flow cytometer'!L7,'Flow cytometer'!H7)*Calculation!K7/Calculation!M6</f>
        <v>#DIV/0!</v>
      </c>
      <c r="R7" s="46" t="e">
        <f>STDEV('Flow cytometer'!P7,'Flow cytometer'!L7,'Flow cytometer'!H7)*Calculation!K7/Calculation!M6</f>
        <v>#DIV/0!</v>
      </c>
      <c r="S7" s="47" t="e">
        <f t="shared" si="1"/>
        <v>#DIV/0!</v>
      </c>
    </row>
    <row r="8" spans="1:19">
      <c r="A8" s="40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6" t="e">
        <f>AVERAGE('Flow cytometer'!P8,'Flow cytometer'!L8,'Flow cytometer'!H8)*Calculation!K8/Calculation!M7</f>
        <v>#DIV/0!</v>
      </c>
      <c r="R8" s="46" t="e">
        <f>STDEV('Flow cytometer'!P8,'Flow cytometer'!L8,'Flow cytometer'!H8)*Calculation!K8/Calculation!M7</f>
        <v>#DIV/0!</v>
      </c>
      <c r="S8" s="47" t="e">
        <f t="shared" si="1"/>
        <v>#DIV/0!</v>
      </c>
    </row>
    <row r="9" spans="1:19">
      <c r="A9" s="40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6" t="e">
        <f>AVERAGE('Flow cytometer'!P9,'Flow cytometer'!L9,'Flow cytometer'!H9)*Calculation!K9/Calculation!M8</f>
        <v>#DIV/0!</v>
      </c>
      <c r="R9" s="46" t="e">
        <f>STDEV('Flow cytometer'!P9,'Flow cytometer'!L9,'Flow cytometer'!H9)*Calculation!K9/Calculation!M8</f>
        <v>#DIV/0!</v>
      </c>
      <c r="S9" s="47" t="e">
        <f t="shared" si="1"/>
        <v>#DIV/0!</v>
      </c>
    </row>
    <row r="10" spans="1:19">
      <c r="A10" s="40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6" t="e">
        <f>AVERAGE('Flow cytometer'!P10,'Flow cytometer'!L10,'Flow cytometer'!H10)*Calculation!K10/Calculation!M9</f>
        <v>#DIV/0!</v>
      </c>
      <c r="R10" s="46" t="e">
        <f>STDEV('Flow cytometer'!P10,'Flow cytometer'!L10,'Flow cytometer'!H10)*Calculation!K10/Calculation!M9</f>
        <v>#DIV/0!</v>
      </c>
      <c r="S10" s="47" t="e">
        <f t="shared" si="1"/>
        <v>#DIV/0!</v>
      </c>
    </row>
    <row r="11" spans="1:19">
      <c r="A11" s="40">
        <v>7</v>
      </c>
      <c r="B11" s="31">
        <v>80</v>
      </c>
      <c r="C11" s="31">
        <f t="shared" si="2"/>
        <v>600</v>
      </c>
      <c r="D11" s="13">
        <f t="shared" si="0"/>
        <v>10</v>
      </c>
      <c r="Q11" s="46" t="e">
        <f>AVERAGE('Flow cytometer'!P11,'Flow cytometer'!L11,'Flow cytometer'!H11)*Calculation!K11/Calculation!M10</f>
        <v>#DIV/0!</v>
      </c>
      <c r="R11" s="46" t="e">
        <f>STDEV('Flow cytometer'!P11,'Flow cytometer'!L11,'Flow cytometer'!H11)*Calculation!K11/Calculation!M10</f>
        <v>#DIV/0!</v>
      </c>
      <c r="S11" s="47" t="e">
        <f t="shared" si="1"/>
        <v>#DIV/0!</v>
      </c>
    </row>
    <row r="12" spans="1:19">
      <c r="A12" s="40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6" t="e">
        <f>AVERAGE('Flow cytometer'!P12,'Flow cytometer'!L12,'Flow cytometer'!H12)*Calculation!K12/Calculation!M11</f>
        <v>#DIV/0!</v>
      </c>
      <c r="R12" s="46" t="e">
        <f>STDEV('Flow cytometer'!P12,'Flow cytometer'!L12,'Flow cytometer'!H12)*Calculation!K12/Calculation!M11</f>
        <v>#DIV/0!</v>
      </c>
      <c r="S12" s="47" t="e">
        <f t="shared" si="1"/>
        <v>#DIV/0!</v>
      </c>
    </row>
    <row r="13" spans="1:19">
      <c r="A13" s="40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6" t="e">
        <f>AVERAGE('Flow cytometer'!P13,'Flow cytometer'!L13,'Flow cytometer'!H13)*Calculation!K13/Calculation!M12</f>
        <v>#DIV/0!</v>
      </c>
      <c r="R13" s="46" t="e">
        <f>STDEV('Flow cytometer'!P13,'Flow cytometer'!L13,'Flow cytometer'!H13)*Calculation!K13/Calculation!M12</f>
        <v>#DIV/0!</v>
      </c>
      <c r="S13" s="47" t="e">
        <f t="shared" si="1"/>
        <v>#DIV/0!</v>
      </c>
    </row>
    <row r="14" spans="1:19">
      <c r="A14" s="40">
        <v>10</v>
      </c>
      <c r="B14" s="31">
        <v>80</v>
      </c>
      <c r="C14" s="31">
        <f t="shared" si="2"/>
        <v>840</v>
      </c>
      <c r="D14" s="13">
        <f t="shared" si="0"/>
        <v>14</v>
      </c>
      <c r="Q14" s="46" t="e">
        <f>AVERAGE('Flow cytometer'!P14,'Flow cytometer'!L14,'Flow cytometer'!H14)*Calculation!K14/Calculation!M13</f>
        <v>#DIV/0!</v>
      </c>
      <c r="R14" s="46" t="e">
        <f>STDEV('Flow cytometer'!P14,'Flow cytometer'!L14,'Flow cytometer'!H14)*Calculation!K14/Calculation!M13</f>
        <v>#DIV/0!</v>
      </c>
      <c r="S14" s="47" t="e">
        <f t="shared" si="1"/>
        <v>#DIV/0!</v>
      </c>
    </row>
    <row r="15" spans="1:19">
      <c r="A15" s="40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6" t="e">
        <f>AVERAGE('Flow cytometer'!P15,'Flow cytometer'!L15,'Flow cytometer'!H15)*Calculation!K15/Calculation!M14</f>
        <v>#DIV/0!</v>
      </c>
      <c r="R15" s="46" t="e">
        <f>STDEV('Flow cytometer'!P15,'Flow cytometer'!L15,'Flow cytometer'!H15)*Calculation!K15/Calculation!M14</f>
        <v>#DIV/0!</v>
      </c>
      <c r="S15" s="47" t="e">
        <f t="shared" si="1"/>
        <v>#DIV/0!</v>
      </c>
    </row>
    <row r="16" spans="1:19">
      <c r="A16" s="40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6" t="e">
        <f>AVERAGE('Flow cytometer'!P16,'Flow cytometer'!L16,'Flow cytometer'!H16)*Calculation!K16/Calculation!M15</f>
        <v>#DIV/0!</v>
      </c>
      <c r="R16" s="46" t="e">
        <f>STDEV('Flow cytometer'!P16,'Flow cytometer'!L16,'Flow cytometer'!H16)*Calculation!K16/Calculation!M15</f>
        <v>#DIV/0!</v>
      </c>
      <c r="S16" s="47" t="e">
        <f t="shared" si="1"/>
        <v>#DIV/0!</v>
      </c>
    </row>
    <row r="17" spans="1:19">
      <c r="A17" s="40">
        <v>13</v>
      </c>
      <c r="B17" s="31">
        <v>80</v>
      </c>
      <c r="C17" s="31">
        <f t="shared" si="2"/>
        <v>1080</v>
      </c>
      <c r="D17" s="13">
        <f t="shared" si="0"/>
        <v>18</v>
      </c>
      <c r="Q17" s="46" t="e">
        <f>AVERAGE('Flow cytometer'!P17,'Flow cytometer'!L17,'Flow cytometer'!H17)*Calculation!K17/Calculation!M16</f>
        <v>#DIV/0!</v>
      </c>
      <c r="R17" s="46" t="e">
        <f>STDEV('Flow cytometer'!P17,'Flow cytometer'!L17,'Flow cytometer'!H17)*Calculation!K17/Calculation!M16</f>
        <v>#DIV/0!</v>
      </c>
      <c r="S17" s="47" t="e">
        <f t="shared" si="1"/>
        <v>#DIV/0!</v>
      </c>
    </row>
    <row r="18" spans="1:19">
      <c r="A18" s="40">
        <v>14</v>
      </c>
      <c r="B18" s="31">
        <v>80</v>
      </c>
      <c r="C18" s="31">
        <f t="shared" si="2"/>
        <v>1160</v>
      </c>
      <c r="D18" s="13">
        <f t="shared" si="0"/>
        <v>19.333333333333332</v>
      </c>
      <c r="Q18" s="46" t="e">
        <f>AVERAGE('Flow cytometer'!P18,'Flow cytometer'!L18,'Flow cytometer'!H18)*Calculation!K18/Calculation!M17</f>
        <v>#DIV/0!</v>
      </c>
      <c r="R18" s="46" t="e">
        <f>STDEV('Flow cytometer'!P18,'Flow cytometer'!L18,'Flow cytometer'!H18)*Calculation!K18/Calculation!M17</f>
        <v>#DIV/0!</v>
      </c>
      <c r="S18" s="47" t="e">
        <f t="shared" si="1"/>
        <v>#DIV/0!</v>
      </c>
    </row>
    <row r="19" spans="1:19">
      <c r="A19" s="40">
        <v>15</v>
      </c>
      <c r="B19" s="31">
        <v>300</v>
      </c>
      <c r="C19" s="31">
        <f>C18+B19</f>
        <v>1460</v>
      </c>
      <c r="D19" s="13">
        <f t="shared" si="0"/>
        <v>24.333333333333332</v>
      </c>
      <c r="Q19" s="46" t="e">
        <f>AVERAGE('Flow cytometer'!P19,'Flow cytometer'!L19,'Flow cytometer'!H19)*Calculation!K19/Calculation!M18</f>
        <v>#DIV/0!</v>
      </c>
      <c r="R19" s="46" t="e">
        <f>STDEV('Flow cytometer'!P19,'Flow cytometer'!L19,'Flow cytometer'!H19)*Calculation!K19/Calculation!M18</f>
        <v>#DIV/0!</v>
      </c>
      <c r="S19" s="47" t="e">
        <f t="shared" si="1"/>
        <v>#DIV/0!</v>
      </c>
    </row>
    <row r="20" spans="1:19">
      <c r="A20" s="40">
        <v>16</v>
      </c>
      <c r="B20" s="31">
        <v>350</v>
      </c>
      <c r="C20" s="31">
        <f>C19+B20</f>
        <v>1810</v>
      </c>
      <c r="D20" s="13">
        <f t="shared" si="0"/>
        <v>30.166666666666668</v>
      </c>
      <c r="Q20" s="46" t="e">
        <f>AVERAGE('Flow cytometer'!P20,'Flow cytometer'!L20,'Flow cytometer'!H20)*Calculation!K20/Calculation!M19</f>
        <v>#DIV/0!</v>
      </c>
      <c r="R20" s="46" t="e">
        <f>STDEV('Flow cytometer'!P20,'Flow cytometer'!L20,'Flow cytometer'!H20)*Calculation!K20/Calculation!M19</f>
        <v>#DIV/0!</v>
      </c>
      <c r="S20" s="47" t="e">
        <f t="shared" ref="S20:S21" si="3">LOG(Q20)</f>
        <v>#DIV/0!</v>
      </c>
    </row>
    <row r="21" spans="1:19">
      <c r="A21" s="40">
        <v>17</v>
      </c>
      <c r="B21" s="31">
        <v>1070</v>
      </c>
      <c r="C21" s="31">
        <f>C20+B21</f>
        <v>2880</v>
      </c>
      <c r="D21" s="13">
        <f t="shared" si="0"/>
        <v>48</v>
      </c>
      <c r="Q21" s="46" t="e">
        <f>AVERAGE('Flow cytometer'!P21,'Flow cytometer'!L21,'Flow cytometer'!H21)*Calculation!K21/Calculation!M20</f>
        <v>#DIV/0!</v>
      </c>
      <c r="R21" s="46" t="e">
        <f>STDEV('Flow cytometer'!P21,'Flow cytometer'!L21,'Flow cytometer'!H21)*Calculation!K21/Calculation!M20</f>
        <v>#DIV/0!</v>
      </c>
      <c r="S21" s="47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topLeftCell="F1" workbookViewId="0">
      <selection activeCell="N21" sqref="N21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19" t="s">
        <v>4</v>
      </c>
      <c r="B1" s="119" t="s">
        <v>118</v>
      </c>
      <c r="C1" s="119" t="s">
        <v>118</v>
      </c>
      <c r="D1" s="119" t="s">
        <v>5</v>
      </c>
      <c r="E1" s="118" t="s">
        <v>120</v>
      </c>
      <c r="F1" s="118"/>
      <c r="G1" s="118"/>
      <c r="H1" s="118"/>
      <c r="I1" s="118" t="s">
        <v>121</v>
      </c>
      <c r="J1" s="118"/>
      <c r="K1" s="118"/>
      <c r="L1" s="118"/>
      <c r="M1" s="118" t="s">
        <v>122</v>
      </c>
      <c r="N1" s="118"/>
      <c r="O1" s="118"/>
      <c r="P1" s="118"/>
      <c r="Q1" s="24" t="s">
        <v>123</v>
      </c>
      <c r="R1" s="24" t="s">
        <v>123</v>
      </c>
      <c r="S1" s="24" t="s">
        <v>123</v>
      </c>
      <c r="T1" s="60" t="s">
        <v>123</v>
      </c>
      <c r="U1" s="70" t="s">
        <v>120</v>
      </c>
      <c r="V1" s="70" t="s">
        <v>121</v>
      </c>
      <c r="W1" s="70" t="s">
        <v>122</v>
      </c>
      <c r="X1" s="70" t="s">
        <v>123</v>
      </c>
    </row>
    <row r="2" spans="1:24">
      <c r="A2" s="120"/>
      <c r="B2" s="120"/>
      <c r="C2" s="120"/>
      <c r="D2" s="120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61" t="s">
        <v>139</v>
      </c>
      <c r="U2" s="71" t="s">
        <v>151</v>
      </c>
      <c r="V2" s="71" t="s">
        <v>151</v>
      </c>
      <c r="W2" s="71" t="s">
        <v>151</v>
      </c>
      <c r="X2" s="71" t="s">
        <v>150</v>
      </c>
    </row>
    <row r="3" spans="1:24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44" t="s">
        <v>102</v>
      </c>
      <c r="F3" s="44" t="s">
        <v>102</v>
      </c>
      <c r="G3" s="44" t="s">
        <v>102</v>
      </c>
      <c r="H3" s="45" t="s">
        <v>102</v>
      </c>
      <c r="I3" s="44" t="s">
        <v>102</v>
      </c>
      <c r="J3" s="44" t="s">
        <v>102</v>
      </c>
      <c r="K3" s="44" t="s">
        <v>102</v>
      </c>
      <c r="L3" s="45" t="s">
        <v>102</v>
      </c>
      <c r="M3" s="44" t="s">
        <v>102</v>
      </c>
      <c r="N3" s="44" t="s">
        <v>102</v>
      </c>
      <c r="O3" s="44" t="s">
        <v>102</v>
      </c>
      <c r="P3" s="45" t="s">
        <v>102</v>
      </c>
      <c r="Q3" s="125" t="s">
        <v>102</v>
      </c>
      <c r="R3" s="126"/>
      <c r="S3" s="127"/>
      <c r="T3" s="45" t="s">
        <v>102</v>
      </c>
      <c r="U3" s="45" t="s">
        <v>102</v>
      </c>
      <c r="V3" s="45" t="s">
        <v>102</v>
      </c>
      <c r="W3" s="45" t="s">
        <v>102</v>
      </c>
      <c r="X3" s="45" t="s">
        <v>102</v>
      </c>
    </row>
    <row r="4" spans="1:24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31">
        <v>1</v>
      </c>
      <c r="F4" s="31">
        <v>9064</v>
      </c>
      <c r="G4" s="31">
        <v>7</v>
      </c>
      <c r="H4" s="45">
        <f>('Flow cytometer'!F4/'Flow cytometer'!G4)*POWER(10,'Flow cytometer'!E4+2)*10.2</f>
        <v>13207542.857142856</v>
      </c>
      <c r="I4" s="31">
        <v>1</v>
      </c>
      <c r="J4" s="31">
        <v>9047</v>
      </c>
      <c r="K4" s="31">
        <v>7</v>
      </c>
      <c r="L4" s="45">
        <f>('Flow cytometer'!J4/'Flow cytometer'!K4)*POWER(10,'Flow cytometer'!I4+2)*10.2</f>
        <v>13182771.428571427</v>
      </c>
      <c r="M4" s="31">
        <v>1</v>
      </c>
      <c r="N4" s="31">
        <v>9401</v>
      </c>
      <c r="O4" s="31">
        <v>7</v>
      </c>
      <c r="P4" s="45">
        <f>('Flow cytometer'!N4/'Flow cytometer'!O4)*POWER(10,'Flow cytometer'!M4+2)*10.2</f>
        <v>13698599.999999998</v>
      </c>
      <c r="Q4" s="48">
        <f>AVERAGE(H4,L4,P4)*Calculation!I4/Calculation!K3</f>
        <v>13362971.428571427</v>
      </c>
      <c r="R4" s="49">
        <f>STDEV(H4,L4,P4)*Calculation!I4/Calculation!K3</f>
        <v>290926.63918547379</v>
      </c>
      <c r="S4" s="50">
        <f>LOG(Q4)</f>
        <v>7.1259030398419556</v>
      </c>
      <c r="T4" s="50">
        <f>LN(Q4)</f>
        <v>16.407998113661041</v>
      </c>
      <c r="U4" s="50">
        <f>LOG(H4)</f>
        <v>7.1208220286030013</v>
      </c>
      <c r="V4" s="50">
        <f>LOG(L4)</f>
        <v>7.1200067220643586</v>
      </c>
      <c r="W4" s="50">
        <f>LOG(P4)</f>
        <v>7.136676184430633</v>
      </c>
      <c r="X4" s="50">
        <f xml:space="preserve"> STDEV(U4:W4)*Calculation!I4/Calculation!K3</f>
        <v>9.3976056998526826E-3</v>
      </c>
    </row>
    <row r="5" spans="1:24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31">
        <v>1</v>
      </c>
      <c r="F5" s="31">
        <v>22008</v>
      </c>
      <c r="G5" s="31">
        <v>7</v>
      </c>
      <c r="H5" s="45">
        <f>('Flow cytometer'!F5/'Flow cytometer'!G5)*POWER(10,'Flow cytometer'!E5+2)*10.2</f>
        <v>32068799.999999996</v>
      </c>
      <c r="I5" s="31">
        <v>1</v>
      </c>
      <c r="J5" s="31">
        <v>21991</v>
      </c>
      <c r="K5" s="31">
        <v>7</v>
      </c>
      <c r="L5" s="45">
        <f>('Flow cytometer'!J5/'Flow cytometer'!K5)*POWER(10,'Flow cytometer'!I5+2)*10.2</f>
        <v>32044028.571428571</v>
      </c>
      <c r="M5" s="31">
        <v>1</v>
      </c>
      <c r="N5" s="31">
        <v>22181</v>
      </c>
      <c r="O5" s="31">
        <v>7</v>
      </c>
      <c r="P5" s="45">
        <f>('Flow cytometer'!N5/'Flow cytometer'!O5)*POWER(10,'Flow cytometer'!M5+2)*10.2</f>
        <v>32320885.714285713</v>
      </c>
      <c r="Q5" s="48">
        <f>AVERAGE(H5,L5,P5)*Calculation!I5/Calculation!K4</f>
        <v>32144571.428571429</v>
      </c>
      <c r="R5" s="49">
        <f>STDEV(H5,L5,P5)*Calculation!I5/Calculation!K4</f>
        <v>153194.16251467119</v>
      </c>
      <c r="S5" s="50">
        <f t="shared" ref="S5:S19" si="1">LOG(Q5)</f>
        <v>7.5071076398518324</v>
      </c>
      <c r="T5" s="50">
        <f t="shared" ref="T5:T19" si="2">LN(Q5)</f>
        <v>17.285754143024544</v>
      </c>
      <c r="U5" s="50">
        <f t="shared" ref="U5:U20" si="3">LOG(H5)</f>
        <v>7.5060827091292879</v>
      </c>
      <c r="V5" s="50">
        <f t="shared" ref="V5:V20" si="4">LOG(L5)</f>
        <v>7.5057471102947808</v>
      </c>
      <c r="W5" s="50">
        <f t="shared" ref="W5:W20" si="5">LOG(P5)</f>
        <v>7.5094832535739657</v>
      </c>
      <c r="X5" s="50">
        <f xml:space="preserve"> STDEV(U5:W5)*Calculation!I5/Calculation!K4</f>
        <v>2.0670065191217384E-3</v>
      </c>
    </row>
    <row r="6" spans="1:24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2</v>
      </c>
      <c r="F6" s="31">
        <v>3947</v>
      </c>
      <c r="G6" s="31">
        <v>7</v>
      </c>
      <c r="H6" s="45">
        <f>('Flow cytometer'!F6/'Flow cytometer'!G6)*POWER(10,'Flow cytometer'!E6+2)*10.2</f>
        <v>57513428.571428575</v>
      </c>
      <c r="I6" s="31">
        <v>2</v>
      </c>
      <c r="J6" s="31">
        <v>3910</v>
      </c>
      <c r="K6" s="31">
        <v>7</v>
      </c>
      <c r="L6" s="45">
        <f>('Flow cytometer'!J6/'Flow cytometer'!K6)*POWER(10,'Flow cytometer'!I6+2)*10.2</f>
        <v>56974285.714285709</v>
      </c>
      <c r="M6" s="31">
        <v>2</v>
      </c>
      <c r="N6" s="31">
        <v>3811</v>
      </c>
      <c r="O6" s="31">
        <v>7</v>
      </c>
      <c r="P6" s="45">
        <f>('Flow cytometer'!N6/'Flow cytometer'!O6)*POWER(10,'Flow cytometer'!M6+2)*10.2</f>
        <v>55531714.285714284</v>
      </c>
      <c r="Q6" s="48">
        <f>AVERAGE(H6,L6,P6)*Calculation!I6/Calculation!K5</f>
        <v>56673142.857142858</v>
      </c>
      <c r="R6" s="49">
        <f>STDEV(H6,L6,P6)*Calculation!I6/Calculation!K5</f>
        <v>1024603.8955894841</v>
      </c>
      <c r="S6" s="50">
        <f t="shared" si="1"/>
        <v>7.7533772974776936</v>
      </c>
      <c r="T6" s="50">
        <f t="shared" si="2"/>
        <v>17.852810985530596</v>
      </c>
      <c r="U6" s="50">
        <f t="shared" si="3"/>
        <v>7.7597692581431765</v>
      </c>
      <c r="V6" s="50">
        <f t="shared" si="4"/>
        <v>7.7556788891435273</v>
      </c>
      <c r="W6" s="50">
        <f t="shared" si="5"/>
        <v>7.744541080519828</v>
      </c>
      <c r="X6" s="50">
        <f xml:space="preserve"> STDEV(U6:W6)*Calculation!I6/Calculation!K5</f>
        <v>7.8811937887997355E-3</v>
      </c>
    </row>
    <row r="7" spans="1:24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2</v>
      </c>
      <c r="F7" s="31">
        <v>4995</v>
      </c>
      <c r="G7" s="31">
        <v>7</v>
      </c>
      <c r="H7" s="45">
        <f>('Flow cytometer'!F7/'Flow cytometer'!G7)*POWER(10,'Flow cytometer'!E7+2)*10.2</f>
        <v>72784285.714285702</v>
      </c>
      <c r="I7" s="31">
        <v>2</v>
      </c>
      <c r="J7" s="31">
        <v>5291</v>
      </c>
      <c r="K7" s="31">
        <v>7</v>
      </c>
      <c r="L7" s="45">
        <f>('Flow cytometer'!J7/'Flow cytometer'!K7)*POWER(10,'Flow cytometer'!I7+2)*10.2</f>
        <v>77097428.571428567</v>
      </c>
      <c r="M7" s="31">
        <v>2</v>
      </c>
      <c r="N7" s="31">
        <v>5092</v>
      </c>
      <c r="O7" s="31">
        <v>7</v>
      </c>
      <c r="P7" s="45">
        <f>('Flow cytometer'!N7/'Flow cytometer'!O7)*POWER(10,'Flow cytometer'!M7+2)*10.2</f>
        <v>74197714.285714284</v>
      </c>
      <c r="Q7" s="48">
        <f>AVERAGE(H7,L7,P7)*Calculation!I7/Calculation!K6</f>
        <v>74747544.272188112</v>
      </c>
      <c r="R7" s="49">
        <f>STDEV(H7,L7,P7)*Calculation!I7/Calculation!K6</f>
        <v>2200439.2290947763</v>
      </c>
      <c r="S7" s="50">
        <f t="shared" si="1"/>
        <v>7.8735969290826624</v>
      </c>
      <c r="T7" s="50">
        <f t="shared" si="2"/>
        <v>18.129626917149434</v>
      </c>
      <c r="U7" s="50">
        <f t="shared" si="3"/>
        <v>7.8620376243096617</v>
      </c>
      <c r="V7" s="50">
        <f t="shared" si="4"/>
        <v>7.8870398932797174</v>
      </c>
      <c r="W7" s="50">
        <f t="shared" si="5"/>
        <v>7.8703905267292784</v>
      </c>
      <c r="X7" s="50">
        <f xml:space="preserve"> STDEV(U7:W7)*Calculation!I7/Calculation!K6</f>
        <v>1.2737754625210774E-2</v>
      </c>
    </row>
    <row r="8" spans="1:24">
      <c r="A8" s="40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2</v>
      </c>
      <c r="F8" s="31">
        <v>5873</v>
      </c>
      <c r="G8" s="31">
        <v>7</v>
      </c>
      <c r="H8" s="45">
        <f>('Flow cytometer'!F8/'Flow cytometer'!G8)*POWER(10,'Flow cytometer'!E8+2)*10.2</f>
        <v>85578000</v>
      </c>
      <c r="I8" s="31">
        <v>2</v>
      </c>
      <c r="J8" s="31">
        <v>6301</v>
      </c>
      <c r="K8" s="31">
        <v>7</v>
      </c>
      <c r="L8" s="45">
        <f>('Flow cytometer'!J8/'Flow cytometer'!K8)*POWER(10,'Flow cytometer'!I8+2)*10.2</f>
        <v>91814571.428571418</v>
      </c>
      <c r="M8" s="31">
        <v>2</v>
      </c>
      <c r="N8" s="31">
        <v>6259</v>
      </c>
      <c r="O8" s="31">
        <v>7</v>
      </c>
      <c r="P8" s="45">
        <f>('Flow cytometer'!N8/'Flow cytometer'!O8)*POWER(10,'Flow cytometer'!M8+2)*10.2</f>
        <v>91202571.428571418</v>
      </c>
      <c r="Q8" s="48">
        <f>AVERAGE(H8,L8,P8)*Calculation!I8/Calculation!K7</f>
        <v>89596923.108937666</v>
      </c>
      <c r="R8" s="49">
        <f>STDEV(H8,L8,P8)*Calculation!I8/Calculation!K7</f>
        <v>3440166.9915508372</v>
      </c>
      <c r="S8" s="50">
        <f t="shared" si="1"/>
        <v>7.9522930956023661</v>
      </c>
      <c r="T8" s="50">
        <f t="shared" si="2"/>
        <v>18.310831537053481</v>
      </c>
      <c r="U8" s="50">
        <f t="shared" si="3"/>
        <v>7.932362132590618</v>
      </c>
      <c r="V8" s="50">
        <f t="shared" si="4"/>
        <v>7.9629116113627871</v>
      </c>
      <c r="W8" s="50">
        <f t="shared" si="5"/>
        <v>7.9600070833009573</v>
      </c>
      <c r="X8" s="50">
        <f xml:space="preserve"> STDEV(U8:W8)*Calculation!I8/Calculation!K7</f>
        <v>1.6874221650910088E-2</v>
      </c>
    </row>
    <row r="9" spans="1:24">
      <c r="A9" s="40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2</v>
      </c>
      <c r="F9" s="31">
        <v>6255</v>
      </c>
      <c r="G9" s="31">
        <v>7</v>
      </c>
      <c r="H9" s="45">
        <f>('Flow cytometer'!F9/'Flow cytometer'!G9)*POWER(10,'Flow cytometer'!E9+2)*10.2</f>
        <v>91144285.714285702</v>
      </c>
      <c r="I9" s="31">
        <v>2</v>
      </c>
      <c r="J9" s="31">
        <v>5715</v>
      </c>
      <c r="K9" s="31">
        <v>7</v>
      </c>
      <c r="L9" s="45">
        <f>('Flow cytometer'!J9/'Flow cytometer'!K9)*POWER(10,'Flow cytometer'!I9+2)*10.2</f>
        <v>83275714.285714284</v>
      </c>
      <c r="M9" s="31">
        <v>2</v>
      </c>
      <c r="N9" s="31">
        <v>6210</v>
      </c>
      <c r="O9" s="31">
        <v>7</v>
      </c>
      <c r="P9" s="45">
        <f>('Flow cytometer'!N9/'Flow cytometer'!O9)*POWER(10,'Flow cytometer'!M9+2)*10.2</f>
        <v>90488571.428571418</v>
      </c>
      <c r="Q9" s="48">
        <f>AVERAGE(H9,L9,P9)*Calculation!I9/Calculation!K8</f>
        <v>88367170.949953169</v>
      </c>
      <c r="R9" s="49">
        <f>STDEV(H9,L9,P9)*Calculation!I9/Calculation!K8</f>
        <v>4369140.735791197</v>
      </c>
      <c r="S9" s="50">
        <f t="shared" si="1"/>
        <v>7.9462909514007238</v>
      </c>
      <c r="T9" s="50">
        <f t="shared" si="2"/>
        <v>18.297011089288777</v>
      </c>
      <c r="U9" s="50">
        <f t="shared" si="3"/>
        <v>7.9597294457770991</v>
      </c>
      <c r="V9" s="50">
        <f t="shared" si="4"/>
        <v>7.9205183664789613</v>
      </c>
      <c r="W9" s="50">
        <f t="shared" si="5"/>
        <v>7.956593731924241</v>
      </c>
      <c r="X9" s="50">
        <f xml:space="preserve"> STDEV(U9:W9)*Calculation!I9/Calculation!K8</f>
        <v>2.1805674531603238E-2</v>
      </c>
    </row>
    <row r="10" spans="1:24">
      <c r="A10" s="40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2</v>
      </c>
      <c r="F10" s="31">
        <v>6715</v>
      </c>
      <c r="G10" s="31">
        <v>7</v>
      </c>
      <c r="H10" s="45">
        <f>('Flow cytometer'!F10/'Flow cytometer'!G10)*POWER(10,'Flow cytometer'!E10+2)*10.2</f>
        <v>97847142.857142866</v>
      </c>
      <c r="I10" s="31">
        <v>2</v>
      </c>
      <c r="J10" s="31">
        <v>7220</v>
      </c>
      <c r="K10" s="31">
        <v>7</v>
      </c>
      <c r="L10" s="45">
        <f>('Flow cytometer'!J10/'Flow cytometer'!K10)*POWER(10,'Flow cytometer'!I10+2)*10.2</f>
        <v>105205714.28571427</v>
      </c>
      <c r="M10" s="31">
        <v>2</v>
      </c>
      <c r="N10" s="31">
        <v>7508</v>
      </c>
      <c r="O10" s="31">
        <v>7</v>
      </c>
      <c r="P10" s="45">
        <f>('Flow cytometer'!N10/'Flow cytometer'!O10)*POWER(10,'Flow cytometer'!M10+2)*10.2</f>
        <v>109402285.71428572</v>
      </c>
      <c r="Q10" s="48">
        <f>AVERAGE(H10,L10,P10)*Calculation!I10/Calculation!K9</f>
        <v>104227571.32452397</v>
      </c>
      <c r="R10" s="49">
        <f>STDEV(H10,L10,P10)*Calculation!I10/Calculation!K9</f>
        <v>5853492.493414483</v>
      </c>
      <c r="S10" s="50">
        <f t="shared" si="1"/>
        <v>8.0179826181017848</v>
      </c>
      <c r="T10" s="50">
        <f t="shared" si="2"/>
        <v>18.46208725232654</v>
      </c>
      <c r="U10" s="50">
        <f t="shared" si="3"/>
        <v>7.9905481487523948</v>
      </c>
      <c r="V10" s="50">
        <f t="shared" si="4"/>
        <v>8.0220393293173</v>
      </c>
      <c r="W10" s="50">
        <f t="shared" si="5"/>
        <v>8.0390263956969701</v>
      </c>
      <c r="X10" s="50">
        <f xml:space="preserve"> STDEV(U10:W10)*Calculation!I10/Calculation!K9</f>
        <v>2.4616002576908828E-2</v>
      </c>
    </row>
    <row r="11" spans="1:24">
      <c r="A11" s="40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2</v>
      </c>
      <c r="F11" s="31">
        <v>8983</v>
      </c>
      <c r="G11" s="31">
        <v>7</v>
      </c>
      <c r="H11" s="45">
        <f>('Flow cytometer'!F11/'Flow cytometer'!G11)*POWER(10,'Flow cytometer'!E11+2)*10.2</f>
        <v>130895142.85714284</v>
      </c>
      <c r="I11" s="31">
        <v>2</v>
      </c>
      <c r="J11" s="31">
        <v>9146</v>
      </c>
      <c r="K11" s="31">
        <v>7</v>
      </c>
      <c r="L11" s="45">
        <f>('Flow cytometer'!J11/'Flow cytometer'!K11)*POWER(10,'Flow cytometer'!I11+2)*10.2</f>
        <v>133270285.71428572</v>
      </c>
      <c r="M11" s="31">
        <v>2</v>
      </c>
      <c r="N11" s="31">
        <v>9100</v>
      </c>
      <c r="O11" s="31">
        <v>7</v>
      </c>
      <c r="P11" s="45">
        <f>('Flow cytometer'!N11/'Flow cytometer'!O11)*POWER(10,'Flow cytometer'!M11+2)*10.2</f>
        <v>132599999.99999999</v>
      </c>
      <c r="Q11" s="48">
        <f>AVERAGE(H11,L11,P11)*Calculation!I11/Calculation!K10</f>
        <v>132464492.836942</v>
      </c>
      <c r="R11" s="49">
        <f>STDEV(H11,L11,P11)*Calculation!I11/Calculation!K10</f>
        <v>1226487.5661274632</v>
      </c>
      <c r="S11" s="50">
        <f t="shared" si="1"/>
        <v>8.1220994810536276</v>
      </c>
      <c r="T11" s="50">
        <f t="shared" si="2"/>
        <v>18.701825188888755</v>
      </c>
      <c r="U11" s="50">
        <f t="shared" si="3"/>
        <v>8.1169235314286965</v>
      </c>
      <c r="V11" s="50">
        <f t="shared" si="4"/>
        <v>8.124733328792324</v>
      </c>
      <c r="W11" s="50">
        <f t="shared" si="5"/>
        <v>8.1225435240687549</v>
      </c>
      <c r="X11" s="50">
        <f xml:space="preserve"> STDEV(U11:W11)*Calculation!I11/Calculation!K10</f>
        <v>4.0348690101586595E-3</v>
      </c>
    </row>
    <row r="12" spans="1:24">
      <c r="A12" s="40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2</v>
      </c>
      <c r="F12" s="31">
        <v>13718</v>
      </c>
      <c r="G12" s="31">
        <v>7</v>
      </c>
      <c r="H12" s="45">
        <f>('Flow cytometer'!F12/'Flow cytometer'!G12)*POWER(10,'Flow cytometer'!E12+2)*10.2</f>
        <v>199890857.14285713</v>
      </c>
      <c r="I12" s="31">
        <v>2</v>
      </c>
      <c r="J12" s="31">
        <v>12948</v>
      </c>
      <c r="K12" s="31">
        <v>7</v>
      </c>
      <c r="L12" s="45">
        <f>('Flow cytometer'!J12/'Flow cytometer'!K12)*POWER(10,'Flow cytometer'!I12+2)*10.2</f>
        <v>188670857.14285713</v>
      </c>
      <c r="M12" s="31">
        <v>2</v>
      </c>
      <c r="N12" s="31">
        <v>12631</v>
      </c>
      <c r="O12" s="31">
        <v>7</v>
      </c>
      <c r="P12" s="45">
        <f>('Flow cytometer'!N12/'Flow cytometer'!O12)*POWER(10,'Flow cytometer'!M12+2)*10.2</f>
        <v>184051714.28571427</v>
      </c>
      <c r="Q12" s="48">
        <f>AVERAGE(H12,L12,P12)*Calculation!I12/Calculation!K11</f>
        <v>191173277.57219547</v>
      </c>
      <c r="R12" s="49">
        <f>STDEV(H12,L12,P12)*Calculation!I12/Calculation!K11</f>
        <v>8158478.8222360369</v>
      </c>
      <c r="S12" s="50">
        <f t="shared" si="1"/>
        <v>8.281427185983965</v>
      </c>
      <c r="T12" s="50">
        <f t="shared" si="2"/>
        <v>19.068690787162307</v>
      </c>
      <c r="U12" s="50">
        <f t="shared" si="3"/>
        <v>8.3007929302701289</v>
      </c>
      <c r="V12" s="50">
        <f t="shared" si="4"/>
        <v>8.2757048224781968</v>
      </c>
      <c r="W12" s="50">
        <f t="shared" si="5"/>
        <v>8.2649398668865093</v>
      </c>
      <c r="X12" s="50">
        <f xml:space="preserve"> STDEV(U12:W12)*Calculation!I12/Calculation!K11</f>
        <v>1.8426311264560732E-2</v>
      </c>
    </row>
    <row r="13" spans="1:24">
      <c r="A13" s="40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2</v>
      </c>
      <c r="F13" s="31">
        <v>19302</v>
      </c>
      <c r="G13" s="31">
        <v>7</v>
      </c>
      <c r="H13" s="45">
        <f>('Flow cytometer'!F13/'Flow cytometer'!G13)*POWER(10,'Flow cytometer'!E13+2)*10.2</f>
        <v>281257714.28571427</v>
      </c>
      <c r="I13" s="31">
        <v>2</v>
      </c>
      <c r="J13" s="31">
        <v>18769</v>
      </c>
      <c r="K13" s="31">
        <v>7</v>
      </c>
      <c r="L13" s="45">
        <f>('Flow cytometer'!J13/'Flow cytometer'!K13)*POWER(10,'Flow cytometer'!I13+2)*10.2</f>
        <v>273491142.85714281</v>
      </c>
      <c r="M13" s="31">
        <v>2</v>
      </c>
      <c r="N13" s="31">
        <v>19900</v>
      </c>
      <c r="O13" s="31">
        <v>7</v>
      </c>
      <c r="P13" s="45">
        <f>('Flow cytometer'!N13/'Flow cytometer'!O13)*POWER(10,'Flow cytometer'!M13+2)*10.2</f>
        <v>289971428.57142854</v>
      </c>
      <c r="Q13" s="48">
        <f>AVERAGE(H13,L13,P13)*Calculation!I13/Calculation!K12</f>
        <v>282283448.552526</v>
      </c>
      <c r="R13" s="49">
        <f>STDEV(H13,L13,P13)*Calculation!I13/Calculation!K12</f>
        <v>8265467.6429772917</v>
      </c>
      <c r="S13" s="50">
        <f t="shared" si="1"/>
        <v>8.4506854144096248</v>
      </c>
      <c r="T13" s="50">
        <f t="shared" si="2"/>
        <v>19.458422260801811</v>
      </c>
      <c r="U13" s="50">
        <f t="shared" si="3"/>
        <v>8.4491044430332742</v>
      </c>
      <c r="V13" s="50">
        <f t="shared" si="4"/>
        <v>8.4369432660604744</v>
      </c>
      <c r="W13" s="50">
        <f t="shared" si="5"/>
        <v>8.4623552081573674</v>
      </c>
      <c r="X13" s="50">
        <f xml:space="preserve"> STDEV(U13:W13)*Calculation!I13/Calculation!K12</f>
        <v>1.2741913034388522E-2</v>
      </c>
    </row>
    <row r="14" spans="1:24">
      <c r="A14" s="40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2</v>
      </c>
      <c r="F14" s="31">
        <v>29481</v>
      </c>
      <c r="G14" s="31">
        <v>7</v>
      </c>
      <c r="H14" s="45">
        <f>('Flow cytometer'!F14/'Flow cytometer'!G14)*POWER(10,'Flow cytometer'!E14+2)*10.2</f>
        <v>429580285.71428567</v>
      </c>
      <c r="I14" s="31">
        <v>2</v>
      </c>
      <c r="J14" s="31">
        <v>31015</v>
      </c>
      <c r="K14" s="31">
        <v>7</v>
      </c>
      <c r="L14" s="45">
        <f>('Flow cytometer'!J14/'Flow cytometer'!K14)*POWER(10,'Flow cytometer'!I14+2)*10.2</f>
        <v>451932857.14285707</v>
      </c>
      <c r="M14" s="31">
        <v>2</v>
      </c>
      <c r="N14" s="31">
        <v>31269</v>
      </c>
      <c r="O14" s="31">
        <v>7</v>
      </c>
      <c r="P14" s="45">
        <f>('Flow cytometer'!N14/'Flow cytometer'!O14)*POWER(10,'Flow cytometer'!M14+2)*10.2</f>
        <v>455633999.99999994</v>
      </c>
      <c r="Q14" s="48">
        <f>AVERAGE(H14,L14,P14)*Calculation!I14/Calculation!K13</f>
        <v>448160346.32295173</v>
      </c>
      <c r="R14" s="49">
        <f>STDEV(H14,L14,P14)*Calculation!I14/Calculation!K13</f>
        <v>14173007.506585732</v>
      </c>
      <c r="S14" s="50">
        <f t="shared" si="1"/>
        <v>8.6514334270875093</v>
      </c>
      <c r="T14" s="50">
        <f t="shared" si="2"/>
        <v>19.920661642242088</v>
      </c>
      <c r="U14" s="50">
        <f t="shared" si="3"/>
        <v>8.6330443425193479</v>
      </c>
      <c r="V14" s="50">
        <f t="shared" si="4"/>
        <v>8.6550739172486466</v>
      </c>
      <c r="W14" s="50">
        <f t="shared" si="5"/>
        <v>8.658616124233756</v>
      </c>
      <c r="X14" s="50">
        <f xml:space="preserve"> STDEV(U14:W14)*Calculation!I14/Calculation!K13</f>
        <v>1.3930986530256711E-2</v>
      </c>
    </row>
    <row r="15" spans="1:24">
      <c r="A15" s="40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2</v>
      </c>
      <c r="F15" s="31">
        <v>38013</v>
      </c>
      <c r="G15" s="31">
        <v>7</v>
      </c>
      <c r="H15" s="45">
        <f>('Flow cytometer'!F15/'Flow cytometer'!G15)*POWER(10,'Flow cytometer'!E15+2)*10.2</f>
        <v>553903714.28571427</v>
      </c>
      <c r="I15" s="31">
        <v>2</v>
      </c>
      <c r="J15" s="31">
        <v>42542</v>
      </c>
      <c r="K15" s="31">
        <v>7</v>
      </c>
      <c r="L15" s="45">
        <f>('Flow cytometer'!J15/'Flow cytometer'!K15)*POWER(10,'Flow cytometer'!I15+2)*10.2</f>
        <v>619897714.28571427</v>
      </c>
      <c r="M15" s="31">
        <v>2</v>
      </c>
      <c r="N15" s="31">
        <v>41073</v>
      </c>
      <c r="O15" s="31">
        <v>7</v>
      </c>
      <c r="P15" s="45">
        <f>('Flow cytometer'!N15/'Flow cytometer'!O15)*POWER(10,'Flow cytometer'!M15+2)*10.2</f>
        <v>598492285.71428561</v>
      </c>
      <c r="Q15" s="48">
        <f>AVERAGE(H15,L15,P15)*Calculation!I15/Calculation!K14</f>
        <v>595845681.66950786</v>
      </c>
      <c r="R15" s="49">
        <f>STDEV(H15,L15,P15)*Calculation!I15/Calculation!K14</f>
        <v>33958413.495348051</v>
      </c>
      <c r="S15" s="50">
        <f t="shared" si="1"/>
        <v>8.7751337961876228</v>
      </c>
      <c r="T15" s="50">
        <f t="shared" si="2"/>
        <v>20.20549226812987</v>
      </c>
      <c r="U15" s="50">
        <f t="shared" si="3"/>
        <v>8.7434342773842388</v>
      </c>
      <c r="V15" s="50">
        <f t="shared" si="4"/>
        <v>8.7923200350046926</v>
      </c>
      <c r="W15" s="50">
        <f t="shared" si="5"/>
        <v>8.7770585569257058</v>
      </c>
      <c r="X15" s="50">
        <f xml:space="preserve"> STDEV(U15:W15)*Calculation!I15/Calculation!K14</f>
        <v>2.5226189363637654E-2</v>
      </c>
    </row>
    <row r="16" spans="1:24">
      <c r="A16" s="40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2</v>
      </c>
      <c r="F16" s="31">
        <v>42157</v>
      </c>
      <c r="G16" s="31">
        <v>7</v>
      </c>
      <c r="H16" s="45">
        <f>('Flow cytometer'!F16/'Flow cytometer'!G16)*POWER(10,'Flow cytometer'!E16+2)*10.2</f>
        <v>614287714.28571427</v>
      </c>
      <c r="I16" s="31">
        <v>2</v>
      </c>
      <c r="J16" s="31">
        <v>48201</v>
      </c>
      <c r="K16" s="31">
        <v>7</v>
      </c>
      <c r="L16" s="45">
        <f>('Flow cytometer'!J16/'Flow cytometer'!K16)*POWER(10,'Flow cytometer'!I16+2)*10.2</f>
        <v>702357428.57142854</v>
      </c>
      <c r="M16" s="31">
        <v>2</v>
      </c>
      <c r="N16" s="31">
        <v>44808</v>
      </c>
      <c r="O16" s="31">
        <v>7</v>
      </c>
      <c r="P16" s="45">
        <f>('Flow cytometer'!N16/'Flow cytometer'!O16)*POWER(10,'Flow cytometer'!M16+2)*10.2</f>
        <v>652916571.42857134</v>
      </c>
      <c r="Q16" s="48">
        <f>AVERAGE(H16,L16,P16)*Calculation!I16/Calculation!K15</f>
        <v>665100431.03988159</v>
      </c>
      <c r="R16" s="49">
        <f>STDEV(H16,L16,P16)*Calculation!I16/Calculation!K15</f>
        <v>44722252.436837032</v>
      </c>
      <c r="S16" s="50">
        <f t="shared" si="1"/>
        <v>8.8228872292928511</v>
      </c>
      <c r="T16" s="50">
        <f t="shared" si="2"/>
        <v>20.315448611337256</v>
      </c>
      <c r="U16" s="50">
        <f t="shared" si="3"/>
        <v>8.7883718295450617</v>
      </c>
      <c r="V16" s="50">
        <f t="shared" si="4"/>
        <v>8.8465581801520052</v>
      </c>
      <c r="W16" s="50">
        <f t="shared" si="5"/>
        <v>8.8148576914083456</v>
      </c>
      <c r="X16" s="50">
        <f xml:space="preserve"> STDEV(U16:W16)*Calculation!I16/Calculation!K15</f>
        <v>2.9512811704761884E-2</v>
      </c>
    </row>
    <row r="17" spans="1:24">
      <c r="A17" s="40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2</v>
      </c>
      <c r="F17" s="31">
        <v>50524</v>
      </c>
      <c r="G17" s="31">
        <v>7</v>
      </c>
      <c r="H17" s="45">
        <f>('Flow cytometer'!F17/'Flow cytometer'!G17)*POWER(10,'Flow cytometer'!E17+2)*10.2</f>
        <v>736206857.14285707</v>
      </c>
      <c r="I17" s="31">
        <v>2</v>
      </c>
      <c r="J17" s="31">
        <v>57709</v>
      </c>
      <c r="K17" s="31">
        <v>7</v>
      </c>
      <c r="L17" s="45">
        <f>('Flow cytometer'!J17/'Flow cytometer'!K17)*POWER(10,'Flow cytometer'!I17+2)*10.2</f>
        <v>840902571.42857134</v>
      </c>
      <c r="M17" s="31">
        <v>2</v>
      </c>
      <c r="N17" s="31">
        <v>53912</v>
      </c>
      <c r="O17" s="31">
        <v>7</v>
      </c>
      <c r="P17" s="45">
        <f>('Flow cytometer'!N17/'Flow cytometer'!O17)*POWER(10,'Flow cytometer'!M17+2)*10.2</f>
        <v>785574857.14285707</v>
      </c>
      <c r="Q17" s="48">
        <f>AVERAGE(H17,L17,P17)*Calculation!I17/Calculation!K16</f>
        <v>801569087.75837564</v>
      </c>
      <c r="R17" s="49">
        <f>STDEV(H17,L17,P17)*Calculation!I17/Calculation!K16</f>
        <v>53307688.256176569</v>
      </c>
      <c r="S17" s="50">
        <f t="shared" si="1"/>
        <v>8.903940960425837</v>
      </c>
      <c r="T17" s="50">
        <f t="shared" si="2"/>
        <v>20.502081724375618</v>
      </c>
      <c r="U17" s="50">
        <f t="shared" si="3"/>
        <v>8.8669998582144718</v>
      </c>
      <c r="V17" s="50">
        <f t="shared" si="4"/>
        <v>8.9247456805279111</v>
      </c>
      <c r="W17" s="50">
        <f t="shared" si="5"/>
        <v>8.8951875751113061</v>
      </c>
      <c r="X17" s="50">
        <f xml:space="preserve"> STDEV(U17:W17)*Calculation!I17/Calculation!K16</f>
        <v>2.9389206287951428E-2</v>
      </c>
    </row>
    <row r="18" spans="1:24">
      <c r="A18" s="40">
        <v>14</v>
      </c>
      <c r="B18" s="31">
        <v>80</v>
      </c>
      <c r="C18" s="31">
        <f t="shared" si="6"/>
        <v>1160</v>
      </c>
      <c r="D18" s="13">
        <f t="shared" si="0"/>
        <v>19.333333333333332</v>
      </c>
      <c r="E18" s="31">
        <v>2</v>
      </c>
      <c r="F18" s="31">
        <v>70114</v>
      </c>
      <c r="G18" s="31">
        <v>7</v>
      </c>
      <c r="H18" s="45">
        <f>('Flow cytometer'!F18/'Flow cytometer'!G18)*POWER(10,'Flow cytometer'!E18+2)*10.2</f>
        <v>1021661142.8571427</v>
      </c>
      <c r="I18" s="31">
        <v>2</v>
      </c>
      <c r="J18" s="31">
        <v>63592</v>
      </c>
      <c r="K18" s="31">
        <v>7</v>
      </c>
      <c r="L18" s="45">
        <f>('Flow cytometer'!J18/'Flow cytometer'!K18)*POWER(10,'Flow cytometer'!I18+2)*10.2</f>
        <v>926626285.71428573</v>
      </c>
      <c r="M18" s="31">
        <v>2</v>
      </c>
      <c r="N18" s="31">
        <v>59171</v>
      </c>
      <c r="O18" s="31">
        <v>7</v>
      </c>
      <c r="P18" s="45">
        <f>('Flow cytometer'!N18/'Flow cytometer'!O18)*POWER(10,'Flow cytometer'!M18+2)*10.2</f>
        <v>862205999.99999988</v>
      </c>
      <c r="Q18" s="48">
        <f>AVERAGE(H18,L18,P18)*Calculation!I18/Calculation!K17</f>
        <v>956973634.67326319</v>
      </c>
      <c r="R18" s="49">
        <f>STDEV(H18,L18,P18)*Calculation!I18/Calculation!K17</f>
        <v>81940591.086785376</v>
      </c>
      <c r="S18" s="50">
        <f t="shared" si="1"/>
        <v>8.9808999728096062</v>
      </c>
      <c r="T18" s="50">
        <f t="shared" si="2"/>
        <v>20.679286399062029</v>
      </c>
      <c r="U18" s="50">
        <f t="shared" si="3"/>
        <v>9.009306876043599</v>
      </c>
      <c r="V18" s="50">
        <f t="shared" si="4"/>
        <v>8.9669046157233314</v>
      </c>
      <c r="W18" s="50">
        <f t="shared" si="5"/>
        <v>8.9356110407375677</v>
      </c>
      <c r="X18" s="50">
        <f xml:space="preserve"> STDEV(U18:W18)*Calculation!I18/Calculation!K17</f>
        <v>3.7782444474186196E-2</v>
      </c>
    </row>
    <row r="19" spans="1:24">
      <c r="A19" s="40">
        <v>15</v>
      </c>
      <c r="B19" s="31">
        <v>300</v>
      </c>
      <c r="C19" s="31">
        <f>C18+B19</f>
        <v>1460</v>
      </c>
      <c r="D19" s="13">
        <f t="shared" si="0"/>
        <v>24.333333333333332</v>
      </c>
      <c r="E19" s="31">
        <v>2</v>
      </c>
      <c r="F19" s="31">
        <v>67974</v>
      </c>
      <c r="G19" s="31">
        <v>7</v>
      </c>
      <c r="H19" s="45">
        <f>('Flow cytometer'!F19/'Flow cytometer'!G19)*POWER(10,'Flow cytometer'!E19+2)*10.2</f>
        <v>990478285.71428573</v>
      </c>
      <c r="I19" s="31">
        <v>2</v>
      </c>
      <c r="J19" s="31">
        <v>65051</v>
      </c>
      <c r="K19" s="31">
        <v>7</v>
      </c>
      <c r="L19" s="45">
        <f>('Flow cytometer'!J19/'Flow cytometer'!K19)*POWER(10,'Flow cytometer'!I19+2)*10.2</f>
        <v>947885999.99999988</v>
      </c>
      <c r="M19" s="31">
        <v>2</v>
      </c>
      <c r="N19" s="31">
        <v>63843</v>
      </c>
      <c r="O19" s="31">
        <v>7</v>
      </c>
      <c r="P19" s="45">
        <f>('Flow cytometer'!N19/'Flow cytometer'!O19)*POWER(10,'Flow cytometer'!M19+2)*10.2</f>
        <v>930283714.28571415</v>
      </c>
      <c r="Q19" s="48">
        <f>AVERAGE(H19,L19,P19)*Calculation!I19/Calculation!K18</f>
        <v>983036659.11450374</v>
      </c>
      <c r="R19" s="49">
        <f>STDEV(H19,L19,P19)*Calculation!I19/Calculation!K18</f>
        <v>31817872.539152499</v>
      </c>
      <c r="S19" s="50">
        <f t="shared" si="1"/>
        <v>8.9925697137164473</v>
      </c>
      <c r="T19" s="50">
        <f t="shared" si="2"/>
        <v>20.706156970513227</v>
      </c>
      <c r="U19" s="50">
        <f t="shared" si="3"/>
        <v>8.9958449589277354</v>
      </c>
      <c r="V19" s="50">
        <f t="shared" si="4"/>
        <v>8.9767561089118875</v>
      </c>
      <c r="W19" s="50">
        <f t="shared" si="5"/>
        <v>8.9686154181861006</v>
      </c>
      <c r="X19" s="50">
        <f xml:space="preserve"> STDEV(U19:W19)*Calculation!I19/Calculation!K18</f>
        <v>1.4368815154695321E-2</v>
      </c>
    </row>
    <row r="20" spans="1:24">
      <c r="A20" s="40">
        <v>16</v>
      </c>
      <c r="B20" s="31">
        <v>350</v>
      </c>
      <c r="C20" s="31">
        <f>C19+B20</f>
        <v>1810</v>
      </c>
      <c r="D20" s="13">
        <f t="shared" si="0"/>
        <v>30.166666666666668</v>
      </c>
      <c r="E20" s="31">
        <v>2</v>
      </c>
      <c r="F20" s="31">
        <v>56787</v>
      </c>
      <c r="G20" s="31">
        <v>7</v>
      </c>
      <c r="H20" s="45">
        <f>('Flow cytometer'!F20/'Flow cytometer'!G20)*POWER(10,'Flow cytometer'!E20+2)*10.2</f>
        <v>827467714.28571427</v>
      </c>
      <c r="I20" s="31">
        <v>2</v>
      </c>
      <c r="J20" s="31">
        <v>56314</v>
      </c>
      <c r="K20" s="31">
        <v>7</v>
      </c>
      <c r="L20" s="45">
        <f>('Flow cytometer'!J20/'Flow cytometer'!K20)*POWER(10,'Flow cytometer'!I20+2)*10.2</f>
        <v>820575428.57142854</v>
      </c>
      <c r="M20" s="31">
        <v>2</v>
      </c>
      <c r="N20" s="31">
        <v>74855</v>
      </c>
      <c r="O20" s="31">
        <v>7</v>
      </c>
      <c r="P20" s="45">
        <f>('Flow cytometer'!N20/'Flow cytometer'!O20)*POWER(10,'Flow cytometer'!M20+2)*10.2</f>
        <v>1090744285.7142859</v>
      </c>
      <c r="Q20" s="48">
        <f>AVERAGE(H20,L20,P20)*Calculation!I20/Calculation!K19</f>
        <v>938535659.93724573</v>
      </c>
      <c r="R20" s="49">
        <f>STDEV(H20,L20,P20)*Calculation!I20/Calculation!K19</f>
        <v>158351361.98886031</v>
      </c>
      <c r="S20" s="50">
        <f t="shared" ref="S20:S21" si="7">LOG(Q20)</f>
        <v>8.9724507784168779</v>
      </c>
      <c r="T20" s="50">
        <f t="shared" ref="T20:T21" si="8">LN(Q20)</f>
        <v>20.659831410005523</v>
      </c>
      <c r="U20" s="50">
        <f t="shared" si="3"/>
        <v>8.9177510576971866</v>
      </c>
      <c r="V20" s="50">
        <f t="shared" si="4"/>
        <v>8.91411850824921</v>
      </c>
      <c r="W20" s="50">
        <f t="shared" si="5"/>
        <v>9.0377229464452391</v>
      </c>
      <c r="X20" s="50">
        <f xml:space="preserve"> STDEV(U20:W20)*Calculation!I20/Calculation!K19</f>
        <v>7.2310772294865752E-2</v>
      </c>
    </row>
    <row r="21" spans="1:24">
      <c r="A21" s="40">
        <v>17</v>
      </c>
      <c r="B21" s="31">
        <v>1070</v>
      </c>
      <c r="C21" s="31">
        <f>C20+B21</f>
        <v>2880</v>
      </c>
      <c r="D21" s="13">
        <f t="shared" si="0"/>
        <v>48</v>
      </c>
      <c r="E21" s="31">
        <v>2</v>
      </c>
      <c r="F21" s="31">
        <v>59108</v>
      </c>
      <c r="G21" s="31">
        <v>7</v>
      </c>
      <c r="H21" s="45">
        <f>('Flow cytometer'!F21/'Flow cytometer'!G21)*POWER(10,'Flow cytometer'!E21+2)*10.2</f>
        <v>861287999.99999988</v>
      </c>
      <c r="I21" s="31">
        <v>2</v>
      </c>
      <c r="J21" s="31">
        <v>65051</v>
      </c>
      <c r="K21" s="31">
        <v>7</v>
      </c>
      <c r="L21" s="45">
        <f>('Flow cytometer'!J21/'Flow cytometer'!K21)*POWER(10,'Flow cytometer'!I21+2)*10.2</f>
        <v>947885999.99999988</v>
      </c>
      <c r="M21" s="31">
        <v>2</v>
      </c>
      <c r="N21" s="31">
        <v>63843</v>
      </c>
      <c r="O21" s="31">
        <v>7</v>
      </c>
      <c r="P21" s="45">
        <f>('Flow cytometer'!N21/'Flow cytometer'!O21)*POWER(10,'Flow cytometer'!M21+2)*10.2</f>
        <v>930283714.28571415</v>
      </c>
      <c r="Q21" s="48">
        <f>AVERAGE(H21,L21,P21)*Calculation!I21/Calculation!K20</f>
        <v>940116096.91834605</v>
      </c>
      <c r="R21" s="49">
        <f>STDEV(H21,L21,P21)*Calculation!I21/Calculation!K20</f>
        <v>47121691.670628332</v>
      </c>
      <c r="S21" s="50">
        <f t="shared" si="7"/>
        <v>8.9731814888524895</v>
      </c>
      <c r="T21" s="50">
        <f t="shared" si="8"/>
        <v>20.66151393296186</v>
      </c>
      <c r="U21" s="50">
        <f>LOG(H21)</f>
        <v>8.9351483963975369</v>
      </c>
      <c r="V21" s="50">
        <f>LOG(L21)</f>
        <v>8.9767561089118875</v>
      </c>
      <c r="W21" s="50">
        <f>LOG(P21)</f>
        <v>8.9686154181861006</v>
      </c>
      <c r="X21" s="50">
        <f xml:space="preserve"> STDEV(U21:W21)*Calculation!I21/Calculation!K20</f>
        <v>2.2702255210457479E-2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27" workbookViewId="0">
      <selection activeCell="I49" sqref="I49"/>
    </sheetView>
  </sheetViews>
  <sheetFormatPr baseColWidth="10" defaultRowHeight="14" x14ac:dyDescent="0"/>
  <cols>
    <col min="3" max="5" width="11" bestFit="1" customWidth="1"/>
  </cols>
  <sheetData>
    <row r="1" spans="1:22">
      <c r="A1" s="75"/>
      <c r="B1" s="133" t="s">
        <v>4</v>
      </c>
      <c r="C1" s="135" t="s">
        <v>182</v>
      </c>
      <c r="D1" s="136" t="s">
        <v>18</v>
      </c>
      <c r="E1" s="136"/>
      <c r="F1" s="136"/>
      <c r="G1" s="136"/>
      <c r="H1" s="136" t="s">
        <v>20</v>
      </c>
      <c r="I1" s="136"/>
      <c r="J1" s="136"/>
      <c r="K1" s="136"/>
      <c r="L1" s="136" t="s">
        <v>21</v>
      </c>
      <c r="M1" s="136"/>
      <c r="N1" s="136"/>
      <c r="O1" s="136"/>
      <c r="P1" s="106" t="s">
        <v>22</v>
      </c>
      <c r="Q1" s="106" t="s">
        <v>22</v>
      </c>
      <c r="R1" s="106" t="s">
        <v>22</v>
      </c>
      <c r="S1" s="128" t="s">
        <v>234</v>
      </c>
      <c r="T1" s="75"/>
      <c r="U1" s="75"/>
      <c r="V1" s="75"/>
    </row>
    <row r="2" spans="1:22">
      <c r="A2" s="75"/>
      <c r="B2" s="134"/>
      <c r="C2" s="134"/>
      <c r="D2" s="108" t="s">
        <v>19</v>
      </c>
      <c r="E2" s="108" t="s">
        <v>68</v>
      </c>
      <c r="F2" s="108" t="s">
        <v>69</v>
      </c>
      <c r="G2" s="108" t="s">
        <v>70</v>
      </c>
      <c r="H2" s="108" t="s">
        <v>19</v>
      </c>
      <c r="I2" s="108" t="s">
        <v>68</v>
      </c>
      <c r="J2" s="108" t="s">
        <v>69</v>
      </c>
      <c r="K2" s="108" t="s">
        <v>70</v>
      </c>
      <c r="L2" s="108" t="s">
        <v>19</v>
      </c>
      <c r="M2" s="108" t="s">
        <v>68</v>
      </c>
      <c r="N2" s="108" t="s">
        <v>69</v>
      </c>
      <c r="O2" s="108" t="s">
        <v>71</v>
      </c>
      <c r="P2" s="107" t="s">
        <v>70</v>
      </c>
      <c r="Q2" s="107" t="s">
        <v>23</v>
      </c>
      <c r="R2" s="107" t="s">
        <v>72</v>
      </c>
      <c r="S2" s="129"/>
      <c r="T2" s="75"/>
      <c r="U2" s="75"/>
      <c r="V2" s="75"/>
    </row>
    <row r="3" spans="1:22">
      <c r="A3" s="75"/>
      <c r="B3" s="76"/>
      <c r="C3" s="76"/>
      <c r="D3" s="77"/>
      <c r="E3" s="77"/>
      <c r="F3" s="77"/>
      <c r="G3" s="78"/>
      <c r="H3" s="77"/>
      <c r="I3" s="77"/>
      <c r="J3" s="77"/>
      <c r="K3" s="78"/>
      <c r="L3" s="77"/>
      <c r="M3" s="77"/>
      <c r="N3" s="77"/>
      <c r="O3" s="78"/>
      <c r="P3" s="130"/>
      <c r="Q3" s="131"/>
      <c r="R3" s="132"/>
      <c r="S3" s="75"/>
      <c r="T3" s="75"/>
      <c r="U3" s="75"/>
      <c r="V3" s="75"/>
    </row>
    <row r="4" spans="1:22">
      <c r="A4" s="75"/>
      <c r="B4" s="79" t="s">
        <v>183</v>
      </c>
      <c r="C4" s="80">
        <v>500</v>
      </c>
      <c r="D4" s="80">
        <v>2</v>
      </c>
      <c r="E4" s="80">
        <v>26960</v>
      </c>
      <c r="F4" s="80">
        <v>7</v>
      </c>
      <c r="G4" s="78">
        <f>(E4/F4)*(10.2)*POWER(10,D4+2)</f>
        <v>392845714.28571427</v>
      </c>
      <c r="H4" s="80">
        <v>2</v>
      </c>
      <c r="I4" s="80">
        <v>28998</v>
      </c>
      <c r="J4" s="80">
        <v>7</v>
      </c>
      <c r="K4" s="78">
        <f t="shared" ref="K4:K19" si="0">(I4/J4)*(10.2)*POWER(10,H4+2)</f>
        <v>422542285.71428567</v>
      </c>
      <c r="L4" s="80">
        <v>2</v>
      </c>
      <c r="M4" s="80">
        <v>29053</v>
      </c>
      <c r="N4" s="80">
        <v>7</v>
      </c>
      <c r="O4" s="78">
        <f>(M4/N4)*(10.2)*POWER(10,L4+2)</f>
        <v>423343714.28571433</v>
      </c>
      <c r="P4" s="81">
        <f t="shared" ref="P4:P19" si="1">AVERAGE(O4,K4,G4)</f>
        <v>412910571.4285714</v>
      </c>
      <c r="Q4" s="81">
        <f t="shared" ref="Q4:Q19" si="2">STDEV(O4,K4,G4)</f>
        <v>17381295.724462688</v>
      </c>
      <c r="R4" s="82">
        <f t="shared" ref="R4:R19" si="3">LOG(P4)</f>
        <v>8.6158560019212569</v>
      </c>
      <c r="S4" s="75"/>
      <c r="T4" s="75"/>
      <c r="U4" s="75"/>
      <c r="V4" s="75"/>
    </row>
    <row r="5" spans="1:22">
      <c r="A5" s="75"/>
      <c r="B5" s="79" t="s">
        <v>184</v>
      </c>
      <c r="C5" s="80">
        <v>500</v>
      </c>
      <c r="D5" s="80">
        <v>1</v>
      </c>
      <c r="E5" s="80">
        <v>25770</v>
      </c>
      <c r="F5" s="80">
        <v>7</v>
      </c>
      <c r="G5" s="78">
        <f>(E5/F5)*(10.2)*POWER(10,D5+2)</f>
        <v>37550571.428571425</v>
      </c>
      <c r="H5" s="80">
        <v>1</v>
      </c>
      <c r="I5" s="80">
        <v>24760</v>
      </c>
      <c r="J5" s="80">
        <v>7</v>
      </c>
      <c r="K5" s="78">
        <f t="shared" si="0"/>
        <v>36078857.142857142</v>
      </c>
      <c r="L5" s="80">
        <v>1</v>
      </c>
      <c r="M5" s="80">
        <v>27526</v>
      </c>
      <c r="N5" s="80">
        <v>7</v>
      </c>
      <c r="O5" s="78">
        <f>(M5/N5)*(10.2)*POWER(10,L5+2)</f>
        <v>40109314.285714284</v>
      </c>
      <c r="P5" s="81">
        <f t="shared" si="1"/>
        <v>37912914.285714291</v>
      </c>
      <c r="Q5" s="81">
        <f t="shared" si="2"/>
        <v>2039513.5338344474</v>
      </c>
      <c r="R5" s="82">
        <f t="shared" si="3"/>
        <v>7.5787871690098934</v>
      </c>
      <c r="S5" s="75"/>
      <c r="T5" s="75"/>
      <c r="U5" s="75"/>
      <c r="V5" s="75"/>
    </row>
    <row r="6" spans="1:22">
      <c r="A6" s="75"/>
      <c r="B6" s="79" t="s">
        <v>185</v>
      </c>
      <c r="C6" s="80">
        <v>500</v>
      </c>
      <c r="D6" s="80">
        <v>0</v>
      </c>
      <c r="E6" s="80">
        <v>2493</v>
      </c>
      <c r="F6" s="80">
        <v>7</v>
      </c>
      <c r="G6" s="78">
        <f>(E6/F6)*(10.2)*POWER(10,D6+2)</f>
        <v>363265.71428571426</v>
      </c>
      <c r="H6" s="80">
        <v>0</v>
      </c>
      <c r="I6" s="80">
        <v>2459</v>
      </c>
      <c r="J6" s="80">
        <v>7</v>
      </c>
      <c r="K6" s="78">
        <f t="shared" si="0"/>
        <v>358311.42857142852</v>
      </c>
      <c r="L6" s="80">
        <v>0</v>
      </c>
      <c r="M6" s="80">
        <v>2550</v>
      </c>
      <c r="N6" s="80">
        <v>7</v>
      </c>
      <c r="O6" s="78">
        <f>(M6/N6)*(10.2)*POWER(10,L6+2)</f>
        <v>371571.42857142852</v>
      </c>
      <c r="P6" s="81">
        <f t="shared" si="1"/>
        <v>364382.8571428571</v>
      </c>
      <c r="Q6" s="81">
        <f t="shared" si="2"/>
        <v>6700.2168712996863</v>
      </c>
      <c r="R6" s="82">
        <f t="shared" si="3"/>
        <v>5.5615579368427026</v>
      </c>
      <c r="S6" s="88" t="s">
        <v>133</v>
      </c>
      <c r="T6" s="75"/>
      <c r="U6" s="75"/>
      <c r="V6" s="75"/>
    </row>
    <row r="7" spans="1:22">
      <c r="A7" s="75"/>
      <c r="B7" s="79" t="s">
        <v>186</v>
      </c>
      <c r="C7" s="80">
        <v>500</v>
      </c>
      <c r="D7" s="80">
        <f>LOG(705/250)</f>
        <v>0.45024910831936105</v>
      </c>
      <c r="E7" s="80">
        <v>946</v>
      </c>
      <c r="F7" s="80">
        <v>7</v>
      </c>
      <c r="G7" s="78">
        <f>(E7/F7)*(1)*POWER(10,D7+2)</f>
        <v>38110.285714285717</v>
      </c>
      <c r="H7" s="80">
        <f>LOG(705/250)</f>
        <v>0.45024910831936105</v>
      </c>
      <c r="I7" s="80">
        <v>885</v>
      </c>
      <c r="J7" s="80">
        <v>7</v>
      </c>
      <c r="K7" s="78">
        <f t="shared" si="0"/>
        <v>363659.1428571429</v>
      </c>
      <c r="L7" s="80">
        <f>LOG(705/250)</f>
        <v>0.45024910831936105</v>
      </c>
      <c r="M7" s="80">
        <v>947</v>
      </c>
      <c r="N7" s="80">
        <v>7</v>
      </c>
      <c r="O7" s="78">
        <f>(M7/N7)*(1)*POWER(10,L7+2)</f>
        <v>38150.571428571435</v>
      </c>
      <c r="P7" s="81">
        <f t="shared" si="1"/>
        <v>146640.00000000003</v>
      </c>
      <c r="Q7" s="81">
        <f t="shared" si="2"/>
        <v>187944.09190121258</v>
      </c>
      <c r="R7" s="82">
        <f t="shared" si="3"/>
        <v>5.1662524519541604</v>
      </c>
      <c r="S7" s="75"/>
      <c r="T7" s="75"/>
      <c r="U7" s="75"/>
      <c r="V7" s="75"/>
    </row>
    <row r="8" spans="1:22">
      <c r="A8" s="75"/>
      <c r="B8" s="79" t="s">
        <v>187</v>
      </c>
      <c r="C8" s="80">
        <v>500</v>
      </c>
      <c r="D8" s="80">
        <f>LOG(705/250)</f>
        <v>0.45024910831936105</v>
      </c>
      <c r="E8" s="80">
        <v>1248</v>
      </c>
      <c r="F8" s="80">
        <v>70</v>
      </c>
      <c r="G8" s="78">
        <f>(E8/F8)*(1)*POWER(10,D8+2)</f>
        <v>5027.6571428571442</v>
      </c>
      <c r="H8" s="80">
        <f>LOG(705/250)</f>
        <v>0.45024910831936105</v>
      </c>
      <c r="I8" s="80">
        <v>1303</v>
      </c>
      <c r="J8" s="80">
        <v>70</v>
      </c>
      <c r="K8" s="78">
        <f t="shared" si="0"/>
        <v>53542.131428571432</v>
      </c>
      <c r="L8" s="80">
        <f>LOG(705/250)</f>
        <v>0.45024910831936105</v>
      </c>
      <c r="M8" s="80">
        <v>1278</v>
      </c>
      <c r="N8" s="80">
        <v>70</v>
      </c>
      <c r="O8" s="78">
        <f>(M8/N8)*(1)*POWER(10,L8+2)</f>
        <v>5148.5142857142864</v>
      </c>
      <c r="P8" s="81">
        <f t="shared" si="1"/>
        <v>21239.434285714287</v>
      </c>
      <c r="Q8" s="81">
        <f t="shared" si="2"/>
        <v>27975.021602129429</v>
      </c>
      <c r="R8" s="82">
        <f t="shared" si="3"/>
        <v>4.3271429450900092</v>
      </c>
      <c r="S8" s="75"/>
      <c r="T8" s="75"/>
      <c r="U8" s="75"/>
      <c r="V8" s="75"/>
    </row>
    <row r="9" spans="1:22">
      <c r="A9" s="75"/>
      <c r="B9" s="79" t="s">
        <v>188</v>
      </c>
      <c r="C9" s="80">
        <v>900</v>
      </c>
      <c r="D9" s="80">
        <v>2</v>
      </c>
      <c r="E9" s="80">
        <v>26822</v>
      </c>
      <c r="F9" s="80">
        <v>7</v>
      </c>
      <c r="G9" s="78">
        <f t="shared" ref="G9:G19" si="4">(E9/F9)*(10.2)*POWER(10,D9+2)</f>
        <v>390834857.14285713</v>
      </c>
      <c r="H9" s="80">
        <v>2</v>
      </c>
      <c r="I9" s="80">
        <v>25452</v>
      </c>
      <c r="J9" s="80">
        <v>7</v>
      </c>
      <c r="K9" s="78">
        <f t="shared" si="0"/>
        <v>370872000</v>
      </c>
      <c r="L9" s="80">
        <v>2</v>
      </c>
      <c r="M9" s="80">
        <v>29126</v>
      </c>
      <c r="N9" s="80">
        <v>7</v>
      </c>
      <c r="O9" s="78">
        <f t="shared" ref="O9:O19" si="5">(M9/N9)*(10.2)*POWER(10,L9+2)</f>
        <v>424407428.57142854</v>
      </c>
      <c r="P9" s="81">
        <f t="shared" si="1"/>
        <v>395371428.57142854</v>
      </c>
      <c r="Q9" s="81">
        <f t="shared" si="2"/>
        <v>27054498.485954784</v>
      </c>
      <c r="R9" s="82">
        <f t="shared" si="3"/>
        <v>8.5970052819172</v>
      </c>
      <c r="S9" s="75"/>
      <c r="T9" s="75"/>
      <c r="U9" s="75"/>
      <c r="V9" s="75"/>
    </row>
    <row r="10" spans="1:22">
      <c r="A10" s="75"/>
      <c r="B10" s="79" t="s">
        <v>189</v>
      </c>
      <c r="C10" s="80">
        <v>900</v>
      </c>
      <c r="D10" s="80">
        <v>1</v>
      </c>
      <c r="E10" s="80">
        <v>11669</v>
      </c>
      <c r="F10" s="80">
        <v>7</v>
      </c>
      <c r="G10" s="78">
        <f t="shared" si="4"/>
        <v>17003399.999999996</v>
      </c>
      <c r="H10" s="80">
        <v>1</v>
      </c>
      <c r="I10" s="80">
        <v>13970</v>
      </c>
      <c r="J10" s="80">
        <v>20</v>
      </c>
      <c r="K10" s="78">
        <f t="shared" si="0"/>
        <v>7124700</v>
      </c>
      <c r="L10" s="80">
        <v>1</v>
      </c>
      <c r="M10" s="80">
        <v>12995</v>
      </c>
      <c r="N10" s="80">
        <v>7</v>
      </c>
      <c r="O10" s="78">
        <f t="shared" si="5"/>
        <v>18935571.428571429</v>
      </c>
      <c r="P10" s="81">
        <f t="shared" si="1"/>
        <v>14354557.142857142</v>
      </c>
      <c r="Q10" s="81">
        <f t="shared" si="2"/>
        <v>6335333.2459262749</v>
      </c>
      <c r="R10" s="82">
        <f t="shared" si="3"/>
        <v>7.1569897984779303</v>
      </c>
      <c r="S10" s="88" t="s">
        <v>133</v>
      </c>
      <c r="T10" s="75"/>
      <c r="U10" s="75"/>
      <c r="V10" s="75"/>
    </row>
    <row r="11" spans="1:22">
      <c r="A11" s="75"/>
      <c r="B11" s="79" t="s">
        <v>190</v>
      </c>
      <c r="C11" s="80">
        <v>900</v>
      </c>
      <c r="D11" s="80">
        <v>1</v>
      </c>
      <c r="E11" s="80">
        <v>6123</v>
      </c>
      <c r="F11" s="80">
        <v>7</v>
      </c>
      <c r="G11" s="78">
        <f t="shared" si="4"/>
        <v>8922085.7142857127</v>
      </c>
      <c r="H11" s="80">
        <v>1</v>
      </c>
      <c r="I11" s="80">
        <v>6639</v>
      </c>
      <c r="J11" s="80">
        <v>7</v>
      </c>
      <c r="K11" s="78">
        <f t="shared" si="0"/>
        <v>9673971.4285714272</v>
      </c>
      <c r="L11" s="80">
        <v>1</v>
      </c>
      <c r="M11" s="80">
        <v>7021</v>
      </c>
      <c r="N11" s="80">
        <v>7</v>
      </c>
      <c r="O11" s="78">
        <f t="shared" si="5"/>
        <v>10230599.999999998</v>
      </c>
      <c r="P11" s="81">
        <f t="shared" si="1"/>
        <v>9608885.7142857127</v>
      </c>
      <c r="Q11" s="81">
        <f t="shared" si="2"/>
        <v>656680.68468065432</v>
      </c>
      <c r="R11" s="82">
        <f t="shared" si="3"/>
        <v>6.9826730280228597</v>
      </c>
      <c r="S11" s="88" t="s">
        <v>133</v>
      </c>
      <c r="T11" s="75"/>
      <c r="U11" s="75"/>
      <c r="V11" s="75"/>
    </row>
    <row r="12" spans="1:22">
      <c r="A12" s="75"/>
      <c r="B12" s="79" t="s">
        <v>191</v>
      </c>
      <c r="C12" s="80">
        <v>900</v>
      </c>
      <c r="D12" s="80">
        <v>1</v>
      </c>
      <c r="E12" s="80">
        <v>29009</v>
      </c>
      <c r="F12" s="80">
        <v>7</v>
      </c>
      <c r="G12" s="78">
        <f t="shared" si="4"/>
        <v>42270257.142857142</v>
      </c>
      <c r="H12" s="80">
        <v>1</v>
      </c>
      <c r="I12" s="80">
        <v>29016</v>
      </c>
      <c r="J12" s="80">
        <v>7</v>
      </c>
      <c r="K12" s="78">
        <f t="shared" si="0"/>
        <v>42280457.142857134</v>
      </c>
      <c r="L12" s="80">
        <v>1</v>
      </c>
      <c r="M12" s="80">
        <v>31568</v>
      </c>
      <c r="N12" s="80">
        <v>7</v>
      </c>
      <c r="O12" s="78">
        <f t="shared" si="5"/>
        <v>45999085.714285709</v>
      </c>
      <c r="P12" s="81">
        <f t="shared" si="1"/>
        <v>43516599.999999993</v>
      </c>
      <c r="Q12" s="81">
        <f t="shared" si="2"/>
        <v>2149901.7422255576</v>
      </c>
      <c r="R12" s="82">
        <f t="shared" si="3"/>
        <v>7.6386549561082937</v>
      </c>
      <c r="S12" s="75"/>
      <c r="T12" s="75"/>
      <c r="U12" s="75"/>
      <c r="V12" s="75"/>
    </row>
    <row r="13" spans="1:22">
      <c r="A13" s="75"/>
      <c r="B13" s="79" t="s">
        <v>192</v>
      </c>
      <c r="C13" s="80">
        <v>900</v>
      </c>
      <c r="D13" s="80">
        <v>1</v>
      </c>
      <c r="E13" s="80">
        <v>13542</v>
      </c>
      <c r="F13" s="80">
        <v>7</v>
      </c>
      <c r="G13" s="78">
        <f t="shared" si="4"/>
        <v>19732628.571428571</v>
      </c>
      <c r="H13" s="80">
        <v>1</v>
      </c>
      <c r="I13" s="80">
        <v>14070</v>
      </c>
      <c r="J13" s="80">
        <v>7</v>
      </c>
      <c r="K13" s="78">
        <f t="shared" si="0"/>
        <v>20502000</v>
      </c>
      <c r="L13" s="80">
        <v>1</v>
      </c>
      <c r="M13" s="80">
        <v>15197</v>
      </c>
      <c r="N13" s="80">
        <v>7</v>
      </c>
      <c r="O13" s="78">
        <f t="shared" si="5"/>
        <v>22144199.999999996</v>
      </c>
      <c r="P13" s="81">
        <f t="shared" si="1"/>
        <v>20792942.857142854</v>
      </c>
      <c r="Q13" s="81">
        <f t="shared" si="2"/>
        <v>1231829.938898768</v>
      </c>
      <c r="R13" s="82">
        <f t="shared" si="3"/>
        <v>7.3179159600467427</v>
      </c>
      <c r="S13" s="75"/>
      <c r="T13" s="75"/>
      <c r="U13" s="75"/>
      <c r="V13" s="75"/>
    </row>
    <row r="14" spans="1:22">
      <c r="A14" s="75"/>
      <c r="B14" s="79" t="s">
        <v>193</v>
      </c>
      <c r="C14" s="80">
        <v>900</v>
      </c>
      <c r="D14" s="80">
        <v>1</v>
      </c>
      <c r="E14" s="80">
        <v>6282</v>
      </c>
      <c r="F14" s="80">
        <v>7</v>
      </c>
      <c r="G14" s="78">
        <f t="shared" si="4"/>
        <v>9153771.4285714291</v>
      </c>
      <c r="H14" s="80">
        <v>1</v>
      </c>
      <c r="I14" s="80">
        <v>6343</v>
      </c>
      <c r="J14" s="80">
        <v>7</v>
      </c>
      <c r="K14" s="78">
        <f t="shared" si="0"/>
        <v>9242657.1428571418</v>
      </c>
      <c r="L14" s="80">
        <v>1</v>
      </c>
      <c r="M14" s="80">
        <v>7014</v>
      </c>
      <c r="N14" s="80">
        <v>7</v>
      </c>
      <c r="O14" s="78">
        <f t="shared" si="5"/>
        <v>10220400</v>
      </c>
      <c r="P14" s="81">
        <f t="shared" si="1"/>
        <v>9538942.8571428563</v>
      </c>
      <c r="Q14" s="81">
        <f t="shared" si="2"/>
        <v>591830.25075969705</v>
      </c>
      <c r="R14" s="82">
        <f t="shared" si="3"/>
        <v>6.9795002471622967</v>
      </c>
      <c r="S14" s="75"/>
      <c r="T14" s="75"/>
      <c r="U14" s="75"/>
      <c r="V14" s="75"/>
    </row>
    <row r="15" spans="1:22">
      <c r="A15" s="75"/>
      <c r="B15" s="79" t="s">
        <v>194</v>
      </c>
      <c r="C15" s="80">
        <v>900</v>
      </c>
      <c r="D15" s="80">
        <v>1</v>
      </c>
      <c r="E15" s="80">
        <v>3249</v>
      </c>
      <c r="F15" s="80">
        <v>7</v>
      </c>
      <c r="G15" s="78">
        <f t="shared" si="4"/>
        <v>4734257.1428571427</v>
      </c>
      <c r="H15" s="80">
        <v>1</v>
      </c>
      <c r="I15" s="80">
        <v>3902</v>
      </c>
      <c r="J15" s="80">
        <v>7</v>
      </c>
      <c r="K15" s="78">
        <f t="shared" si="0"/>
        <v>5685771.4285714282</v>
      </c>
      <c r="L15" s="80">
        <v>1</v>
      </c>
      <c r="M15" s="80">
        <v>3833</v>
      </c>
      <c r="N15" s="80">
        <v>7</v>
      </c>
      <c r="O15" s="78">
        <f t="shared" si="5"/>
        <v>5585228.5714285709</v>
      </c>
      <c r="P15" s="81">
        <f t="shared" si="1"/>
        <v>5335085.7142857136</v>
      </c>
      <c r="Q15" s="81">
        <f t="shared" si="2"/>
        <v>522755.62714741344</v>
      </c>
      <c r="R15" s="82">
        <f t="shared" si="3"/>
        <v>6.7271414012566968</v>
      </c>
      <c r="S15" s="75"/>
      <c r="T15" s="75"/>
      <c r="U15" s="75"/>
      <c r="V15" s="75"/>
    </row>
    <row r="16" spans="1:22">
      <c r="A16" s="75"/>
      <c r="B16" s="79" t="s">
        <v>195</v>
      </c>
      <c r="C16" s="80">
        <v>900</v>
      </c>
      <c r="D16" s="80">
        <v>0</v>
      </c>
      <c r="E16" s="80">
        <v>12331</v>
      </c>
      <c r="F16" s="80">
        <v>7</v>
      </c>
      <c r="G16" s="78">
        <f t="shared" si="4"/>
        <v>1796802.857142857</v>
      </c>
      <c r="H16" s="80">
        <v>0</v>
      </c>
      <c r="I16" s="80">
        <v>13246</v>
      </c>
      <c r="J16" s="80">
        <v>7</v>
      </c>
      <c r="K16" s="78">
        <f t="shared" si="0"/>
        <v>1930131.4285714284</v>
      </c>
      <c r="L16" s="80">
        <v>0</v>
      </c>
      <c r="M16" s="80">
        <v>11745</v>
      </c>
      <c r="N16" s="80">
        <v>7</v>
      </c>
      <c r="O16" s="78">
        <f t="shared" si="5"/>
        <v>1711414.2857142854</v>
      </c>
      <c r="P16" s="81">
        <f t="shared" si="1"/>
        <v>1812782.857142857</v>
      </c>
      <c r="Q16" s="81">
        <f t="shared" si="2"/>
        <v>110230.74636823416</v>
      </c>
      <c r="R16" s="82">
        <f t="shared" si="3"/>
        <v>6.2583457855668376</v>
      </c>
      <c r="S16" s="75"/>
      <c r="T16" s="75"/>
      <c r="U16" s="75"/>
      <c r="V16" s="75"/>
    </row>
    <row r="17" spans="1:22">
      <c r="A17" s="75"/>
      <c r="B17" s="79" t="s">
        <v>196</v>
      </c>
      <c r="C17" s="80">
        <v>900</v>
      </c>
      <c r="D17" s="80">
        <v>0</v>
      </c>
      <c r="E17" s="80">
        <v>6389</v>
      </c>
      <c r="F17" s="80">
        <v>7</v>
      </c>
      <c r="G17" s="78">
        <f t="shared" si="4"/>
        <v>930968.57142857136</v>
      </c>
      <c r="H17" s="80">
        <v>0</v>
      </c>
      <c r="I17" s="80">
        <v>4586</v>
      </c>
      <c r="J17" s="80">
        <v>7</v>
      </c>
      <c r="K17" s="78">
        <f t="shared" si="0"/>
        <v>668245.7142857142</v>
      </c>
      <c r="L17" s="80">
        <v>0</v>
      </c>
      <c r="M17" s="80">
        <v>5332</v>
      </c>
      <c r="N17" s="80">
        <v>7</v>
      </c>
      <c r="O17" s="78">
        <f t="shared" si="5"/>
        <v>776948.57142857136</v>
      </c>
      <c r="P17" s="81">
        <f t="shared" si="1"/>
        <v>792054.28571428556</v>
      </c>
      <c r="Q17" s="81">
        <f t="shared" si="2"/>
        <v>132011.21872548491</v>
      </c>
      <c r="R17" s="82">
        <f t="shared" si="3"/>
        <v>5.8987549482286576</v>
      </c>
      <c r="S17" s="75"/>
      <c r="T17" s="75"/>
      <c r="U17" s="75"/>
      <c r="V17" s="75"/>
    </row>
    <row r="18" spans="1:22">
      <c r="A18" s="75"/>
      <c r="B18" s="79" t="s">
        <v>197</v>
      </c>
      <c r="C18" s="80">
        <v>900</v>
      </c>
      <c r="D18" s="80">
        <v>0</v>
      </c>
      <c r="E18" s="80">
        <v>2453</v>
      </c>
      <c r="F18" s="80">
        <v>7</v>
      </c>
      <c r="G18" s="78">
        <f t="shared" si="4"/>
        <v>357437.14285714284</v>
      </c>
      <c r="H18" s="80">
        <v>0</v>
      </c>
      <c r="I18" s="80">
        <v>2433</v>
      </c>
      <c r="J18" s="80">
        <v>7</v>
      </c>
      <c r="K18" s="78">
        <f t="shared" si="0"/>
        <v>354522.8571428571</v>
      </c>
      <c r="L18" s="80">
        <v>0</v>
      </c>
      <c r="M18" s="80">
        <v>1833</v>
      </c>
      <c r="N18" s="80">
        <v>7</v>
      </c>
      <c r="O18" s="78">
        <f t="shared" si="5"/>
        <v>267094.28571428568</v>
      </c>
      <c r="P18" s="81">
        <f t="shared" si="1"/>
        <v>326351.42857142852</v>
      </c>
      <c r="Q18" s="81">
        <f t="shared" si="2"/>
        <v>51338.874159841398</v>
      </c>
      <c r="R18" s="82">
        <f t="shared" si="3"/>
        <v>5.5136855181177333</v>
      </c>
      <c r="S18" s="75"/>
      <c r="T18" s="75"/>
      <c r="U18" s="75"/>
      <c r="V18" s="75"/>
    </row>
    <row r="19" spans="1:22">
      <c r="A19" s="75"/>
      <c r="B19" s="79" t="s">
        <v>198</v>
      </c>
      <c r="C19" s="80">
        <v>900</v>
      </c>
      <c r="D19" s="80">
        <v>0</v>
      </c>
      <c r="E19" s="80">
        <v>2574</v>
      </c>
      <c r="F19" s="80">
        <v>14</v>
      </c>
      <c r="G19" s="78">
        <f t="shared" si="4"/>
        <v>187534.28571428571</v>
      </c>
      <c r="H19" s="80">
        <v>0</v>
      </c>
      <c r="I19" s="80">
        <v>1997</v>
      </c>
      <c r="J19" s="80">
        <v>14</v>
      </c>
      <c r="K19" s="78">
        <f t="shared" si="0"/>
        <v>145495.71428571429</v>
      </c>
      <c r="L19" s="80">
        <v>0</v>
      </c>
      <c r="M19" s="80">
        <v>1974</v>
      </c>
      <c r="N19" s="80">
        <v>14</v>
      </c>
      <c r="O19" s="78">
        <f t="shared" si="5"/>
        <v>143819.99999999997</v>
      </c>
      <c r="P19" s="81">
        <f t="shared" si="1"/>
        <v>158950</v>
      </c>
      <c r="Q19" s="81">
        <f t="shared" si="2"/>
        <v>24768.892727345858</v>
      </c>
      <c r="R19" s="82">
        <f t="shared" si="3"/>
        <v>5.2012605322507914</v>
      </c>
      <c r="S19" s="75"/>
      <c r="T19" s="75"/>
      <c r="U19" s="75"/>
      <c r="V19" s="75"/>
    </row>
    <row r="20" spans="1:22" ht="15" thickBot="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ht="43" thickBot="1">
      <c r="A21" s="75"/>
      <c r="B21" s="83" t="s">
        <v>4</v>
      </c>
      <c r="C21" s="83" t="s">
        <v>199</v>
      </c>
      <c r="D21" s="83" t="s">
        <v>200</v>
      </c>
      <c r="E21" s="83" t="s">
        <v>260</v>
      </c>
      <c r="F21" s="83" t="s">
        <v>261</v>
      </c>
      <c r="G21" s="84" t="s">
        <v>262</v>
      </c>
      <c r="H21" s="85" t="s">
        <v>201</v>
      </c>
      <c r="I21" s="85" t="s">
        <v>224</v>
      </c>
      <c r="J21" s="85" t="s">
        <v>225</v>
      </c>
      <c r="K21" s="85" t="s">
        <v>226</v>
      </c>
      <c r="L21" s="85" t="s">
        <v>227</v>
      </c>
      <c r="M21" s="88" t="s">
        <v>233</v>
      </c>
      <c r="N21" s="75"/>
      <c r="O21" s="75"/>
      <c r="P21" s="75"/>
      <c r="Q21" s="75"/>
      <c r="R21" s="75"/>
      <c r="S21" s="75"/>
      <c r="T21" s="75"/>
      <c r="U21" s="75"/>
      <c r="V21" s="75"/>
    </row>
    <row r="22" spans="1: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A23" s="75"/>
      <c r="B23" s="79" t="s">
        <v>183</v>
      </c>
      <c r="C23" s="92">
        <v>13.733217239379883</v>
      </c>
      <c r="D23" s="92">
        <v>13.964070320129395</v>
      </c>
      <c r="E23" s="92">
        <v>13.836982727050781</v>
      </c>
      <c r="F23" s="90">
        <f t="shared" ref="F23:F38" si="6">AVERAGE(C23:E23)</f>
        <v>13.844756762186686</v>
      </c>
      <c r="G23" s="75">
        <f>150/100*180/4*1000/900</f>
        <v>75</v>
      </c>
      <c r="H23" s="93">
        <f t="shared" ref="H23:H37" si="7">LOG(G23)/LOG(2)</f>
        <v>6.2288186904958813</v>
      </c>
      <c r="I23" s="92">
        <f t="shared" ref="I23:I38" si="8">C23-H23</f>
        <v>7.5043985488840015</v>
      </c>
      <c r="J23" s="92">
        <f t="shared" ref="J23:J38" si="9">D23-H23</f>
        <v>7.7352516296335132</v>
      </c>
      <c r="K23" s="92">
        <f t="shared" ref="K23:K38" si="10">E23-H23</f>
        <v>7.6081640365548999</v>
      </c>
      <c r="L23" s="90">
        <f t="shared" ref="L23:L38" si="11">AVERAGE(I23:K23)</f>
        <v>7.6159380716908052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A24" s="75"/>
      <c r="B24" s="79" t="s">
        <v>184</v>
      </c>
      <c r="C24" s="92">
        <v>17.19072151184082</v>
      </c>
      <c r="D24" s="92">
        <v>17.22271728515625</v>
      </c>
      <c r="E24" s="92">
        <v>17.264667510986328</v>
      </c>
      <c r="F24" s="90">
        <f t="shared" si="6"/>
        <v>17.226035435994465</v>
      </c>
      <c r="G24" s="75">
        <f>150/100*180/4*1000/900</f>
        <v>75</v>
      </c>
      <c r="H24" s="93">
        <f t="shared" si="7"/>
        <v>6.2288186904958813</v>
      </c>
      <c r="I24" s="92">
        <f t="shared" si="8"/>
        <v>10.961902821344939</v>
      </c>
      <c r="J24" s="92">
        <f t="shared" si="9"/>
        <v>10.993898594660369</v>
      </c>
      <c r="K24" s="92">
        <f t="shared" si="10"/>
        <v>11.035848820490447</v>
      </c>
      <c r="L24" s="90">
        <f t="shared" si="11"/>
        <v>10.997216745498585</v>
      </c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A25" s="75"/>
      <c r="B25" s="79" t="s">
        <v>185</v>
      </c>
      <c r="C25" s="92">
        <v>20.897546768188477</v>
      </c>
      <c r="D25" s="92">
        <v>20.622665405273438</v>
      </c>
      <c r="E25" s="92">
        <v>20.75037956237793</v>
      </c>
      <c r="F25" s="90">
        <f t="shared" si="6"/>
        <v>20.756863911946613</v>
      </c>
      <c r="G25" s="75">
        <f>150/100*180/4*1000/900</f>
        <v>75</v>
      </c>
      <c r="H25" s="93">
        <f t="shared" si="7"/>
        <v>6.2288186904958813</v>
      </c>
      <c r="I25" s="92">
        <f t="shared" si="8"/>
        <v>14.668728077692595</v>
      </c>
      <c r="J25" s="92">
        <f t="shared" si="9"/>
        <v>14.393846714777556</v>
      </c>
      <c r="K25" s="92">
        <f t="shared" si="10"/>
        <v>14.521560871882048</v>
      </c>
      <c r="L25" s="90">
        <f t="shared" si="11"/>
        <v>14.528045221450734</v>
      </c>
      <c r="M25" s="88" t="s">
        <v>133</v>
      </c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A26" s="75"/>
      <c r="B26" s="79" t="s">
        <v>186</v>
      </c>
      <c r="C26" s="92">
        <v>25.132444381713867</v>
      </c>
      <c r="D26" s="92">
        <v>25.147838592529297</v>
      </c>
      <c r="E26" s="92">
        <v>25.181661605834961</v>
      </c>
      <c r="F26" s="90">
        <f t="shared" si="6"/>
        <v>25.153981526692707</v>
      </c>
      <c r="G26" s="75">
        <f>150/100*180/4*1000/900</f>
        <v>75</v>
      </c>
      <c r="H26" s="93">
        <f t="shared" si="7"/>
        <v>6.2288186904958813</v>
      </c>
      <c r="I26" s="92">
        <f t="shared" si="8"/>
        <v>18.903625691217986</v>
      </c>
      <c r="J26" s="92">
        <f t="shared" si="9"/>
        <v>18.919019902033416</v>
      </c>
      <c r="K26" s="92">
        <f t="shared" si="10"/>
        <v>18.95284291533908</v>
      </c>
      <c r="L26" s="90">
        <f t="shared" si="11"/>
        <v>18.925162836196829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A27" s="75"/>
      <c r="B27" s="79" t="s">
        <v>187</v>
      </c>
      <c r="C27" s="92">
        <v>28.415132522583008</v>
      </c>
      <c r="D27" s="92">
        <v>28.359806060791016</v>
      </c>
      <c r="E27" s="92">
        <v>28.363668441772461</v>
      </c>
      <c r="F27" s="90">
        <f t="shared" si="6"/>
        <v>28.379535675048828</v>
      </c>
      <c r="G27" s="75">
        <f>150/100*180/4*1000/900</f>
        <v>75</v>
      </c>
      <c r="H27" s="93">
        <f t="shared" si="7"/>
        <v>6.2288186904958813</v>
      </c>
      <c r="I27" s="92">
        <f t="shared" si="8"/>
        <v>22.186313832087126</v>
      </c>
      <c r="J27" s="92">
        <f t="shared" si="9"/>
        <v>22.130987370295134</v>
      </c>
      <c r="K27" s="92">
        <f t="shared" si="10"/>
        <v>22.13484975127658</v>
      </c>
      <c r="L27" s="90">
        <f t="shared" si="11"/>
        <v>22.150716984552947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A28" s="75"/>
      <c r="B28" s="79" t="s">
        <v>188</v>
      </c>
      <c r="C28" s="92">
        <v>14.936457633972168</v>
      </c>
      <c r="D28" s="92">
        <v>14.999619483947754</v>
      </c>
      <c r="E28" s="92">
        <v>15.074687957763672</v>
      </c>
      <c r="F28" s="90">
        <f t="shared" si="6"/>
        <v>15.003588358561197</v>
      </c>
      <c r="G28" s="75">
        <f t="shared" ref="G28:G37" si="12">150/100*180/4*1000/500</f>
        <v>135</v>
      </c>
      <c r="H28" s="93">
        <f t="shared" si="7"/>
        <v>7.0768155970508309</v>
      </c>
      <c r="I28" s="92">
        <f t="shared" si="8"/>
        <v>7.8596420369213371</v>
      </c>
      <c r="J28" s="92">
        <f t="shared" si="9"/>
        <v>7.9228038868969231</v>
      </c>
      <c r="K28" s="92">
        <f t="shared" si="10"/>
        <v>7.997872360712841</v>
      </c>
      <c r="L28" s="90">
        <f t="shared" si="11"/>
        <v>7.9267727615103674</v>
      </c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A29" s="75"/>
      <c r="B29" s="79" t="s">
        <v>189</v>
      </c>
      <c r="C29" s="92">
        <v>16.18989372253418</v>
      </c>
      <c r="D29" s="92">
        <v>15.8782958984375</v>
      </c>
      <c r="E29" s="92">
        <v>15.960098266601562</v>
      </c>
      <c r="F29" s="90">
        <f t="shared" si="6"/>
        <v>16.009429295857746</v>
      </c>
      <c r="G29" s="75">
        <f t="shared" si="12"/>
        <v>135</v>
      </c>
      <c r="H29" s="93">
        <f t="shared" si="7"/>
        <v>7.0768155970508309</v>
      </c>
      <c r="I29" s="92">
        <f t="shared" si="8"/>
        <v>9.1130781254833479</v>
      </c>
      <c r="J29" s="92">
        <f t="shared" si="9"/>
        <v>8.8014803013866683</v>
      </c>
      <c r="K29" s="92">
        <f t="shared" si="10"/>
        <v>8.8832826695507308</v>
      </c>
      <c r="L29" s="90">
        <f t="shared" si="11"/>
        <v>8.9326136988069162</v>
      </c>
      <c r="M29" s="88" t="s">
        <v>133</v>
      </c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A30" s="75"/>
      <c r="B30" s="79" t="s">
        <v>190</v>
      </c>
      <c r="C30" s="92">
        <v>16.854721069335938</v>
      </c>
      <c r="D30" s="92">
        <v>16.93126106262207</v>
      </c>
      <c r="E30" s="92">
        <v>17.05010986328125</v>
      </c>
      <c r="F30" s="90">
        <f t="shared" si="6"/>
        <v>16.945363998413086</v>
      </c>
      <c r="G30" s="75">
        <f t="shared" si="12"/>
        <v>135</v>
      </c>
      <c r="H30" s="93">
        <f t="shared" si="7"/>
        <v>7.0768155970508309</v>
      </c>
      <c r="I30" s="92">
        <f t="shared" si="8"/>
        <v>9.7779054722851058</v>
      </c>
      <c r="J30" s="92">
        <f t="shared" si="9"/>
        <v>9.8544454655712386</v>
      </c>
      <c r="K30" s="92">
        <f t="shared" si="10"/>
        <v>9.9732942662304183</v>
      </c>
      <c r="L30" s="90">
        <f t="shared" si="11"/>
        <v>9.8685484013622542</v>
      </c>
      <c r="M30" s="88" t="s">
        <v>133</v>
      </c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A31" s="75"/>
      <c r="B31" s="79" t="s">
        <v>191</v>
      </c>
      <c r="C31" s="92">
        <v>18.072385787963867</v>
      </c>
      <c r="D31" s="92">
        <v>18.182058334350586</v>
      </c>
      <c r="E31" s="92">
        <v>18.225353240966797</v>
      </c>
      <c r="F31" s="90">
        <f t="shared" si="6"/>
        <v>18.159932454427082</v>
      </c>
      <c r="G31" s="75">
        <f t="shared" si="12"/>
        <v>135</v>
      </c>
      <c r="H31" s="93">
        <f t="shared" si="7"/>
        <v>7.0768155970508309</v>
      </c>
      <c r="I31" s="92">
        <f t="shared" si="8"/>
        <v>10.995570190913035</v>
      </c>
      <c r="J31" s="92">
        <f t="shared" si="9"/>
        <v>11.105242737299754</v>
      </c>
      <c r="K31" s="92">
        <f t="shared" si="10"/>
        <v>11.148537643915965</v>
      </c>
      <c r="L31" s="90">
        <f t="shared" si="11"/>
        <v>11.083116857376252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A32" s="75"/>
      <c r="B32" s="79" t="s">
        <v>192</v>
      </c>
      <c r="C32" s="92">
        <v>20.280126571655273</v>
      </c>
      <c r="D32" s="92">
        <v>20.968669891357422</v>
      </c>
      <c r="E32" s="92">
        <v>20.306863784790039</v>
      </c>
      <c r="F32" s="90">
        <f t="shared" si="6"/>
        <v>20.518553415934246</v>
      </c>
      <c r="G32" s="75">
        <f t="shared" si="12"/>
        <v>135</v>
      </c>
      <c r="H32" s="93">
        <f t="shared" si="7"/>
        <v>7.0768155970508309</v>
      </c>
      <c r="I32" s="92">
        <f t="shared" si="8"/>
        <v>13.203310974604442</v>
      </c>
      <c r="J32" s="92">
        <f t="shared" si="9"/>
        <v>13.89185429430659</v>
      </c>
      <c r="K32" s="92">
        <f t="shared" si="10"/>
        <v>13.230048187739207</v>
      </c>
      <c r="L32" s="90">
        <f t="shared" si="11"/>
        <v>13.441737818883412</v>
      </c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:22">
      <c r="A33" s="75"/>
      <c r="B33" s="79" t="s">
        <v>193</v>
      </c>
      <c r="C33" s="92">
        <v>21.049312591552734</v>
      </c>
      <c r="D33" s="92">
        <v>21.128349304199219</v>
      </c>
      <c r="E33" s="92">
        <v>21.15723991394043</v>
      </c>
      <c r="F33" s="90">
        <f t="shared" si="6"/>
        <v>21.111633936564129</v>
      </c>
      <c r="G33" s="75">
        <f t="shared" si="12"/>
        <v>135</v>
      </c>
      <c r="H33" s="93">
        <f t="shared" si="7"/>
        <v>7.0768155970508309</v>
      </c>
      <c r="I33" s="92">
        <f t="shared" si="8"/>
        <v>13.972496994501903</v>
      </c>
      <c r="J33" s="92">
        <f t="shared" si="9"/>
        <v>14.051533707148387</v>
      </c>
      <c r="K33" s="92">
        <f t="shared" si="10"/>
        <v>14.080424316889598</v>
      </c>
      <c r="L33" s="90">
        <f t="shared" si="11"/>
        <v>14.034818339513295</v>
      </c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:22">
      <c r="A34" s="75"/>
      <c r="B34" s="79" t="s">
        <v>194</v>
      </c>
      <c r="C34" s="92">
        <v>21.142179489135742</v>
      </c>
      <c r="D34" s="92">
        <v>21.006193161010742</v>
      </c>
      <c r="E34" s="92">
        <v>21.079441070556641</v>
      </c>
      <c r="F34" s="90">
        <f t="shared" si="6"/>
        <v>21.075937906901043</v>
      </c>
      <c r="G34" s="75">
        <f t="shared" si="12"/>
        <v>135</v>
      </c>
      <c r="H34" s="93">
        <f t="shared" si="7"/>
        <v>7.0768155970508309</v>
      </c>
      <c r="I34" s="92">
        <f t="shared" si="8"/>
        <v>14.06536389208491</v>
      </c>
      <c r="J34" s="92">
        <f t="shared" si="9"/>
        <v>13.92937756395991</v>
      </c>
      <c r="K34" s="92">
        <f t="shared" si="10"/>
        <v>14.002625473505809</v>
      </c>
      <c r="L34" s="90">
        <f t="shared" si="11"/>
        <v>13.999122309850209</v>
      </c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:22">
      <c r="A35" s="75"/>
      <c r="B35" s="79" t="s">
        <v>195</v>
      </c>
      <c r="C35" s="92">
        <v>22.919816970825195</v>
      </c>
      <c r="D35" s="92">
        <v>22.845848083496094</v>
      </c>
      <c r="E35" s="92">
        <v>22.840835571289062</v>
      </c>
      <c r="F35" s="90">
        <f t="shared" si="6"/>
        <v>22.868833541870117</v>
      </c>
      <c r="G35" s="75">
        <f t="shared" si="12"/>
        <v>135</v>
      </c>
      <c r="H35" s="93">
        <f t="shared" si="7"/>
        <v>7.0768155970508309</v>
      </c>
      <c r="I35" s="92">
        <f t="shared" si="8"/>
        <v>15.843001373774364</v>
      </c>
      <c r="J35" s="92">
        <f t="shared" si="9"/>
        <v>15.769032486445262</v>
      </c>
      <c r="K35" s="92">
        <f t="shared" si="10"/>
        <v>15.764019974238231</v>
      </c>
      <c r="L35" s="90">
        <f t="shared" si="11"/>
        <v>15.792017944819285</v>
      </c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:22">
      <c r="A36" s="75"/>
      <c r="B36" s="79" t="s">
        <v>196</v>
      </c>
      <c r="C36" s="92">
        <v>23.948450088500977</v>
      </c>
      <c r="D36" s="92">
        <v>24.184415817260742</v>
      </c>
      <c r="E36" s="92">
        <v>24.005857467651367</v>
      </c>
      <c r="F36" s="90">
        <f t="shared" si="6"/>
        <v>24.046241124471027</v>
      </c>
      <c r="G36" s="75">
        <f t="shared" si="12"/>
        <v>135</v>
      </c>
      <c r="H36" s="93">
        <f t="shared" si="7"/>
        <v>7.0768155970508309</v>
      </c>
      <c r="I36" s="92">
        <f t="shared" si="8"/>
        <v>16.871634491450145</v>
      </c>
      <c r="J36" s="92">
        <f t="shared" si="9"/>
        <v>17.10760022020991</v>
      </c>
      <c r="K36" s="92">
        <f t="shared" si="10"/>
        <v>16.929041870600535</v>
      </c>
      <c r="L36" s="90">
        <f t="shared" si="11"/>
        <v>16.969425527420196</v>
      </c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:22">
      <c r="A37" s="75"/>
      <c r="B37" s="79" t="s">
        <v>197</v>
      </c>
      <c r="C37" s="92">
        <v>24.632528305053711</v>
      </c>
      <c r="D37" s="92">
        <v>24.451812744140625</v>
      </c>
      <c r="E37" s="92">
        <v>24.549453735351562</v>
      </c>
      <c r="F37" s="90">
        <f t="shared" si="6"/>
        <v>24.544598261515301</v>
      </c>
      <c r="G37" s="75">
        <f t="shared" si="12"/>
        <v>135</v>
      </c>
      <c r="H37" s="93">
        <f t="shared" si="7"/>
        <v>7.0768155970508309</v>
      </c>
      <c r="I37" s="92">
        <f t="shared" si="8"/>
        <v>17.555712708002879</v>
      </c>
      <c r="J37" s="92">
        <f t="shared" si="9"/>
        <v>17.374997147089793</v>
      </c>
      <c r="K37" s="92">
        <f t="shared" si="10"/>
        <v>17.472638138300731</v>
      </c>
      <c r="L37" s="90">
        <f t="shared" si="11"/>
        <v>17.467782664464469</v>
      </c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:22">
      <c r="A38" s="75"/>
      <c r="B38" s="79" t="s">
        <v>198</v>
      </c>
      <c r="C38" s="80"/>
      <c r="D38" s="80"/>
      <c r="E38" s="80"/>
      <c r="F38" s="90" t="e">
        <f t="shared" si="6"/>
        <v>#DIV/0!</v>
      </c>
      <c r="G38" s="75">
        <v>0</v>
      </c>
      <c r="H38" s="93">
        <v>0</v>
      </c>
      <c r="I38" s="92">
        <f t="shared" si="8"/>
        <v>0</v>
      </c>
      <c r="J38" s="92">
        <f t="shared" si="9"/>
        <v>0</v>
      </c>
      <c r="K38" s="92">
        <f t="shared" si="10"/>
        <v>0</v>
      </c>
      <c r="L38" s="90">
        <f t="shared" si="11"/>
        <v>0</v>
      </c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:22">
      <c r="A39" s="75"/>
      <c r="B39" s="75"/>
      <c r="C39" s="75"/>
      <c r="D39" s="75"/>
      <c r="E39" s="75"/>
      <c r="F39" s="93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:22">
      <c r="A40" s="75"/>
      <c r="B40" s="79" t="s">
        <v>207</v>
      </c>
      <c r="C40" s="92">
        <v>14.390941619873047</v>
      </c>
      <c r="D40" s="92">
        <v>14.411395072937012</v>
      </c>
      <c r="E40" s="92">
        <v>14.301624298095703</v>
      </c>
      <c r="F40" s="90">
        <f>AVERAGE(C40:E40)</f>
        <v>14.367986996968588</v>
      </c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:2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:22">
      <c r="A42" s="75"/>
      <c r="B42" s="88" t="s">
        <v>229</v>
      </c>
      <c r="C42" s="75" t="s">
        <v>202</v>
      </c>
      <c r="D42" s="75"/>
      <c r="E42" s="75"/>
      <c r="F42" t="s">
        <v>228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:22">
      <c r="A43" s="75"/>
      <c r="B43" s="75" t="s">
        <v>203</v>
      </c>
      <c r="C43" s="75" t="s">
        <v>202</v>
      </c>
      <c r="D43" s="75"/>
      <c r="E43" s="75"/>
      <c r="F43">
        <v>0.35990572856564834</v>
      </c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:22">
      <c r="A44" s="75"/>
      <c r="B44" s="75"/>
      <c r="C44" s="87" t="s">
        <v>204</v>
      </c>
      <c r="D44" s="99">
        <v>-3.2483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:22">
      <c r="A45" s="75"/>
      <c r="B45" s="75"/>
      <c r="C45" s="87" t="s">
        <v>205</v>
      </c>
      <c r="D45" s="86">
        <v>36.023000000000003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  <row r="46" spans="1:22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</row>
    <row r="47" spans="1:22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</row>
    <row r="48" spans="1:22">
      <c r="A48" s="75"/>
      <c r="B48" s="88" t="s">
        <v>206</v>
      </c>
      <c r="C48" s="75"/>
      <c r="D48" s="75">
        <f>-1+ POWER(10,-(1/D44))</f>
        <v>1.0316707994539165</v>
      </c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</row>
    <row r="49" spans="1:2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</row>
    <row r="50" spans="1:2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</row>
    <row r="51" spans="1:2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</row>
    <row r="52" spans="1:2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</row>
    <row r="53" spans="1:2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</row>
    <row r="54" spans="1:2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</row>
    <row r="55" spans="1:2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69" workbookViewId="0">
      <selection activeCell="H8" sqref="H8"/>
    </sheetView>
  </sheetViews>
  <sheetFormatPr baseColWidth="10" defaultRowHeight="14" x14ac:dyDescent="0"/>
  <cols>
    <col min="14" max="14" width="23.33203125" customWidth="1"/>
    <col min="15" max="15" width="14" customWidth="1"/>
    <col min="16" max="16" width="15.6640625" customWidth="1"/>
    <col min="17" max="18" width="17.33203125" customWidth="1"/>
    <col min="19" max="19" width="21.5" customWidth="1"/>
    <col min="38" max="38" width="11.5" bestFit="1" customWidth="1"/>
  </cols>
  <sheetData>
    <row r="1" spans="1:29">
      <c r="A1" s="89" t="s">
        <v>223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1:29">
      <c r="A2" s="119" t="s">
        <v>4</v>
      </c>
      <c r="B2" s="119" t="s">
        <v>118</v>
      </c>
      <c r="C2" s="119" t="s">
        <v>118</v>
      </c>
      <c r="D2" s="119" t="s">
        <v>5</v>
      </c>
      <c r="E2" s="133" t="s">
        <v>208</v>
      </c>
      <c r="F2" s="133" t="s">
        <v>209</v>
      </c>
      <c r="G2" s="133" t="s">
        <v>210</v>
      </c>
      <c r="H2" s="135" t="s">
        <v>211</v>
      </c>
      <c r="I2" s="135" t="s">
        <v>212</v>
      </c>
      <c r="J2" s="135" t="s">
        <v>213</v>
      </c>
      <c r="K2" s="133" t="s">
        <v>214</v>
      </c>
      <c r="L2" s="133" t="s">
        <v>215</v>
      </c>
      <c r="M2" s="133" t="s">
        <v>216</v>
      </c>
      <c r="N2" s="133" t="s">
        <v>217</v>
      </c>
      <c r="O2" s="133" t="s">
        <v>218</v>
      </c>
      <c r="P2" s="135" t="s">
        <v>219</v>
      </c>
      <c r="Q2" s="135" t="s">
        <v>231</v>
      </c>
      <c r="R2" s="135" t="s">
        <v>232</v>
      </c>
      <c r="S2" s="135" t="s">
        <v>220</v>
      </c>
      <c r="T2" s="75"/>
    </row>
    <row r="3" spans="1:29">
      <c r="A3" s="120"/>
      <c r="B3" s="120"/>
      <c r="C3" s="120"/>
      <c r="D3" s="120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75"/>
    </row>
    <row r="4" spans="1:29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92">
        <v>27.845317840576172</v>
      </c>
      <c r="F4" s="92">
        <v>27.266536712646484</v>
      </c>
      <c r="G4" s="90">
        <v>28.033647537231445</v>
      </c>
      <c r="H4" s="96">
        <f>E4-$H$61+$H$75</f>
        <v>27.870389729651848</v>
      </c>
      <c r="I4" s="96">
        <f>F4-$H$61+$H$75</f>
        <v>27.29160860172216</v>
      </c>
      <c r="J4" s="96">
        <f>G4-$H$61+$H$75</f>
        <v>28.058719426307121</v>
      </c>
      <c r="K4" s="90">
        <f>((H4-'Calibration F. prausnitzii'!$D$45)/('Calibration F. prausnitzii'!$D$44))+$B$24</f>
        <v>6.1630208043729349</v>
      </c>
      <c r="L4" s="90">
        <f>((I4-'Calibration F. prausnitzii'!$D$45)/('Calibration F. prausnitzii'!$D$44))+$B$24</f>
        <v>6.3412005069649631</v>
      </c>
      <c r="M4" s="90">
        <f>((J4-'Calibration F. prausnitzii'!$D$45)/('Calibration F. prausnitzii'!$D$44))+$B$24</f>
        <v>6.1050428784870032</v>
      </c>
      <c r="N4" s="97">
        <f>AVERAGE(K4:M4)</f>
        <v>6.2030880632749659</v>
      </c>
      <c r="O4" s="97">
        <f>STDEV(K4:M4)</f>
        <v>0.12307170795526236</v>
      </c>
      <c r="P4" s="98">
        <f>(AVERAGE(POWER(10,K4),POWER(10,L4),POWER(10,M4)))*(Calculation!$I4/Calculation!$K3)</f>
        <v>1640991.7263520528</v>
      </c>
      <c r="Q4" s="98">
        <f>(STDEV(POWER(10,K4),POWER(10,L4),POWER(10,M4)))*(Calculation!$I4/Calculation!$K3)</f>
        <v>487323.50312228379</v>
      </c>
      <c r="R4" s="97">
        <f>LOG(P4)</f>
        <v>6.2151063914073239</v>
      </c>
      <c r="S4" s="97">
        <f>O4*(Calculation!$I4/Calculation!$K3)</f>
        <v>0.12307170795526236</v>
      </c>
      <c r="T4" s="75"/>
    </row>
    <row r="5" spans="1:29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92">
        <v>25.584188461303711</v>
      </c>
      <c r="F5" s="92">
        <v>25.792930603027344</v>
      </c>
      <c r="G5" s="90">
        <v>25.23872184753418</v>
      </c>
      <c r="H5" s="96">
        <f>E5-$H$61+$H$75</f>
        <v>25.609260350379387</v>
      </c>
      <c r="I5" s="96">
        <f>F5-$H$61+$H$75</f>
        <v>25.81800249210302</v>
      </c>
      <c r="J5" s="96">
        <f>G5-$H$61+$H$75</f>
        <v>25.263793736609856</v>
      </c>
      <c r="K5" s="90">
        <f>((H5-'Calibration F. prausnitzii'!$D$45)/('Calibration F. prausnitzii'!$D$44))+$B$24</f>
        <v>6.8591170329455604</v>
      </c>
      <c r="L5" s="90">
        <f>((I5-'Calibration F. prausnitzii'!$D$45)/('Calibration F. prausnitzii'!$D$44))+$B$24</f>
        <v>6.7948550676949271</v>
      </c>
      <c r="M5" s="90">
        <f>((J5-'Calibration F. prausnitzii'!$D$45)/('Calibration F. prausnitzii'!$D$44))+$B$24</f>
        <v>6.9654700833933436</v>
      </c>
      <c r="N5" s="97">
        <f t="shared" ref="N5:N20" si="1">AVERAGE(K5:M5)</f>
        <v>6.8731473946779431</v>
      </c>
      <c r="O5" s="97">
        <f t="shared" ref="O5:O20" si="2">STDEV(K5:M5)</f>
        <v>8.6168492984378425E-2</v>
      </c>
      <c r="P5" s="98">
        <f>(AVERAGE(POWER(10,K5),POWER(10,L5),POWER(10,M5)))*(Calculation!$I5/Calculation!$K4)</f>
        <v>7566872.947607208</v>
      </c>
      <c r="Q5" s="98">
        <f>(STDEV(POWER(10,K5),POWER(10,L5),POWER(10,M5)))*(Calculation!$I5/Calculation!$K4)</f>
        <v>1528381.2574597255</v>
      </c>
      <c r="R5" s="97">
        <f t="shared" ref="R5:R20" si="3">LOG(P5)</f>
        <v>6.8789164419606506</v>
      </c>
      <c r="S5" s="97">
        <f>O5*(Calculation!$I5/Calculation!$K4)</f>
        <v>8.6168492984378425E-2</v>
      </c>
      <c r="T5" s="75"/>
    </row>
    <row r="6" spans="1:29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92">
        <v>23.976833343505859</v>
      </c>
      <c r="F6" s="92">
        <v>23.367465972900391</v>
      </c>
      <c r="G6" s="90">
        <v>23.613771438598633</v>
      </c>
      <c r="H6" s="96">
        <f>E6-$H$61+$H$75</f>
        <v>24.001905232581535</v>
      </c>
      <c r="I6" s="96">
        <f>F6-$H$61+$H$75</f>
        <v>23.392537861976066</v>
      </c>
      <c r="J6" s="96">
        <f>G6-$H$61+$H$75</f>
        <v>23.638843327674309</v>
      </c>
      <c r="K6" s="90">
        <f>((H6-'Calibration F. prausnitzii'!$D$45)/('Calibration F. prausnitzii'!$D$44))+$B$24</f>
        <v>7.3539466723870692</v>
      </c>
      <c r="L6" s="90">
        <f>((I6-'Calibration F. prausnitzii'!$D$45)/('Calibration F. prausnitzii'!$D$44))+$B$24</f>
        <v>7.541542451904192</v>
      </c>
      <c r="M6" s="90">
        <f>((J6-'Calibration F. prausnitzii'!$D$45)/('Calibration F. prausnitzii'!$D$44))+$B$24</f>
        <v>7.465716491956452</v>
      </c>
      <c r="N6" s="97">
        <f t="shared" si="1"/>
        <v>7.4537352054159038</v>
      </c>
      <c r="O6" s="97">
        <f t="shared" si="2"/>
        <v>9.437005639255637E-2</v>
      </c>
      <c r="P6" s="98">
        <f>(AVERAGE(POWER(10,K6),POWER(10,L6),POWER(10,M6)))*(Calculation!$I6/Calculation!$K5)</f>
        <v>28870358.85354181</v>
      </c>
      <c r="Q6" s="98">
        <f>(STDEV(POWER(10,K6),POWER(10,L6),POWER(10,M6)))*(Calculation!$I6/Calculation!$K5)</f>
        <v>6110346.6967243971</v>
      </c>
      <c r="R6" s="97">
        <f t="shared" si="3"/>
        <v>7.4604521821191838</v>
      </c>
      <c r="S6" s="97">
        <f>O6*(Calculation!$I6/Calculation!$K5)</f>
        <v>9.437005639255637E-2</v>
      </c>
      <c r="T6" s="75"/>
    </row>
    <row r="7" spans="1:29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92">
        <v>23.0087890625</v>
      </c>
      <c r="F7" s="92">
        <v>22.630861282348633</v>
      </c>
      <c r="G7" s="90">
        <v>23.043525695800781</v>
      </c>
      <c r="H7" s="96">
        <f>E7-$H$61+$H$75</f>
        <v>23.033860951575676</v>
      </c>
      <c r="I7" s="96">
        <f>F7-$H$61+$H$75</f>
        <v>22.655933171424309</v>
      </c>
      <c r="J7" s="96">
        <f>G7-$H$61+$H$75</f>
        <v>23.068597584876457</v>
      </c>
      <c r="K7" s="90">
        <f>((H7-'Calibration F. prausnitzii'!$D$45)/('Calibration F. prausnitzii'!$D$44))+$B$24</f>
        <v>7.6519623362745977</v>
      </c>
      <c r="L7" s="90">
        <f>((I7-'Calibration F. prausnitzii'!$D$45)/('Calibration F. prausnitzii'!$D$44))+$B$24</f>
        <v>7.7683086651701334</v>
      </c>
      <c r="M7" s="90">
        <f>((J7-'Calibration F. prausnitzii'!$D$45)/('Calibration F. prausnitzii'!$D$44))+$B$24</f>
        <v>7.6412685477388154</v>
      </c>
      <c r="N7" s="97">
        <f t="shared" si="1"/>
        <v>7.6871798497278485</v>
      </c>
      <c r="O7" s="97">
        <f t="shared" si="2"/>
        <v>7.0462775985716139E-2</v>
      </c>
      <c r="P7" s="98">
        <f>(AVERAGE(POWER(10,K7),POWER(10,L7),POWER(10,M7)))*(Calculation!$I7/Calculation!$K6)</f>
        <v>49137565.89784345</v>
      </c>
      <c r="Q7" s="98">
        <f>(STDEV(POWER(10,K7),POWER(10,L7),POWER(10,M7)))*(Calculation!$I7/Calculation!$K6)</f>
        <v>8297749.7491422864</v>
      </c>
      <c r="R7" s="97">
        <f t="shared" si="3"/>
        <v>7.6914136392560382</v>
      </c>
      <c r="S7" s="97">
        <f>O7*(Calculation!$I7/Calculation!$K6)</f>
        <v>7.0514096288691902E-2</v>
      </c>
      <c r="T7" s="75"/>
    </row>
    <row r="8" spans="1:29">
      <c r="A8" s="40">
        <v>4</v>
      </c>
      <c r="B8" s="31">
        <v>80</v>
      </c>
      <c r="C8" s="31">
        <f t="shared" ref="C8:C18" si="4">C7+B8</f>
        <v>360</v>
      </c>
      <c r="D8" s="13">
        <f t="shared" si="0"/>
        <v>6</v>
      </c>
      <c r="E8" s="92">
        <v>22.409652709960938</v>
      </c>
      <c r="F8" s="92">
        <v>22.118551254272461</v>
      </c>
      <c r="G8" s="90">
        <v>22.196161270141602</v>
      </c>
      <c r="H8" s="96">
        <f>E8-$H$61+$H$75</f>
        <v>22.434724599036613</v>
      </c>
      <c r="I8" s="96">
        <f>F8-$H$61+$H$75</f>
        <v>22.143623143348137</v>
      </c>
      <c r="J8" s="96">
        <f>G8-$H$61+$H$75</f>
        <v>22.221233159217277</v>
      </c>
      <c r="K8" s="90">
        <f>((H8-'Calibration F. prausnitzii'!$D$45)/('Calibration F. prausnitzii'!$D$44))+$B$24</f>
        <v>7.8364084627219892</v>
      </c>
      <c r="L8" s="90">
        <f>((I8-'Calibration F. prausnitzii'!$D$45)/('Calibration F. prausnitzii'!$D$44))+$B$24</f>
        <v>7.9260250177472269</v>
      </c>
      <c r="M8" s="90">
        <f>((J8-'Calibration F. prausnitzii'!$D$45)/('Calibration F. prausnitzii'!$D$44))+$B$24</f>
        <v>7.9021325152477218</v>
      </c>
      <c r="N8" s="97">
        <f t="shared" si="1"/>
        <v>7.888188665238979</v>
      </c>
      <c r="O8" s="97">
        <f t="shared" si="2"/>
        <v>4.6406949355108383E-2</v>
      </c>
      <c r="P8" s="98">
        <f>(AVERAGE(POWER(10,K8),POWER(10,L8),POWER(10,M8)))*(Calculation!$I8/Calculation!$K7)</f>
        <v>77648339.278418198</v>
      </c>
      <c r="Q8" s="98">
        <f>(STDEV(POWER(10,K8),POWER(10,L8),POWER(10,M8)))*(Calculation!$I8/Calculation!$K7)</f>
        <v>8102521.7156554759</v>
      </c>
      <c r="R8" s="97">
        <f t="shared" si="3"/>
        <v>7.8901321715915342</v>
      </c>
      <c r="S8" s="97">
        <f>O8*(Calculation!$I8/Calculation!$K7)</f>
        <v>4.644074902688923E-2</v>
      </c>
      <c r="T8" s="75"/>
    </row>
    <row r="9" spans="1:29">
      <c r="A9" s="40">
        <v>5</v>
      </c>
      <c r="B9" s="31">
        <v>80</v>
      </c>
      <c r="C9" s="31">
        <f t="shared" si="4"/>
        <v>440</v>
      </c>
      <c r="D9" s="13">
        <f t="shared" si="0"/>
        <v>7.333333333333333</v>
      </c>
      <c r="E9" s="92">
        <v>22.276737213134766</v>
      </c>
      <c r="F9" s="92">
        <v>22.103334426879883</v>
      </c>
      <c r="G9" s="90">
        <v>21.71905517578125</v>
      </c>
      <c r="H9" s="96">
        <f>E9-$H$61+$H$75</f>
        <v>22.301809102210441</v>
      </c>
      <c r="I9" s="96">
        <f>F9-$H$61+$H$75</f>
        <v>22.128406315955559</v>
      </c>
      <c r="J9" s="96">
        <f>G9-$H$61+$H$75</f>
        <v>21.744127064856926</v>
      </c>
      <c r="K9" s="90">
        <f>((H9-'Calibration F. prausnitzii'!$D$45)/('Calibration F. prausnitzii'!$D$44))+$B$24</f>
        <v>7.8773269421808365</v>
      </c>
      <c r="L9" s="90">
        <f>((I9-'Calibration F. prausnitzii'!$D$45)/('Calibration F. prausnitzii'!$D$44))+$B$24</f>
        <v>7.930709568863989</v>
      </c>
      <c r="M9" s="90">
        <f>((J9-'Calibration F. prausnitzii'!$D$45)/('Calibration F. prausnitzii'!$D$44))+$B$24</f>
        <v>8.0490112192961014</v>
      </c>
      <c r="N9" s="97">
        <f t="shared" si="1"/>
        <v>7.9523492434469754</v>
      </c>
      <c r="O9" s="97">
        <f t="shared" si="2"/>
        <v>8.7863982320350906E-2</v>
      </c>
      <c r="P9" s="98">
        <f>(AVERAGE(POWER(10,K9),POWER(10,L9),POWER(10,M9)))*(Calculation!$I9/Calculation!$K8)</f>
        <v>90930163.015840799</v>
      </c>
      <c r="Q9" s="98">
        <f>(STDEV(POWER(10,K9),POWER(10,L9),POWER(10,M9)))*(Calculation!$I9/Calculation!$K8)</f>
        <v>18925896.39567237</v>
      </c>
      <c r="R9" s="97">
        <f t="shared" si="3"/>
        <v>7.9587079696731928</v>
      </c>
      <c r="S9" s="97">
        <f>O9*(Calculation!$I9/Calculation!$K8)</f>
        <v>8.7927976480817294E-2</v>
      </c>
      <c r="T9" s="75"/>
    </row>
    <row r="10" spans="1:29">
      <c r="A10" s="40">
        <v>6</v>
      </c>
      <c r="B10" s="31">
        <v>80</v>
      </c>
      <c r="C10" s="31">
        <f t="shared" si="4"/>
        <v>520</v>
      </c>
      <c r="D10" s="13">
        <f t="shared" si="0"/>
        <v>8.6666666666666661</v>
      </c>
      <c r="E10" s="92">
        <v>21.788814544677734</v>
      </c>
      <c r="F10" s="92">
        <v>21.796928405761719</v>
      </c>
      <c r="G10" s="90">
        <v>21.584033966064453</v>
      </c>
      <c r="H10" s="96">
        <f>E10-$H$61+$H$75</f>
        <v>21.81388643375341</v>
      </c>
      <c r="I10" s="96">
        <f>F10-$H$61+$H$75</f>
        <v>21.822000294837395</v>
      </c>
      <c r="J10" s="96">
        <f>G10-$H$61+$H$75</f>
        <v>21.609105855140129</v>
      </c>
      <c r="K10" s="90">
        <f>((H10-'Calibration F. prausnitzii'!$D$45)/('Calibration F. prausnitzii'!$D$44))+$B$24</f>
        <v>8.0275355646778443</v>
      </c>
      <c r="L10" s="90">
        <f>((I10-'Calibration F. prausnitzii'!$D$45)/('Calibration F. prausnitzii'!$D$44))+$B$24</f>
        <v>8.0250376854536398</v>
      </c>
      <c r="M10" s="90">
        <f>((J10-'Calibration F. prausnitzii'!$D$45)/('Calibration F. prausnitzii'!$D$44))+$B$24</f>
        <v>8.0905779494986056</v>
      </c>
      <c r="N10" s="97">
        <f t="shared" si="1"/>
        <v>8.0477170665433633</v>
      </c>
      <c r="O10" s="97">
        <f t="shared" si="2"/>
        <v>3.7139619221687209E-2</v>
      </c>
      <c r="P10" s="98">
        <f>(AVERAGE(POWER(10,K10),POWER(10,L10),POWER(10,M10)))*(Calculation!$I10/Calculation!$K9)</f>
        <v>111971787.6625732</v>
      </c>
      <c r="Q10" s="98">
        <f>(STDEV(POWER(10,K10),POWER(10,L10),POWER(10,M10)))*(Calculation!$I10/Calculation!$K9)</f>
        <v>9798344.0249441378</v>
      </c>
      <c r="R10" s="97">
        <f t="shared" si="3"/>
        <v>8.0491086119032396</v>
      </c>
      <c r="S10" s="97">
        <f>O10*(Calculation!$I10/Calculation!$K9)</f>
        <v>3.7166669199270377E-2</v>
      </c>
      <c r="T10" s="75"/>
    </row>
    <row r="11" spans="1:29">
      <c r="A11" s="40">
        <v>7</v>
      </c>
      <c r="B11" s="31">
        <v>80</v>
      </c>
      <c r="C11" s="31">
        <f t="shared" si="4"/>
        <v>600</v>
      </c>
      <c r="D11" s="13">
        <f t="shared" si="0"/>
        <v>10</v>
      </c>
      <c r="E11" s="92">
        <v>21.809371948242188</v>
      </c>
      <c r="F11" s="92">
        <v>21.571846008300781</v>
      </c>
      <c r="G11" s="90">
        <v>21.364734649658203</v>
      </c>
      <c r="H11" s="96">
        <f>E11-$H$61+$H$75</f>
        <v>21.834443837317863</v>
      </c>
      <c r="I11" s="96">
        <f>F11-$H$61+$H$75</f>
        <v>21.596917897376457</v>
      </c>
      <c r="J11" s="96">
        <f>G11-$H$61+$H$75</f>
        <v>21.389806538733879</v>
      </c>
      <c r="K11" s="90">
        <f>((H11-'Calibration F. prausnitzii'!$D$45)/('Calibration F. prausnitzii'!$D$44))+$B$24</f>
        <v>8.0212068993561516</v>
      </c>
      <c r="L11" s="90">
        <f>((I11-'Calibration F. prausnitzii'!$D$45)/('Calibration F. prausnitzii'!$D$44))+$B$24</f>
        <v>8.0943300529877149</v>
      </c>
      <c r="M11" s="90">
        <f>((J11-'Calibration F. prausnitzii'!$D$45)/('Calibration F. prausnitzii'!$D$44))+$B$24</f>
        <v>8.1580899762222003</v>
      </c>
      <c r="N11" s="97">
        <f t="shared" si="1"/>
        <v>8.091208976188689</v>
      </c>
      <c r="O11" s="97">
        <f t="shared" si="2"/>
        <v>6.8494890490957167E-2</v>
      </c>
      <c r="P11" s="98">
        <f>(AVERAGE(POWER(10,K11),POWER(10,L11),POWER(10,M11)))*(Calculation!$I11/Calculation!$K10)</f>
        <v>124588086.61719808</v>
      </c>
      <c r="Q11" s="98">
        <f>(STDEV(POWER(10,K11),POWER(10,L11),POWER(10,M11)))*(Calculation!$I11/Calculation!$K10)</f>
        <v>19483833.490951337</v>
      </c>
      <c r="R11" s="97">
        <f t="shared" si="3"/>
        <v>8.0954765161291355</v>
      </c>
      <c r="S11" s="97">
        <f>O11*(Calculation!$I11/Calculation!$K10)</f>
        <v>6.8603312769523042E-2</v>
      </c>
      <c r="T11" s="75"/>
    </row>
    <row r="12" spans="1:29">
      <c r="A12" s="40">
        <v>8</v>
      </c>
      <c r="B12" s="31">
        <v>80</v>
      </c>
      <c r="C12" s="31">
        <f t="shared" si="4"/>
        <v>680</v>
      </c>
      <c r="D12" s="13">
        <f t="shared" si="0"/>
        <v>11.333333333333334</v>
      </c>
      <c r="E12" s="92">
        <v>20.906574249267578</v>
      </c>
      <c r="F12" s="92">
        <v>20.82316780090332</v>
      </c>
      <c r="G12" s="90">
        <v>20.922630310058594</v>
      </c>
      <c r="H12" s="96">
        <f>E12-$H$61+$H$75</f>
        <v>20.931646138343254</v>
      </c>
      <c r="I12" s="96">
        <f>F12-$H$61+$H$75</f>
        <v>20.848239689978996</v>
      </c>
      <c r="J12" s="96">
        <f>G12-$H$61+$H$75</f>
        <v>20.94770219913427</v>
      </c>
      <c r="K12" s="90">
        <f>((H12-'Calibration F. prausnitzii'!$D$45)/('Calibration F. prausnitzii'!$D$44))+$B$24</f>
        <v>8.2991361851285905</v>
      </c>
      <c r="L12" s="90">
        <f>((I12-'Calibration F. prausnitzii'!$D$45)/('Calibration F. prausnitzii'!$D$44))+$B$24</f>
        <v>8.3248131387240889</v>
      </c>
      <c r="M12" s="90">
        <f>((J12-'Calibration F. prausnitzii'!$D$45)/('Calibration F. prausnitzii'!$D$44))+$B$24</f>
        <v>8.2941932732081955</v>
      </c>
      <c r="N12" s="97">
        <f t="shared" si="1"/>
        <v>8.3060475323536238</v>
      </c>
      <c r="O12" s="97">
        <f t="shared" si="2"/>
        <v>1.6438341808150615E-2</v>
      </c>
      <c r="P12" s="98">
        <f>(AVERAGE(POWER(10,K12),POWER(10,L12),POWER(10,M12)))*(Calculation!$I12/Calculation!$K11)</f>
        <v>202741744.26573214</v>
      </c>
      <c r="Q12" s="98">
        <f>(STDEV(POWER(10,K12),POWER(10,L12),POWER(10,M12)))*(Calculation!$I12/Calculation!$K11)</f>
        <v>7747523.8867177004</v>
      </c>
      <c r="R12" s="97">
        <f t="shared" si="3"/>
        <v>8.3069431785782086</v>
      </c>
      <c r="S12" s="97">
        <f>O12*(Calculation!$I12/Calculation!$K11)</f>
        <v>1.6464362471325777E-2</v>
      </c>
      <c r="T12" s="75"/>
    </row>
    <row r="13" spans="1:29">
      <c r="A13" s="40">
        <v>9</v>
      </c>
      <c r="B13" s="31">
        <v>80</v>
      </c>
      <c r="C13" s="31">
        <f t="shared" si="4"/>
        <v>760</v>
      </c>
      <c r="D13" s="13">
        <f t="shared" si="0"/>
        <v>12.666666666666666</v>
      </c>
      <c r="E13" s="92">
        <v>20.04997444152832</v>
      </c>
      <c r="F13" s="92">
        <v>20.344438552856445</v>
      </c>
      <c r="G13" s="90">
        <v>20.169889450073242</v>
      </c>
      <c r="H13" s="96">
        <f>E13-$H$61+$H$75</f>
        <v>20.075046330603996</v>
      </c>
      <c r="I13" s="96">
        <f>F13-$H$61+$H$75</f>
        <v>20.369510441932121</v>
      </c>
      <c r="J13" s="96">
        <f>G13-$H$61+$H$75</f>
        <v>20.194961339148918</v>
      </c>
      <c r="K13" s="90">
        <f>((H13-'Calibration F. prausnitzii'!$D$45)/('Calibration F. prausnitzii'!$D$44))+$B$24</f>
        <v>8.5628432958447362</v>
      </c>
      <c r="L13" s="90">
        <f>((I13-'Calibration F. prausnitzii'!$D$45)/('Calibration F. prausnitzii'!$D$44))+$B$24</f>
        <v>8.4721915360540372</v>
      </c>
      <c r="M13" s="90">
        <f>((J13-'Calibration F. prausnitzii'!$D$45)/('Calibration F. prausnitzii'!$D$44))+$B$24</f>
        <v>8.5259270601076054</v>
      </c>
      <c r="N13" s="97">
        <f t="shared" si="1"/>
        <v>8.5203206306687935</v>
      </c>
      <c r="O13" s="97">
        <f t="shared" si="2"/>
        <v>4.5585188675456176E-2</v>
      </c>
      <c r="P13" s="98">
        <f>(AVERAGE(POWER(10,K13),POWER(10,L13),POWER(10,M13)))*(Calculation!$I13/Calculation!$K12)</f>
        <v>333424673.03456074</v>
      </c>
      <c r="Q13" s="98">
        <f>(STDEV(POWER(10,K13),POWER(10,L13),POWER(10,M13)))*(Calculation!$I13/Calculation!$K12)</f>
        <v>34615760.269977629</v>
      </c>
      <c r="R13" s="97">
        <f t="shared" si="3"/>
        <v>8.5229977339631606</v>
      </c>
      <c r="S13" s="97">
        <f>O13*(Calculation!$I13/Calculation!$K12)</f>
        <v>4.5700137003378605E-2</v>
      </c>
      <c r="T13" s="75"/>
    </row>
    <row r="14" spans="1:29">
      <c r="A14" s="40">
        <v>10</v>
      </c>
      <c r="B14" s="31">
        <v>80</v>
      </c>
      <c r="C14" s="31">
        <f t="shared" si="4"/>
        <v>840</v>
      </c>
      <c r="D14" s="13">
        <f t="shared" si="0"/>
        <v>14</v>
      </c>
      <c r="E14" s="92">
        <v>19.470245361328125</v>
      </c>
      <c r="F14" s="92">
        <v>19.708110809326172</v>
      </c>
      <c r="G14" s="90">
        <v>19.57377815246582</v>
      </c>
      <c r="H14" s="96">
        <f>E14-$H$61+$H$75</f>
        <v>19.495317250403801</v>
      </c>
      <c r="I14" s="96">
        <f>F14-$H$61+$H$75</f>
        <v>19.733182698401848</v>
      </c>
      <c r="J14" s="96">
        <f>G14-$H$61+$H$75</f>
        <v>19.598850041541496</v>
      </c>
      <c r="K14" s="90">
        <f>((H14-'Calibration F. prausnitzii'!$D$45)/('Calibration F. prausnitzii'!$D$44))+$B$24</f>
        <v>8.7413148287081395</v>
      </c>
      <c r="L14" s="90">
        <f>((I14-'Calibration F. prausnitzii'!$D$45)/('Calibration F. prausnitzii'!$D$44))+$B$24</f>
        <v>8.6680871563878341</v>
      </c>
      <c r="M14" s="90">
        <f>((J14-'Calibration F. prausnitzii'!$D$45)/('Calibration F. prausnitzii'!$D$44))+$B$24</f>
        <v>8.7094419132946328</v>
      </c>
      <c r="N14" s="97">
        <f t="shared" si="1"/>
        <v>8.7062812994635355</v>
      </c>
      <c r="O14" s="97">
        <f t="shared" si="2"/>
        <v>3.6716006158138942E-2</v>
      </c>
      <c r="P14" s="98">
        <f>(AVERAGE(POWER(10,K14),POWER(10,L14),POWER(10,M14)))*(Calculation!$I14/Calculation!$K13)</f>
        <v>512492026.30201185</v>
      </c>
      <c r="Q14" s="98">
        <f>(STDEV(POWER(10,K14),POWER(10,L14),POWER(10,M14)))*(Calculation!$I14/Calculation!$K13)</f>
        <v>43053693.975462168</v>
      </c>
      <c r="R14" s="97">
        <f t="shared" si="3"/>
        <v>8.709687112732718</v>
      </c>
      <c r="S14" s="97">
        <f>O14*(Calculation!$I14/Calculation!$K13)</f>
        <v>3.691738367761329E-2</v>
      </c>
      <c r="T14" s="75"/>
    </row>
    <row r="15" spans="1:29">
      <c r="A15" s="40">
        <v>11</v>
      </c>
      <c r="B15" s="31">
        <v>80</v>
      </c>
      <c r="C15" s="31">
        <f t="shared" si="4"/>
        <v>920</v>
      </c>
      <c r="D15" s="13">
        <f t="shared" si="0"/>
        <v>15.333333333333334</v>
      </c>
      <c r="E15" s="92">
        <v>18.905155181884766</v>
      </c>
      <c r="F15" s="92">
        <v>18.505037307739258</v>
      </c>
      <c r="G15" s="90">
        <v>18.541389465332031</v>
      </c>
      <c r="H15" s="96">
        <f>E15-$H$61+$H$75</f>
        <v>18.930227070960441</v>
      </c>
      <c r="I15" s="96">
        <f>F15-$H$61+$H$75</f>
        <v>18.530109196814934</v>
      </c>
      <c r="J15" s="96">
        <f>G15-$H$61+$H$75</f>
        <v>18.566461354407707</v>
      </c>
      <c r="K15" s="90">
        <f>((H15-'Calibration F. prausnitzii'!$D$45)/('Calibration F. prausnitzii'!$D$44))+$B$24</f>
        <v>8.9152797270991009</v>
      </c>
      <c r="L15" s="90">
        <f>((I15-'Calibration F. prausnitzii'!$D$45)/('Calibration F. prausnitzii'!$D$44))+$B$24</f>
        <v>9.0384573505161221</v>
      </c>
      <c r="M15" s="90">
        <f>((J15-'Calibration F. prausnitzii'!$D$45)/('Calibration F. prausnitzii'!$D$44))+$B$24</f>
        <v>9.0272662174333487</v>
      </c>
      <c r="N15" s="97">
        <f t="shared" si="1"/>
        <v>8.9936677650161911</v>
      </c>
      <c r="O15" s="97">
        <f t="shared" si="2"/>
        <v>6.8116251594515981E-2</v>
      </c>
      <c r="P15" s="98">
        <f>(AVERAGE(POWER(10,K15),POWER(10,L15),POWER(10,M15)))*(Calculation!$I15/Calculation!$K14)</f>
        <v>1001930111.1460158</v>
      </c>
      <c r="Q15" s="98">
        <f>(STDEV(POWER(10,K15),POWER(10,L15),POWER(10,M15)))*(Calculation!$I15/Calculation!$K14)</f>
        <v>149684344.75373667</v>
      </c>
      <c r="R15" s="97">
        <f t="shared" si="3"/>
        <v>9.0008374287146502</v>
      </c>
      <c r="S15" s="97">
        <f>O15*(Calculation!$I15/Calculation!$K14)</f>
        <v>6.8702113036264501E-2</v>
      </c>
      <c r="T15" s="75"/>
    </row>
    <row r="16" spans="1:29">
      <c r="A16" s="40">
        <v>12</v>
      </c>
      <c r="B16" s="31">
        <v>80</v>
      </c>
      <c r="C16" s="31">
        <f t="shared" si="4"/>
        <v>1000</v>
      </c>
      <c r="D16" s="13">
        <f t="shared" si="0"/>
        <v>16.666666666666668</v>
      </c>
      <c r="E16" s="92">
        <v>18.298374176025391</v>
      </c>
      <c r="F16" s="92">
        <v>18.09956169128418</v>
      </c>
      <c r="G16" s="90">
        <v>18.050420761108398</v>
      </c>
      <c r="H16" s="96">
        <f>E16-$H$61+$H$75</f>
        <v>18.323446065101066</v>
      </c>
      <c r="I16" s="96">
        <f>F16-$H$61+$H$75</f>
        <v>18.124633580359856</v>
      </c>
      <c r="J16" s="96">
        <f>G16-$H$61+$H$75</f>
        <v>18.075492650184074</v>
      </c>
      <c r="K16" s="90">
        <f>((H16-'Calibration F. prausnitzii'!$D$45)/('Calibration F. prausnitzii'!$D$44))+$B$24</f>
        <v>9.1020792855941224</v>
      </c>
      <c r="L16" s="90">
        <f>((I16-'Calibration F. prausnitzii'!$D$45)/('Calibration F. prausnitzii'!$D$44))+$B$24</f>
        <v>9.1632843727908746</v>
      </c>
      <c r="M16" s="90">
        <f>((J16-'Calibration F. prausnitzii'!$D$45)/('Calibration F. prausnitzii'!$D$44))+$B$24</f>
        <v>9.1784125722108119</v>
      </c>
      <c r="N16" s="97">
        <f t="shared" si="1"/>
        <v>9.1479254101986029</v>
      </c>
      <c r="O16" s="97">
        <f t="shared" si="2"/>
        <v>4.041801529466181E-2</v>
      </c>
      <c r="P16" s="98">
        <f>(AVERAGE(POWER(10,K16),POWER(10,L16),POWER(10,M16)))*(Calculation!$I16/Calculation!$K15)</f>
        <v>1428230536.2331316</v>
      </c>
      <c r="Q16" s="98">
        <f>(STDEV(POWER(10,K16),POWER(10,L16),POWER(10,M16)))*(Calculation!$I16/Calculation!$K15)</f>
        <v>129736369.68397404</v>
      </c>
      <c r="R16" s="97">
        <f t="shared" si="3"/>
        <v>9.154798314256027</v>
      </c>
      <c r="S16" s="97">
        <f>O16*(Calculation!$I16/Calculation!$K15)</f>
        <v>4.0946225547451608E-2</v>
      </c>
      <c r="T16" s="75"/>
    </row>
    <row r="17" spans="1:20">
      <c r="A17" s="40">
        <v>13</v>
      </c>
      <c r="B17" s="31">
        <v>80</v>
      </c>
      <c r="C17" s="31">
        <f t="shared" si="4"/>
        <v>1080</v>
      </c>
      <c r="D17" s="13">
        <f t="shared" si="0"/>
        <v>18</v>
      </c>
      <c r="E17" s="92">
        <v>18.367658615112305</v>
      </c>
      <c r="F17" s="92">
        <v>18.099845886230469</v>
      </c>
      <c r="G17" s="90">
        <v>18.030799865722656</v>
      </c>
      <c r="H17" s="96">
        <f>E17-$H$61+$H$75</f>
        <v>18.392730504187981</v>
      </c>
      <c r="I17" s="96">
        <f>F17-$H$61+$H$75</f>
        <v>18.124917775306145</v>
      </c>
      <c r="J17" s="96">
        <f>G17-$H$61+$H$75</f>
        <v>18.055871754798332</v>
      </c>
      <c r="K17" s="90">
        <f>((H17-'Calibration F. prausnitzii'!$D$45)/('Calibration F. prausnitzii'!$D$44))+$B$24</f>
        <v>9.0807498397033743</v>
      </c>
      <c r="L17" s="90">
        <f>((I17-'Calibration F. prausnitzii'!$D$45)/('Calibration F. prausnitzii'!$D$44))+$B$24</f>
        <v>9.163196882427826</v>
      </c>
      <c r="M17" s="90">
        <f>((J17-'Calibration F. prausnitzii'!$D$45)/('Calibration F. prausnitzii'!$D$44))+$B$24</f>
        <v>9.1844529303629958</v>
      </c>
      <c r="N17" s="97">
        <f t="shared" si="1"/>
        <v>9.1427998841647309</v>
      </c>
      <c r="O17" s="97">
        <f t="shared" si="2"/>
        <v>5.4777832256286949E-2</v>
      </c>
      <c r="P17" s="98">
        <f>(AVERAGE(POWER(10,K17),POWER(10,L17),POWER(10,M17)))*(Calculation!$I17/Calculation!$K16)</f>
        <v>1421379386.2996132</v>
      </c>
      <c r="Q17" s="98">
        <f>(STDEV(POWER(10,K17),POWER(10,L17),POWER(10,M17)))*(Calculation!$I17/Calculation!$K16)</f>
        <v>173438924.03013852</v>
      </c>
      <c r="R17" s="97">
        <f t="shared" si="3"/>
        <v>9.1527100127517969</v>
      </c>
      <c r="S17" s="97">
        <f>O17*(Calculation!$I17/Calculation!$K16)</f>
        <v>5.575211715319673E-2</v>
      </c>
      <c r="T17" s="75"/>
    </row>
    <row r="18" spans="1:20">
      <c r="A18" s="40">
        <v>14</v>
      </c>
      <c r="B18" s="31">
        <v>80</v>
      </c>
      <c r="C18" s="31">
        <f t="shared" si="4"/>
        <v>1160</v>
      </c>
      <c r="D18" s="13">
        <f t="shared" si="0"/>
        <v>19.333333333333332</v>
      </c>
      <c r="E18" s="92">
        <v>18.263681411743164</v>
      </c>
      <c r="F18" s="92">
        <v>18.331918716430664</v>
      </c>
      <c r="G18" s="90">
        <v>18.159854888916016</v>
      </c>
      <c r="H18" s="96">
        <f>E18-$H$61+$H$75</f>
        <v>18.28875330081884</v>
      </c>
      <c r="I18" s="96">
        <f>F18-$H$61+$H$75</f>
        <v>18.35699060550634</v>
      </c>
      <c r="J18" s="96">
        <f>G18-$H$61+$H$75</f>
        <v>18.184926777991691</v>
      </c>
      <c r="K18" s="90">
        <f>((H18-'Calibration F. prausnitzii'!$D$45)/('Calibration F. prausnitzii'!$D$44))+$B$24</f>
        <v>9.1127595689060783</v>
      </c>
      <c r="L18" s="90">
        <f>((I18-'Calibration F. prausnitzii'!$D$45)/('Calibration F. prausnitzii'!$D$44))+$B$24</f>
        <v>9.0917524868362261</v>
      </c>
      <c r="M18" s="90">
        <f>((J18-'Calibration F. prausnitzii'!$D$45)/('Calibration F. prausnitzii'!$D$44))+$B$24</f>
        <v>9.1447229106008567</v>
      </c>
      <c r="N18" s="97">
        <f t="shared" si="1"/>
        <v>9.1164116554477204</v>
      </c>
      <c r="O18" s="97">
        <f t="shared" si="2"/>
        <v>2.6673390308167989E-2</v>
      </c>
      <c r="P18" s="98">
        <f>(AVERAGE(POWER(10,K18),POWER(10,L18),POWER(10,M18)))*(Calculation!$I18/Calculation!$K17)</f>
        <v>1337206445.6124382</v>
      </c>
      <c r="Q18" s="98">
        <f>(STDEV(POWER(10,K18),POWER(10,L18),POWER(10,M18)))*(Calculation!$I18/Calculation!$K17)</f>
        <v>82595338.497797266</v>
      </c>
      <c r="R18" s="97">
        <f t="shared" si="3"/>
        <v>9.1261984613150631</v>
      </c>
      <c r="S18" s="97">
        <f>O18*(Calculation!$I18/Calculation!$K17)</f>
        <v>2.7246885916300635E-2</v>
      </c>
      <c r="T18" s="75"/>
    </row>
    <row r="19" spans="1:20">
      <c r="A19" s="40">
        <v>15</v>
      </c>
      <c r="B19" s="31">
        <v>300</v>
      </c>
      <c r="C19" s="31">
        <f>C18+B19</f>
        <v>1460</v>
      </c>
      <c r="D19" s="13">
        <f t="shared" si="0"/>
        <v>24.333333333333332</v>
      </c>
      <c r="E19" s="92">
        <v>17.834680557250977</v>
      </c>
      <c r="F19" s="92">
        <v>17.820161819458008</v>
      </c>
      <c r="G19" s="90">
        <v>17.799036026000977</v>
      </c>
      <c r="H19" s="96">
        <f>E19-$H$61+$H$75</f>
        <v>17.859752446326652</v>
      </c>
      <c r="I19" s="96">
        <f>F19-$H$61+$H$75</f>
        <v>17.845233708533684</v>
      </c>
      <c r="J19" s="96">
        <f>G19-$H$61+$H$75</f>
        <v>17.824107915076652</v>
      </c>
      <c r="K19" s="90">
        <f>((H19-'Calibration F. prausnitzii'!$D$45)/('Calibration F. prausnitzii'!$D$44))+$B$24</f>
        <v>9.2448289142535476</v>
      </c>
      <c r="L19" s="90">
        <f>((I19-'Calibration F. prausnitzii'!$D$45)/('Calibration F. prausnitzii'!$D$44))+$B$24</f>
        <v>9.2492985561563792</v>
      </c>
      <c r="M19" s="90">
        <f>((J19-'Calibration F. prausnitzii'!$D$45)/('Calibration F. prausnitzii'!$D$44))+$B$24</f>
        <v>9.2558022022041673</v>
      </c>
      <c r="N19" s="97">
        <f t="shared" si="1"/>
        <v>9.2499765575380319</v>
      </c>
      <c r="O19" s="97">
        <f t="shared" si="2"/>
        <v>5.5179730442387548E-3</v>
      </c>
      <c r="P19" s="98">
        <f>(AVERAGE(POWER(10,K19),POWER(10,L19),POWER(10,M19)))*(Calculation!$I19/Calculation!$K18)</f>
        <v>1828157684.5433178</v>
      </c>
      <c r="Q19" s="98">
        <f>(STDEV(POWER(10,K19),POWER(10,L19),POWER(10,M19)))*(Calculation!$I19/Calculation!$K18)</f>
        <v>23254144.805704217</v>
      </c>
      <c r="R19" s="97">
        <f t="shared" si="3"/>
        <v>9.2620136523242795</v>
      </c>
      <c r="S19" s="97">
        <f>O19*(Calculation!$I19/Calculation!$K18)</f>
        <v>5.6727452651831323E-3</v>
      </c>
      <c r="T19" s="75"/>
    </row>
    <row r="20" spans="1:20">
      <c r="A20" s="40">
        <v>16</v>
      </c>
      <c r="B20" s="31">
        <v>350</v>
      </c>
      <c r="C20" s="31">
        <f>C19+B20</f>
        <v>1810</v>
      </c>
      <c r="D20" s="13">
        <f t="shared" si="0"/>
        <v>30.166666666666668</v>
      </c>
      <c r="E20" s="92">
        <v>18.33558464050293</v>
      </c>
      <c r="F20" s="92">
        <v>18.114923477172852</v>
      </c>
      <c r="G20" s="90">
        <v>18.259128570556641</v>
      </c>
      <c r="H20" s="96">
        <f>E20-$H$61+$H$75</f>
        <v>18.360656529578606</v>
      </c>
      <c r="I20" s="96">
        <f>F20-$H$61+$H$75</f>
        <v>18.139995366248527</v>
      </c>
      <c r="J20" s="96">
        <f>G20-$H$61+$H$75</f>
        <v>18.284200459632316</v>
      </c>
      <c r="K20" s="90">
        <f>((H20-'Calibration F. prausnitzii'!$D$45)/('Calibration F. prausnitzii'!$D$44))+$B$24</f>
        <v>9.0906239198712697</v>
      </c>
      <c r="L20" s="90">
        <f>((I20-'Calibration F. prausnitzii'!$D$45)/('Calibration F. prausnitzii'!$D$44))+$B$24</f>
        <v>9.1585551957171205</v>
      </c>
      <c r="M20" s="90">
        <f>((J20-'Calibration F. prausnitzii'!$D$45)/('Calibration F. prausnitzii'!$D$44))+$B$24</f>
        <v>9.1141611762657799</v>
      </c>
      <c r="N20" s="97">
        <f t="shared" si="1"/>
        <v>9.1211134306180579</v>
      </c>
      <c r="O20" s="97">
        <f t="shared" si="2"/>
        <v>3.4495143715388858E-2</v>
      </c>
      <c r="P20" s="98">
        <f>(AVERAGE(POWER(10,K20),POWER(10,L20),POWER(10,M20)))*(Calculation!$I20/Calculation!$K19)</f>
        <v>1361591883.269609</v>
      </c>
      <c r="Q20" s="98">
        <f>(STDEV(POWER(10,K20),POWER(10,L20),POWER(10,M20)))*(Calculation!$I20/Calculation!$K19)</f>
        <v>109298347.55179301</v>
      </c>
      <c r="R20" s="97">
        <f t="shared" si="3"/>
        <v>9.134046953829138</v>
      </c>
      <c r="S20" s="97">
        <f>O20*(Calculation!$I20/Calculation!$K19)</f>
        <v>3.5462689218388459E-2</v>
      </c>
      <c r="T20" s="75"/>
    </row>
    <row r="21" spans="1:20">
      <c r="A21" s="40">
        <v>17</v>
      </c>
      <c r="B21" s="31">
        <v>1070</v>
      </c>
      <c r="C21" s="31">
        <f>C20+B21</f>
        <v>2880</v>
      </c>
      <c r="D21" s="13">
        <f t="shared" si="0"/>
        <v>48</v>
      </c>
      <c r="E21" s="92">
        <v>18.91905403137207</v>
      </c>
      <c r="F21" s="92">
        <v>18.832191467285156</v>
      </c>
      <c r="G21" s="90">
        <v>18.852960586547852</v>
      </c>
      <c r="H21" s="96">
        <f>E21-$H$61+$H$75</f>
        <v>18.944125920447746</v>
      </c>
      <c r="I21" s="96">
        <f>F21-$H$61+$H$75</f>
        <v>18.857263356360832</v>
      </c>
      <c r="J21" s="96">
        <f>G21-$H$61+$H$75</f>
        <v>18.878032475623527</v>
      </c>
      <c r="K21" s="90">
        <f>((H21-'Calibration F. prausnitzii'!$D$45)/('Calibration F. prausnitzii'!$D$44))+$B$24</f>
        <v>8.9110009198807703</v>
      </c>
      <c r="L21" s="90">
        <f>((I21-'Calibration F. prausnitzii'!$D$45)/('Calibration F. prausnitzii'!$D$44))+$B$24</f>
        <v>8.9377418502403163</v>
      </c>
      <c r="M21" s="90">
        <f>((J21-'Calibration F. prausnitzii'!$D$45)/('Calibration F. prausnitzii'!$D$44))+$B$24</f>
        <v>8.931348007534071</v>
      </c>
      <c r="N21" s="97">
        <f t="shared" ref="N21" si="5">AVERAGE(K21:M21)</f>
        <v>8.9266969258850519</v>
      </c>
      <c r="O21" s="97">
        <f t="shared" ref="O21" si="6">STDEV(K21:M21)</f>
        <v>1.3964016596341479E-2</v>
      </c>
      <c r="P21" s="98">
        <f>(AVERAGE(POWER(10,K21),POWER(10,L21),POWER(10,M21)))*(Calculation!$I21/Calculation!$K20)</f>
        <v>869929395.80636334</v>
      </c>
      <c r="Q21" s="98">
        <f>(STDEV(POWER(10,K21),POWER(10,L21),POWER(10,M21)))*(Calculation!$I21/Calculation!$K20)</f>
        <v>27767151.555982772</v>
      </c>
      <c r="R21" s="97">
        <f t="shared" ref="R21" si="7">LOG(P21)</f>
        <v>8.9394840063473779</v>
      </c>
      <c r="S21" s="97">
        <f>O21*(Calculation!$I21/Calculation!$K20)</f>
        <v>1.4376345411060852E-2</v>
      </c>
      <c r="T21" s="75"/>
    </row>
    <row r="22" spans="1:20">
      <c r="A22" s="31"/>
      <c r="B22" s="31"/>
      <c r="C22" s="10"/>
      <c r="D22" s="101"/>
      <c r="E22" s="102"/>
      <c r="F22" s="102"/>
      <c r="G22" s="103"/>
      <c r="H22" s="100"/>
      <c r="I22" s="100"/>
      <c r="J22" s="100"/>
      <c r="K22" s="103"/>
      <c r="L22" s="103"/>
      <c r="M22" s="103"/>
      <c r="N22" s="104"/>
      <c r="O22" s="104"/>
      <c r="P22" s="105"/>
      <c r="Q22" s="105"/>
      <c r="R22" s="104"/>
      <c r="S22" s="104"/>
      <c r="T22" s="75"/>
    </row>
    <row r="23" spans="1:20">
      <c r="A23" s="31"/>
      <c r="B23" s="31"/>
      <c r="C23" s="10"/>
      <c r="D23" s="101"/>
      <c r="E23" s="102"/>
      <c r="F23" s="102"/>
      <c r="G23" s="103"/>
      <c r="H23" s="100"/>
      <c r="I23" s="100"/>
      <c r="J23" s="100"/>
      <c r="K23" s="103"/>
      <c r="L23" s="103"/>
      <c r="M23" s="103"/>
      <c r="N23" s="104"/>
      <c r="O23" s="104"/>
      <c r="P23" s="105"/>
      <c r="Q23" s="105"/>
      <c r="R23" s="104"/>
      <c r="S23" s="104"/>
      <c r="T23" s="75"/>
    </row>
    <row r="24" spans="1:20">
      <c r="A24" s="87" t="s">
        <v>221</v>
      </c>
      <c r="B24" s="91">
        <f>LOG(B25)</f>
        <v>3.6532125137753435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</row>
    <row r="25" spans="1:20">
      <c r="A25" s="75" t="s">
        <v>222</v>
      </c>
      <c r="B25" s="75">
        <f>10*2*1800/4/2</f>
        <v>4500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</row>
    <row r="26" spans="1:20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0">
      <c r="A27" s="88" t="s">
        <v>236</v>
      </c>
      <c r="B27" s="75"/>
      <c r="C27" s="75"/>
      <c r="D27" s="75"/>
      <c r="E27" s="95">
        <v>14.390941619873047</v>
      </c>
      <c r="F27" s="96">
        <v>14.411395072937012</v>
      </c>
      <c r="G27" s="96">
        <v>14.301624298095703</v>
      </c>
      <c r="H27" s="96">
        <f>AVERAGE(E27:G27)</f>
        <v>14.367986996968588</v>
      </c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</row>
    <row r="28" spans="1:20">
      <c r="A28" s="94" t="s">
        <v>237</v>
      </c>
      <c r="C28" s="75"/>
      <c r="D28" s="75"/>
      <c r="E28" s="95">
        <v>13.95859432220459</v>
      </c>
      <c r="F28" s="96">
        <v>13.837825775146484</v>
      </c>
      <c r="G28" s="96">
        <v>14.070391654968262</v>
      </c>
      <c r="H28" s="96">
        <f t="shared" ref="H28:H72" si="8">AVERAGE(E28:G28)</f>
        <v>13.955603917439779</v>
      </c>
      <c r="T28" s="75"/>
    </row>
    <row r="29" spans="1:20">
      <c r="A29" s="94" t="s">
        <v>238</v>
      </c>
      <c r="E29" s="95">
        <v>14.085451126098633</v>
      </c>
      <c r="F29" s="96">
        <v>14.111333847045898</v>
      </c>
      <c r="G29" s="96">
        <v>14.077548980712891</v>
      </c>
      <c r="H29" s="96">
        <f t="shared" si="8"/>
        <v>14.091444651285807</v>
      </c>
      <c r="T29" s="75"/>
    </row>
    <row r="30" spans="1:20">
      <c r="A30" s="94" t="s">
        <v>235</v>
      </c>
      <c r="E30" s="95">
        <v>13.838394165039062</v>
      </c>
      <c r="F30" s="96">
        <v>14.03663444519043</v>
      </c>
      <c r="G30" s="96">
        <v>13.97320556640625</v>
      </c>
      <c r="H30" s="96">
        <f t="shared" si="8"/>
        <v>13.949411392211914</v>
      </c>
    </row>
    <row r="31" spans="1:20">
      <c r="A31" s="94" t="s">
        <v>239</v>
      </c>
      <c r="E31" s="95">
        <v>11.618982315063477</v>
      </c>
      <c r="F31" s="96">
        <v>11.485271453857422</v>
      </c>
      <c r="G31" s="96">
        <v>11.470490455627441</v>
      </c>
      <c r="H31" s="96">
        <f t="shared" si="8"/>
        <v>11.524914741516113</v>
      </c>
    </row>
    <row r="32" spans="1:20">
      <c r="A32" s="94" t="s">
        <v>240</v>
      </c>
      <c r="E32" s="95">
        <v>14.489413261413574</v>
      </c>
      <c r="F32" s="96">
        <v>14.78773021697998</v>
      </c>
      <c r="G32" s="96">
        <v>14.708776473999023</v>
      </c>
      <c r="H32" s="96">
        <f t="shared" si="8"/>
        <v>14.661973317464193</v>
      </c>
    </row>
    <row r="33" spans="1:8">
      <c r="A33" s="94" t="s">
        <v>241</v>
      </c>
      <c r="E33" s="95">
        <v>14.322483062744141</v>
      </c>
      <c r="F33" s="96">
        <v>14.812288284301758</v>
      </c>
      <c r="G33" s="96">
        <v>14.651363372802734</v>
      </c>
      <c r="H33" s="96">
        <f t="shared" si="8"/>
        <v>14.595378239949545</v>
      </c>
    </row>
    <row r="34" spans="1:8">
      <c r="A34" s="94" t="s">
        <v>242</v>
      </c>
      <c r="E34" s="95">
        <v>13.079689025878906</v>
      </c>
      <c r="F34" s="96">
        <v>13.297797203063965</v>
      </c>
      <c r="G34" s="96">
        <v>14.48363208770752</v>
      </c>
      <c r="H34" s="96">
        <f t="shared" si="8"/>
        <v>13.620372772216797</v>
      </c>
    </row>
    <row r="35" spans="1:8">
      <c r="A35" s="94" t="s">
        <v>243</v>
      </c>
      <c r="B35" s="75"/>
      <c r="C35" s="75"/>
      <c r="D35" s="75"/>
      <c r="E35" s="95">
        <v>14.77447509765625</v>
      </c>
      <c r="F35" s="96">
        <v>15.046281814575195</v>
      </c>
      <c r="G35" s="96">
        <v>14.986320495605469</v>
      </c>
      <c r="H35" s="96">
        <f t="shared" si="8"/>
        <v>14.935692469278971</v>
      </c>
    </row>
    <row r="36" spans="1:8">
      <c r="A36" s="94" t="s">
        <v>243</v>
      </c>
      <c r="C36" s="75"/>
      <c r="D36" s="75"/>
      <c r="E36" s="95">
        <v>13.851560592651367</v>
      </c>
      <c r="F36" s="96">
        <v>14.262241363525391</v>
      </c>
      <c r="G36" s="96">
        <v>14.016228675842285</v>
      </c>
      <c r="H36" s="96">
        <f t="shared" si="8"/>
        <v>14.043343544006348</v>
      </c>
    </row>
    <row r="37" spans="1:8">
      <c r="A37" s="94" t="s">
        <v>244</v>
      </c>
      <c r="E37" s="95">
        <v>14.028319358825684</v>
      </c>
      <c r="F37" s="96">
        <v>14.285782814025879</v>
      </c>
      <c r="G37" s="96">
        <v>14.480982780456543</v>
      </c>
      <c r="H37" s="96">
        <f t="shared" si="8"/>
        <v>14.265028317769369</v>
      </c>
    </row>
    <row r="38" spans="1:8">
      <c r="A38" s="94" t="s">
        <v>244</v>
      </c>
      <c r="E38" s="95">
        <v>14.83289909362793</v>
      </c>
      <c r="F38" s="96">
        <v>14.839167594909668</v>
      </c>
      <c r="G38" s="96">
        <v>14.813106536865234</v>
      </c>
      <c r="H38" s="96">
        <f t="shared" si="8"/>
        <v>14.828391075134277</v>
      </c>
    </row>
    <row r="39" spans="1:8">
      <c r="A39" s="94" t="s">
        <v>245</v>
      </c>
      <c r="E39" s="95">
        <v>15.412906646728516</v>
      </c>
      <c r="F39" s="96">
        <v>15.433472633361816</v>
      </c>
      <c r="G39" s="96">
        <v>15.37113094329834</v>
      </c>
      <c r="H39" s="96">
        <f t="shared" si="8"/>
        <v>15.405836741129557</v>
      </c>
    </row>
    <row r="40" spans="1:8">
      <c r="A40" s="94" t="s">
        <v>245</v>
      </c>
      <c r="E40" s="95">
        <v>15.125240325927734</v>
      </c>
      <c r="F40" s="96">
        <v>15.287156105041504</v>
      </c>
      <c r="G40" s="96">
        <v>15.169957160949707</v>
      </c>
      <c r="H40" s="96">
        <f t="shared" si="8"/>
        <v>15.194117863972982</v>
      </c>
    </row>
    <row r="41" spans="1:8">
      <c r="A41" s="94" t="s">
        <v>246</v>
      </c>
      <c r="E41" s="95">
        <v>14.932897567749023</v>
      </c>
      <c r="F41" s="96">
        <v>14.934226036071777</v>
      </c>
      <c r="G41" s="96">
        <v>14.918047904968262</v>
      </c>
      <c r="H41" s="96">
        <f t="shared" si="8"/>
        <v>14.928390502929688</v>
      </c>
    </row>
    <row r="42" spans="1:8">
      <c r="A42" s="94" t="s">
        <v>246</v>
      </c>
      <c r="E42" s="95">
        <v>14.112751960754395</v>
      </c>
      <c r="F42" s="96">
        <v>14.298762321472168</v>
      </c>
      <c r="G42" s="96">
        <v>14.374398231506348</v>
      </c>
      <c r="H42" s="96">
        <f t="shared" si="8"/>
        <v>14.261970837910971</v>
      </c>
    </row>
    <row r="43" spans="1:8">
      <c r="A43" s="94" t="s">
        <v>247</v>
      </c>
      <c r="E43" s="95">
        <v>14.954710960388184</v>
      </c>
      <c r="F43" s="96">
        <v>14.841438293457031</v>
      </c>
      <c r="G43" s="96">
        <v>15.281417846679688</v>
      </c>
      <c r="H43" s="96">
        <f t="shared" si="8"/>
        <v>15.025855700174967</v>
      </c>
    </row>
    <row r="44" spans="1:8">
      <c r="A44" s="94" t="s">
        <v>248</v>
      </c>
      <c r="E44" s="95">
        <v>14.948505401611328</v>
      </c>
      <c r="F44" s="96">
        <v>15.147294044494629</v>
      </c>
      <c r="G44" s="96">
        <v>14.959335327148438</v>
      </c>
      <c r="H44" s="96">
        <f t="shared" si="8"/>
        <v>15.018378257751465</v>
      </c>
    </row>
    <row r="45" spans="1:8">
      <c r="A45" s="88" t="s">
        <v>249</v>
      </c>
      <c r="B45" s="75"/>
      <c r="C45" s="75"/>
      <c r="D45" s="75"/>
      <c r="E45" s="95">
        <v>15.064580917358398</v>
      </c>
      <c r="F45" s="96">
        <v>15.123675346374512</v>
      </c>
      <c r="G45" s="96">
        <v>15.059396743774414</v>
      </c>
      <c r="H45" s="96">
        <f t="shared" si="8"/>
        <v>15.082551002502441</v>
      </c>
    </row>
    <row r="46" spans="1:8">
      <c r="A46" s="88" t="s">
        <v>250</v>
      </c>
      <c r="B46" s="75"/>
      <c r="C46" s="75"/>
      <c r="D46" s="75"/>
      <c r="E46" s="95">
        <v>14.438828468322754</v>
      </c>
      <c r="F46" s="96">
        <v>14.371813774108887</v>
      </c>
      <c r="G46" s="96">
        <v>15.339963912963867</v>
      </c>
      <c r="H46" s="96">
        <f t="shared" si="8"/>
        <v>14.71686871846517</v>
      </c>
    </row>
    <row r="47" spans="1:8">
      <c r="A47" s="88" t="s">
        <v>251</v>
      </c>
      <c r="B47" s="75"/>
      <c r="C47" s="75"/>
      <c r="D47" s="75"/>
      <c r="E47" s="95">
        <v>14.56031322479248</v>
      </c>
      <c r="F47" s="96">
        <v>14.785432815551758</v>
      </c>
      <c r="G47" s="96">
        <v>14.991518974304199</v>
      </c>
      <c r="H47" s="96">
        <f t="shared" si="8"/>
        <v>14.779088338216146</v>
      </c>
    </row>
    <row r="48" spans="1:8">
      <c r="A48" s="88" t="s">
        <v>252</v>
      </c>
      <c r="B48" s="75"/>
      <c r="C48" s="75"/>
      <c r="D48" s="75"/>
      <c r="E48" s="95">
        <v>15.04175853729248</v>
      </c>
      <c r="F48" s="96">
        <v>15.037652969360352</v>
      </c>
      <c r="G48" s="96">
        <v>14.94129753112793</v>
      </c>
      <c r="H48" s="96">
        <f t="shared" si="8"/>
        <v>15.006903012593588</v>
      </c>
    </row>
    <row r="49" spans="1:8">
      <c r="A49" s="88" t="s">
        <v>253</v>
      </c>
      <c r="B49" s="75"/>
      <c r="C49" s="75"/>
      <c r="D49" s="75"/>
      <c r="E49" s="95">
        <v>15.191975593566895</v>
      </c>
      <c r="F49" s="96">
        <v>15.268773078918457</v>
      </c>
      <c r="G49" s="96">
        <v>15.282587051391602</v>
      </c>
      <c r="H49" s="96">
        <f t="shared" si="8"/>
        <v>15.24777857462565</v>
      </c>
    </row>
    <row r="50" spans="1:8">
      <c r="A50" s="88" t="s">
        <v>254</v>
      </c>
      <c r="B50" s="75"/>
      <c r="C50" s="75"/>
      <c r="D50" s="75"/>
      <c r="E50" s="95">
        <v>15.494284629821777</v>
      </c>
      <c r="F50" s="96">
        <v>15.500131607055664</v>
      </c>
      <c r="G50" s="96">
        <v>15.308513641357422</v>
      </c>
      <c r="H50" s="96">
        <f t="shared" si="8"/>
        <v>15.434309959411621</v>
      </c>
    </row>
    <row r="51" spans="1:8">
      <c r="A51" s="88" t="s">
        <v>255</v>
      </c>
      <c r="B51" s="75"/>
      <c r="C51" s="75"/>
      <c r="D51" s="75"/>
      <c r="E51" s="95">
        <v>15.209195137023926</v>
      </c>
      <c r="F51" s="96">
        <v>15.267397880554199</v>
      </c>
      <c r="G51" s="96">
        <v>15.118107795715332</v>
      </c>
      <c r="H51" s="96">
        <f t="shared" si="8"/>
        <v>15.198233604431152</v>
      </c>
    </row>
    <row r="52" spans="1:8">
      <c r="A52" s="88" t="s">
        <v>256</v>
      </c>
      <c r="B52" s="75"/>
      <c r="C52" s="75"/>
      <c r="D52" s="75"/>
      <c r="E52" s="95">
        <v>15.095216751098633</v>
      </c>
      <c r="F52" s="96">
        <v>15.058335304260254</v>
      </c>
      <c r="G52" s="96">
        <v>15.188286781311035</v>
      </c>
      <c r="H52" s="96">
        <f t="shared" si="8"/>
        <v>15.113946278889975</v>
      </c>
    </row>
    <row r="53" spans="1:8">
      <c r="A53" s="88" t="s">
        <v>257</v>
      </c>
      <c r="B53" s="75"/>
      <c r="C53" s="75"/>
      <c r="D53" s="75"/>
      <c r="E53" s="95">
        <v>14.974048614501953</v>
      </c>
      <c r="F53" s="96">
        <v>15.016510009765625</v>
      </c>
      <c r="G53" s="96">
        <v>14.949863433837891</v>
      </c>
      <c r="H53" s="96">
        <f t="shared" si="8"/>
        <v>14.980140686035156</v>
      </c>
    </row>
    <row r="54" spans="1:8">
      <c r="A54" s="88" t="s">
        <v>258</v>
      </c>
      <c r="E54" s="95">
        <v>15.325250625610352</v>
      </c>
      <c r="F54" s="96">
        <v>15.371528625488281</v>
      </c>
      <c r="G54" s="96">
        <v>15.399141311645508</v>
      </c>
      <c r="H54" s="96">
        <f t="shared" si="8"/>
        <v>15.365306854248047</v>
      </c>
    </row>
    <row r="55" spans="1:8">
      <c r="A55" s="88" t="s">
        <v>258</v>
      </c>
      <c r="E55" s="95">
        <v>15.129462242126465</v>
      </c>
      <c r="F55" s="96">
        <v>15.041775703430176</v>
      </c>
      <c r="G55" s="96">
        <v>15.221658706665039</v>
      </c>
      <c r="H55" s="96">
        <f t="shared" si="8"/>
        <v>15.13096555074056</v>
      </c>
    </row>
    <row r="56" spans="1:8">
      <c r="A56" s="88" t="s">
        <v>259</v>
      </c>
      <c r="E56" s="95">
        <v>15.064123153686523</v>
      </c>
      <c r="F56" s="96">
        <v>15.073297500610352</v>
      </c>
      <c r="G56" s="96">
        <v>15.109650611877441</v>
      </c>
      <c r="H56" s="96">
        <f t="shared" si="8"/>
        <v>15.082357088724772</v>
      </c>
    </row>
    <row r="57" spans="1:8">
      <c r="A57" s="88" t="s">
        <v>263</v>
      </c>
      <c r="E57" s="95">
        <v>15.271329879760742</v>
      </c>
      <c r="F57" s="96">
        <v>15.260854721069336</v>
      </c>
      <c r="G57" s="96">
        <v>15.188329696655273</v>
      </c>
      <c r="H57" s="96">
        <f t="shared" si="8"/>
        <v>15.240171432495117</v>
      </c>
    </row>
    <row r="58" spans="1:8">
      <c r="A58" s="88" t="s">
        <v>264</v>
      </c>
      <c r="E58" s="95">
        <v>14.958261489868164</v>
      </c>
      <c r="F58" s="96">
        <v>14.991987228393555</v>
      </c>
      <c r="G58" s="96">
        <v>15.025043487548828</v>
      </c>
      <c r="H58" s="96">
        <f t="shared" si="8"/>
        <v>14.991764068603516</v>
      </c>
    </row>
    <row r="59" spans="1:8">
      <c r="A59" s="88" t="s">
        <v>265</v>
      </c>
      <c r="E59" s="95">
        <v>15.201624870300293</v>
      </c>
      <c r="F59" s="96">
        <v>15.184474945068359</v>
      </c>
      <c r="G59" s="96">
        <v>15.128211975097656</v>
      </c>
      <c r="H59" s="96">
        <f t="shared" si="8"/>
        <v>15.17143726348877</v>
      </c>
    </row>
    <row r="60" spans="1:8">
      <c r="A60" s="88" t="s">
        <v>265</v>
      </c>
      <c r="E60" s="95">
        <v>15.056846618652344</v>
      </c>
      <c r="F60" s="96">
        <v>15.079096794128418</v>
      </c>
      <c r="G60" s="96">
        <v>14.947562217712402</v>
      </c>
      <c r="H60" s="96">
        <f t="shared" si="8"/>
        <v>15.027835210164389</v>
      </c>
    </row>
    <row r="61" spans="1:8">
      <c r="A61" s="88" t="s">
        <v>266</v>
      </c>
      <c r="E61" s="95">
        <v>15.4</v>
      </c>
      <c r="F61" s="96">
        <v>14.7</v>
      </c>
      <c r="G61" s="96">
        <v>14.2</v>
      </c>
      <c r="H61" s="96">
        <f t="shared" si="8"/>
        <v>14.766666666666666</v>
      </c>
    </row>
    <row r="62" spans="1:8">
      <c r="A62" s="88" t="s">
        <v>266</v>
      </c>
      <c r="E62" s="113">
        <v>14.4</v>
      </c>
      <c r="F62" s="114">
        <v>14.4</v>
      </c>
      <c r="G62" s="114">
        <v>14.5</v>
      </c>
      <c r="H62" s="96">
        <f t="shared" si="8"/>
        <v>14.433333333333332</v>
      </c>
    </row>
    <row r="63" spans="1:8">
      <c r="A63" s="88" t="s">
        <v>267</v>
      </c>
      <c r="E63" s="113">
        <v>15.11392879486084</v>
      </c>
      <c r="F63" s="114">
        <v>15.182292938232422</v>
      </c>
      <c r="G63" s="114">
        <v>15.373931884765625</v>
      </c>
      <c r="H63" s="96">
        <f t="shared" si="8"/>
        <v>15.223384539286295</v>
      </c>
    </row>
    <row r="64" spans="1:8">
      <c r="A64" s="88" t="s">
        <v>268</v>
      </c>
      <c r="B64" s="75"/>
      <c r="C64" s="75"/>
      <c r="D64" s="75"/>
      <c r="E64" s="113">
        <v>14.613919258117676</v>
      </c>
      <c r="F64" s="114">
        <v>14.544337272644043</v>
      </c>
      <c r="G64" s="114">
        <v>14.610519409179688</v>
      </c>
      <c r="H64" s="96">
        <f t="shared" si="8"/>
        <v>14.589591979980469</v>
      </c>
    </row>
    <row r="65" spans="1:8">
      <c r="A65" s="88" t="s">
        <v>269</v>
      </c>
      <c r="B65" s="75"/>
      <c r="C65" s="75"/>
      <c r="D65" s="75"/>
      <c r="E65" s="113">
        <v>14.970376014709473</v>
      </c>
      <c r="F65" s="114">
        <v>14.902167320251465</v>
      </c>
      <c r="G65" s="114">
        <v>14.964475631713867</v>
      </c>
      <c r="H65" s="96">
        <f t="shared" si="8"/>
        <v>14.945672988891602</v>
      </c>
    </row>
    <row r="66" spans="1:8">
      <c r="A66" s="88" t="s">
        <v>270</v>
      </c>
      <c r="B66" s="75"/>
      <c r="C66" s="75"/>
      <c r="D66" s="75"/>
      <c r="E66" s="113">
        <v>15.184457778930664</v>
      </c>
      <c r="F66" s="114">
        <v>15.273150444030762</v>
      </c>
      <c r="G66" s="114">
        <v>15.250771522521973</v>
      </c>
      <c r="H66" s="96">
        <f t="shared" si="8"/>
        <v>15.236126581827799</v>
      </c>
    </row>
    <row r="67" spans="1:8">
      <c r="A67" s="88" t="s">
        <v>271</v>
      </c>
      <c r="B67" s="75"/>
      <c r="C67" s="75"/>
      <c r="D67" s="75"/>
      <c r="E67" s="113">
        <v>15.047176361083984</v>
      </c>
      <c r="F67" s="114">
        <v>15.114773750305176</v>
      </c>
      <c r="G67" s="114">
        <v>15.180623054504395</v>
      </c>
      <c r="H67" s="96">
        <f t="shared" si="8"/>
        <v>15.114191055297852</v>
      </c>
    </row>
    <row r="68" spans="1:8">
      <c r="A68" s="88" t="s">
        <v>272</v>
      </c>
      <c r="B68" s="75"/>
      <c r="E68" s="113">
        <v>14.840383529663086</v>
      </c>
      <c r="F68" s="114">
        <v>14.916571617126465</v>
      </c>
      <c r="G68" s="114">
        <v>14.954231262207031</v>
      </c>
      <c r="H68" s="96">
        <f t="shared" si="8"/>
        <v>14.903728802998861</v>
      </c>
    </row>
    <row r="69" spans="1:8">
      <c r="A69" s="88" t="s">
        <v>273</v>
      </c>
      <c r="E69" s="113">
        <v>15.199845314025879</v>
      </c>
      <c r="F69" s="114">
        <v>15.533450126647949</v>
      </c>
      <c r="G69" s="114">
        <v>15.423110961914062</v>
      </c>
      <c r="H69" s="96">
        <f t="shared" si="8"/>
        <v>15.385468800862631</v>
      </c>
    </row>
    <row r="70" spans="1:8">
      <c r="A70" s="88" t="s">
        <v>274</v>
      </c>
      <c r="B70" s="75"/>
      <c r="E70" s="113">
        <v>15.120054244995117</v>
      </c>
      <c r="F70" s="114">
        <v>15.144433975219727</v>
      </c>
      <c r="G70" s="114">
        <v>15.071084976196289</v>
      </c>
      <c r="H70" s="96">
        <f t="shared" si="8"/>
        <v>15.111857732137045</v>
      </c>
    </row>
    <row r="71" spans="1:8">
      <c r="A71" s="88" t="s">
        <v>274</v>
      </c>
      <c r="E71" s="113">
        <v>15.292695999145508</v>
      </c>
      <c r="F71" s="114">
        <v>15.627285957336426</v>
      </c>
      <c r="G71" s="114">
        <v>15.304715156555176</v>
      </c>
      <c r="H71" s="96">
        <f t="shared" si="8"/>
        <v>15.408232371012369</v>
      </c>
    </row>
    <row r="72" spans="1:8">
      <c r="A72" s="88" t="s">
        <v>275</v>
      </c>
      <c r="E72" s="113">
        <v>15.044212341308594</v>
      </c>
      <c r="F72" s="114">
        <v>15.046442985534668</v>
      </c>
      <c r="G72" s="114">
        <v>15.083253860473633</v>
      </c>
      <c r="H72" s="96">
        <f t="shared" si="8"/>
        <v>15.057969729105631</v>
      </c>
    </row>
    <row r="73" spans="1:8">
      <c r="A73" s="88"/>
      <c r="E73" s="100"/>
      <c r="F73" s="100"/>
      <c r="G73" s="100"/>
      <c r="H73" s="100"/>
    </row>
    <row r="74" spans="1:8">
      <c r="A74" s="94"/>
    </row>
    <row r="75" spans="1:8">
      <c r="G75" t="s">
        <v>230</v>
      </c>
      <c r="H75" s="72">
        <f>AVERAGE(H27:H72)</f>
        <v>14.791738555742343</v>
      </c>
    </row>
  </sheetData>
  <mergeCells count="19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workbookViewId="0">
      <selection activeCell="D19" sqref="D1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19" t="s">
        <v>4</v>
      </c>
      <c r="B1" s="119" t="s">
        <v>118</v>
      </c>
      <c r="C1" s="119" t="s">
        <v>118</v>
      </c>
      <c r="D1" s="119" t="s">
        <v>5</v>
      </c>
      <c r="E1" s="119" t="s">
        <v>19</v>
      </c>
      <c r="F1" s="119" t="s">
        <v>24</v>
      </c>
      <c r="G1" s="118" t="s">
        <v>25</v>
      </c>
      <c r="H1" s="115" t="s">
        <v>26</v>
      </c>
      <c r="I1" s="4" t="s">
        <v>27</v>
      </c>
      <c r="J1" s="54" t="s">
        <v>27</v>
      </c>
    </row>
    <row r="2" spans="1:10">
      <c r="A2" s="120"/>
      <c r="B2" s="120"/>
      <c r="C2" s="120"/>
      <c r="D2" s="120"/>
      <c r="E2" s="120"/>
      <c r="F2" s="120"/>
      <c r="G2" s="118"/>
      <c r="H2" s="115"/>
      <c r="I2" s="5" t="s">
        <v>28</v>
      </c>
      <c r="J2" s="55" t="s">
        <v>23</v>
      </c>
    </row>
    <row r="3" spans="1:10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40">
        <v>1</v>
      </c>
      <c r="F3" s="51">
        <v>0.11</v>
      </c>
      <c r="G3" s="51">
        <v>0.11</v>
      </c>
      <c r="H3" s="51">
        <v>0.11</v>
      </c>
      <c r="I3" s="52">
        <f>E3*(AVERAGE(F3:H3)*1.6007-0.0118)</f>
        <v>0.16427700000000001</v>
      </c>
      <c r="J3" s="52">
        <f>E3*(STDEV(F3:H3)*1.6007)</f>
        <v>0</v>
      </c>
    </row>
    <row r="4" spans="1:10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40">
        <v>1</v>
      </c>
      <c r="F4" s="51">
        <v>0.122</v>
      </c>
      <c r="G4" s="51">
        <v>0.122</v>
      </c>
      <c r="H4" s="51">
        <v>0.122</v>
      </c>
      <c r="I4" s="52">
        <f>E4*(AVERAGE(F4:H4)*1.6007-0.0118)</f>
        <v>0.18348539999999999</v>
      </c>
      <c r="J4" s="52">
        <f t="shared" ref="J4:J18" si="1">E4*(STDEV(F4:H4)*1.6007)</f>
        <v>0</v>
      </c>
    </row>
    <row r="5" spans="1:10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40">
        <v>1</v>
      </c>
      <c r="F5" s="51">
        <v>0.14000000000000001</v>
      </c>
      <c r="G5" s="51">
        <v>0.14000000000000001</v>
      </c>
      <c r="H5" s="51">
        <v>0.14000000000000001</v>
      </c>
      <c r="I5" s="52">
        <f t="shared" ref="I5:I19" si="2">E5*(AVERAGE(F5:H5)*1.6007-0.0118)</f>
        <v>0.21229800000000001</v>
      </c>
      <c r="J5" s="52">
        <f t="shared" si="1"/>
        <v>0</v>
      </c>
    </row>
    <row r="6" spans="1:10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40">
        <v>1</v>
      </c>
      <c r="F6" s="51">
        <v>0.17499999999999999</v>
      </c>
      <c r="G6" s="51">
        <v>0.17499999999999999</v>
      </c>
      <c r="H6" s="51">
        <v>0.17499999999999999</v>
      </c>
      <c r="I6" s="52">
        <f t="shared" si="2"/>
        <v>0.26832249999999996</v>
      </c>
      <c r="J6" s="52">
        <f t="shared" si="1"/>
        <v>5.4413393669642165E-17</v>
      </c>
    </row>
    <row r="7" spans="1:10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40">
        <v>1</v>
      </c>
      <c r="F7" s="51">
        <v>0.218</v>
      </c>
      <c r="G7" s="51">
        <v>0.218</v>
      </c>
      <c r="H7" s="51">
        <v>0.218</v>
      </c>
      <c r="I7" s="52">
        <f t="shared" si="2"/>
        <v>0.33715260000000002</v>
      </c>
      <c r="J7" s="52">
        <f t="shared" si="1"/>
        <v>0</v>
      </c>
    </row>
    <row r="8" spans="1:10">
      <c r="A8" s="40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40">
        <v>1</v>
      </c>
      <c r="F8" s="51">
        <v>0.23200000000000001</v>
      </c>
      <c r="G8" s="51">
        <v>0.23200000000000001</v>
      </c>
      <c r="H8" s="51">
        <v>0.23200000000000001</v>
      </c>
      <c r="I8" s="52">
        <f t="shared" si="2"/>
        <v>0.35956240000000006</v>
      </c>
      <c r="J8" s="52">
        <f t="shared" si="1"/>
        <v>0</v>
      </c>
    </row>
    <row r="9" spans="1:10">
      <c r="A9" s="40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40">
        <v>1</v>
      </c>
      <c r="F9" s="51">
        <v>0.249</v>
      </c>
      <c r="G9" s="51">
        <v>0.249</v>
      </c>
      <c r="H9" s="51">
        <v>0.249</v>
      </c>
      <c r="I9" s="52">
        <f t="shared" si="2"/>
        <v>0.38677430000000002</v>
      </c>
      <c r="J9" s="52">
        <f t="shared" si="1"/>
        <v>0</v>
      </c>
    </row>
    <row r="10" spans="1:10">
      <c r="A10" s="40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40">
        <v>1</v>
      </c>
      <c r="F10" s="51">
        <v>0.27100000000000002</v>
      </c>
      <c r="G10" s="51">
        <v>0.27100000000000002</v>
      </c>
      <c r="H10" s="51">
        <v>0.27100000000000002</v>
      </c>
      <c r="I10" s="52">
        <f t="shared" si="2"/>
        <v>0.42198970000000008</v>
      </c>
      <c r="J10" s="52">
        <f t="shared" si="1"/>
        <v>0</v>
      </c>
    </row>
    <row r="11" spans="1:10">
      <c r="A11" s="40">
        <v>7</v>
      </c>
      <c r="B11" s="31">
        <v>80</v>
      </c>
      <c r="C11" s="31">
        <f t="shared" si="3"/>
        <v>600</v>
      </c>
      <c r="D11" s="13">
        <f t="shared" si="0"/>
        <v>10</v>
      </c>
      <c r="E11" s="40">
        <v>1</v>
      </c>
      <c r="F11" s="51">
        <v>0.30299999999999999</v>
      </c>
      <c r="G11" s="51">
        <v>0.30299999999999999</v>
      </c>
      <c r="H11" s="51">
        <v>0.30299999999999999</v>
      </c>
      <c r="I11" s="52">
        <f t="shared" si="2"/>
        <v>0.47321210000000002</v>
      </c>
      <c r="J11" s="52">
        <f t="shared" si="1"/>
        <v>0</v>
      </c>
    </row>
    <row r="12" spans="1:10">
      <c r="A12" s="40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40">
        <v>2</v>
      </c>
      <c r="F12" s="51">
        <v>0.193</v>
      </c>
      <c r="G12" s="51">
        <v>0.186</v>
      </c>
      <c r="H12" s="51">
        <v>0.183</v>
      </c>
      <c r="I12" s="52">
        <f t="shared" si="2"/>
        <v>0.57612893333333348</v>
      </c>
      <c r="J12" s="52">
        <f t="shared" si="1"/>
        <v>1.6428308848245272E-2</v>
      </c>
    </row>
    <row r="13" spans="1:10">
      <c r="A13" s="40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40">
        <v>10</v>
      </c>
      <c r="F13" s="51">
        <v>5.5E-2</v>
      </c>
      <c r="G13" s="51">
        <v>5.5E-2</v>
      </c>
      <c r="H13" s="51">
        <v>5.6000000000000001E-2</v>
      </c>
      <c r="I13" s="52">
        <f t="shared" si="2"/>
        <v>0.76772066666666672</v>
      </c>
      <c r="J13" s="52">
        <f t="shared" si="1"/>
        <v>9.241645758918348E-3</v>
      </c>
    </row>
    <row r="14" spans="1:10">
      <c r="A14" s="40">
        <v>10</v>
      </c>
      <c r="B14" s="31">
        <v>80</v>
      </c>
      <c r="C14" s="31">
        <f t="shared" si="3"/>
        <v>840</v>
      </c>
      <c r="D14" s="13">
        <f t="shared" si="0"/>
        <v>14</v>
      </c>
      <c r="E14" s="40">
        <v>20</v>
      </c>
      <c r="F14" s="51">
        <v>3.9E-2</v>
      </c>
      <c r="G14" s="51">
        <v>4.1000000000000002E-2</v>
      </c>
      <c r="H14" s="51">
        <v>4.2000000000000003E-2</v>
      </c>
      <c r="I14" s="52">
        <f t="shared" si="2"/>
        <v>1.0659026666666667</v>
      </c>
      <c r="J14" s="52">
        <f t="shared" si="1"/>
        <v>4.8902192766105468E-2</v>
      </c>
    </row>
    <row r="15" spans="1:10">
      <c r="A15" s="40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40">
        <v>20</v>
      </c>
      <c r="F15" s="51">
        <v>6.3E-2</v>
      </c>
      <c r="G15" s="51">
        <v>7.1999999999999995E-2</v>
      </c>
      <c r="H15" s="51">
        <v>7.0000000000000007E-2</v>
      </c>
      <c r="I15" s="52">
        <f t="shared" si="2"/>
        <v>1.9516233333333335</v>
      </c>
      <c r="J15" s="52">
        <f t="shared" si="1"/>
        <v>0.151292261458851</v>
      </c>
    </row>
    <row r="16" spans="1:10">
      <c r="A16" s="40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40">
        <v>20</v>
      </c>
      <c r="F16" s="51">
        <v>8.3000000000000004E-2</v>
      </c>
      <c r="G16" s="51">
        <v>8.4000000000000005E-2</v>
      </c>
      <c r="H16" s="51">
        <v>8.1000000000000003E-2</v>
      </c>
      <c r="I16" s="52">
        <f t="shared" si="2"/>
        <v>2.4104906666666666</v>
      </c>
      <c r="J16" s="52">
        <f t="shared" si="1"/>
        <v>4.8902192766105468E-2</v>
      </c>
    </row>
    <row r="17" spans="1:10">
      <c r="A17" s="40">
        <v>13</v>
      </c>
      <c r="B17" s="31">
        <v>80</v>
      </c>
      <c r="C17" s="31">
        <f t="shared" si="3"/>
        <v>1080</v>
      </c>
      <c r="D17" s="13">
        <f t="shared" si="0"/>
        <v>18</v>
      </c>
      <c r="E17" s="40">
        <v>20</v>
      </c>
      <c r="F17" s="51">
        <v>9.9000000000000005E-2</v>
      </c>
      <c r="G17" s="51">
        <v>9.6000000000000002E-2</v>
      </c>
      <c r="H17" s="51">
        <v>0.1</v>
      </c>
      <c r="I17" s="52">
        <f t="shared" si="2"/>
        <v>2.9120433333333335</v>
      </c>
      <c r="J17" s="52">
        <f t="shared" si="1"/>
        <v>6.6642455306908835E-2</v>
      </c>
    </row>
    <row r="18" spans="1:10">
      <c r="A18" s="40">
        <v>14</v>
      </c>
      <c r="B18" s="31">
        <v>80</v>
      </c>
      <c r="C18" s="31">
        <f t="shared" si="3"/>
        <v>1160</v>
      </c>
      <c r="D18" s="13">
        <f t="shared" si="0"/>
        <v>19.333333333333332</v>
      </c>
      <c r="E18" s="40">
        <v>20</v>
      </c>
      <c r="F18" s="51">
        <v>0.104</v>
      </c>
      <c r="G18" s="51">
        <v>0.112</v>
      </c>
      <c r="H18" s="51">
        <v>0.106</v>
      </c>
      <c r="I18" s="52">
        <f t="shared" si="2"/>
        <v>3.2001693333333332</v>
      </c>
      <c r="J18" s="52">
        <f t="shared" si="1"/>
        <v>0.13328491061381764</v>
      </c>
    </row>
    <row r="19" spans="1:10">
      <c r="A19" s="40">
        <v>15</v>
      </c>
      <c r="B19" s="31">
        <v>300</v>
      </c>
      <c r="C19" s="31">
        <f>C18+B19</f>
        <v>1460</v>
      </c>
      <c r="D19" s="13">
        <f t="shared" si="0"/>
        <v>24.333333333333332</v>
      </c>
      <c r="E19" s="40">
        <v>20</v>
      </c>
      <c r="F19" s="51">
        <v>0.105</v>
      </c>
      <c r="G19" s="51">
        <v>0.105</v>
      </c>
      <c r="H19" s="51">
        <v>0.114</v>
      </c>
      <c r="I19" s="52">
        <f t="shared" si="2"/>
        <v>3.2215119999999997</v>
      </c>
      <c r="J19" s="52">
        <f>E19*(STDEV(F19:H19)*1.6007)</f>
        <v>0.16634962366053024</v>
      </c>
    </row>
    <row r="20" spans="1:10">
      <c r="A20" s="40">
        <v>16</v>
      </c>
      <c r="B20" s="31">
        <v>350</v>
      </c>
      <c r="C20" s="31">
        <f>C19+B20</f>
        <v>1810</v>
      </c>
      <c r="D20" s="13">
        <f t="shared" si="0"/>
        <v>30.166666666666668</v>
      </c>
      <c r="E20" s="40">
        <v>20</v>
      </c>
      <c r="F20" s="51">
        <v>0.10199999999999999</v>
      </c>
      <c r="G20" s="51">
        <v>0.108</v>
      </c>
      <c r="H20" s="51">
        <v>0.104</v>
      </c>
      <c r="I20" s="52">
        <f t="shared" ref="I20:I21" si="4">E20*(AVERAGE(F20:H20)*1.6007-0.0118)</f>
        <v>3.1147986666666667</v>
      </c>
      <c r="J20" s="52">
        <f t="shared" ref="J20:J21" si="5">E20*(STDEV(F20:H20)*1.6007)</f>
        <v>9.7804385532210936E-2</v>
      </c>
    </row>
    <row r="21" spans="1:10">
      <c r="A21" s="40">
        <v>17</v>
      </c>
      <c r="B21" s="31">
        <v>1070</v>
      </c>
      <c r="C21" s="31">
        <f>C20+B21</f>
        <v>2880</v>
      </c>
      <c r="D21" s="13">
        <f t="shared" si="0"/>
        <v>48</v>
      </c>
      <c r="E21" s="40">
        <v>10</v>
      </c>
      <c r="F21" s="51">
        <v>0.14699999999999999</v>
      </c>
      <c r="G21" s="51">
        <v>0.14599999999999999</v>
      </c>
      <c r="H21" s="51">
        <v>0.14699999999999999</v>
      </c>
      <c r="I21" s="52">
        <f t="shared" si="4"/>
        <v>2.2296933333333331</v>
      </c>
      <c r="J21" s="52">
        <f t="shared" si="5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4" sqref="A4:D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19" t="s">
        <v>4</v>
      </c>
      <c r="B1" s="119" t="s">
        <v>118</v>
      </c>
      <c r="C1" s="119" t="s">
        <v>118</v>
      </c>
      <c r="D1" s="119" t="s">
        <v>5</v>
      </c>
      <c r="E1" s="4" t="s">
        <v>29</v>
      </c>
      <c r="F1" s="4" t="s">
        <v>2</v>
      </c>
      <c r="G1" s="4" t="s">
        <v>32</v>
      </c>
    </row>
    <row r="2" spans="1:7">
      <c r="A2" s="120"/>
      <c r="B2" s="120"/>
      <c r="C2" s="120"/>
      <c r="D2" s="120"/>
      <c r="E2" s="5" t="s">
        <v>30</v>
      </c>
      <c r="F2" s="5" t="s">
        <v>31</v>
      </c>
      <c r="G2" s="5" t="s">
        <v>33</v>
      </c>
    </row>
    <row r="3" spans="1:7">
      <c r="A3" s="40" t="s">
        <v>6</v>
      </c>
      <c r="B3" s="31">
        <v>-10</v>
      </c>
      <c r="C3" s="31">
        <f>B3</f>
        <v>-10</v>
      </c>
      <c r="D3" s="13">
        <f>C3/60</f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40">
        <v>0</v>
      </c>
      <c r="B4" s="31">
        <v>10</v>
      </c>
      <c r="C4" s="31">
        <f>B4</f>
        <v>10</v>
      </c>
      <c r="D4" s="13">
        <f t="shared" ref="D4:D21" si="0">C4/60</f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40">
        <v>1</v>
      </c>
      <c r="B5" s="31">
        <v>110</v>
      </c>
      <c r="C5" s="31">
        <f>C4+B5</f>
        <v>120</v>
      </c>
      <c r="D5" s="13">
        <f t="shared" si="0"/>
        <v>2</v>
      </c>
      <c r="E5" s="1"/>
      <c r="F5" s="1"/>
      <c r="G5" s="1" t="e">
        <f>(F5-$C$23)/E5*1000*Calculation!I6/Calculation!K5</f>
        <v>#DIV/0!</v>
      </c>
    </row>
    <row r="6" spans="1:7">
      <c r="A6" s="40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40">
        <v>3</v>
      </c>
      <c r="B7" s="31">
        <v>80</v>
      </c>
      <c r="C7" s="31">
        <f>C6+B7</f>
        <v>280</v>
      </c>
      <c r="D7" s="13">
        <f t="shared" si="0"/>
        <v>4.666666666666667</v>
      </c>
      <c r="E7" s="1"/>
      <c r="F7" s="1"/>
      <c r="G7" s="1" t="e">
        <f>(F7-$C$23)/E7*1000*Calculation!I8/Calculation!K7</f>
        <v>#DIV/0!</v>
      </c>
    </row>
    <row r="8" spans="1:7">
      <c r="A8" s="40">
        <v>4</v>
      </c>
      <c r="B8" s="31">
        <v>80</v>
      </c>
      <c r="C8" s="31">
        <f t="shared" ref="C8:C18" si="1">C7+B8</f>
        <v>360</v>
      </c>
      <c r="D8" s="13">
        <f t="shared" si="0"/>
        <v>6</v>
      </c>
      <c r="E8" s="1"/>
      <c r="F8" s="1"/>
      <c r="G8" s="1" t="e">
        <f>(F8-$C$23)/E8*1000*Calculation!I9/Calculation!K8</f>
        <v>#DIV/0!</v>
      </c>
    </row>
    <row r="9" spans="1:7">
      <c r="A9" s="40">
        <v>5</v>
      </c>
      <c r="B9" s="31">
        <v>80</v>
      </c>
      <c r="C9" s="31">
        <f t="shared" si="1"/>
        <v>440</v>
      </c>
      <c r="D9" s="13">
        <f t="shared" si="0"/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40">
        <v>6</v>
      </c>
      <c r="B10" s="31">
        <v>80</v>
      </c>
      <c r="C10" s="31">
        <f t="shared" si="1"/>
        <v>520</v>
      </c>
      <c r="D10" s="13">
        <f t="shared" si="0"/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40">
        <v>7</v>
      </c>
      <c r="B11" s="31">
        <v>80</v>
      </c>
      <c r="C11" s="31">
        <f t="shared" si="1"/>
        <v>600</v>
      </c>
      <c r="D11" s="13">
        <f t="shared" si="0"/>
        <v>10</v>
      </c>
      <c r="E11" s="1"/>
      <c r="F11" s="1"/>
      <c r="G11" s="1" t="e">
        <f>(F11-$C$23)/E11*1000*Calculation!I12/Calculation!K11</f>
        <v>#DIV/0!</v>
      </c>
    </row>
    <row r="12" spans="1:7">
      <c r="A12" s="40">
        <v>8</v>
      </c>
      <c r="B12" s="31">
        <v>80</v>
      </c>
      <c r="C12" s="31">
        <f t="shared" si="1"/>
        <v>680</v>
      </c>
      <c r="D12" s="13">
        <f t="shared" si="0"/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40">
        <v>9</v>
      </c>
      <c r="B13" s="31">
        <v>80</v>
      </c>
      <c r="C13" s="31">
        <f t="shared" si="1"/>
        <v>760</v>
      </c>
      <c r="D13" s="13">
        <f t="shared" si="0"/>
        <v>12.666666666666666</v>
      </c>
      <c r="E13" s="37"/>
      <c r="F13" s="37"/>
      <c r="G13" s="37" t="e">
        <f>(F13-$C$23)/E13*1000*Calculation!I14/Calculation!K13</f>
        <v>#DIV/0!</v>
      </c>
    </row>
    <row r="14" spans="1:7">
      <c r="A14" s="40">
        <v>10</v>
      </c>
      <c r="B14" s="31">
        <v>80</v>
      </c>
      <c r="C14" s="31">
        <f t="shared" si="1"/>
        <v>840</v>
      </c>
      <c r="D14" s="13">
        <f t="shared" si="0"/>
        <v>14</v>
      </c>
      <c r="E14" s="37"/>
      <c r="F14" s="37"/>
      <c r="G14" s="37" t="e">
        <f>(F14-$C$23)/E14*1000*Calculation!I15/Calculation!K14</f>
        <v>#DIV/0!</v>
      </c>
    </row>
    <row r="15" spans="1:7">
      <c r="A15" s="40">
        <v>11</v>
      </c>
      <c r="B15" s="31">
        <v>80</v>
      </c>
      <c r="C15" s="31">
        <f t="shared" si="1"/>
        <v>920</v>
      </c>
      <c r="D15" s="13">
        <f t="shared" si="0"/>
        <v>15.333333333333334</v>
      </c>
      <c r="E15" s="37"/>
      <c r="F15" s="37"/>
      <c r="G15" s="37" t="e">
        <f>(F15-$C$23)/E15*1000*Calculation!I16/Calculation!K15</f>
        <v>#DIV/0!</v>
      </c>
    </row>
    <row r="16" spans="1:7">
      <c r="A16" s="40">
        <v>12</v>
      </c>
      <c r="B16" s="31">
        <v>80</v>
      </c>
      <c r="C16" s="31">
        <f t="shared" si="1"/>
        <v>1000</v>
      </c>
      <c r="D16" s="13">
        <f t="shared" si="0"/>
        <v>16.666666666666668</v>
      </c>
      <c r="E16" s="37"/>
      <c r="F16" s="37"/>
      <c r="G16" s="37" t="e">
        <f>(F16-$C$23)/E16*1000*Calculation!I17/Calculation!K16</f>
        <v>#DIV/0!</v>
      </c>
    </row>
    <row r="17" spans="1:7" ht="15" customHeight="1">
      <c r="A17" s="40">
        <v>13</v>
      </c>
      <c r="B17" s="31">
        <v>80</v>
      </c>
      <c r="C17" s="31">
        <f t="shared" si="1"/>
        <v>1080</v>
      </c>
      <c r="D17" s="13">
        <f t="shared" si="0"/>
        <v>18</v>
      </c>
      <c r="E17" s="37"/>
      <c r="F17" s="37"/>
      <c r="G17" s="37" t="e">
        <f>(F17-$C$23)/E17*1000*Calculation!I18/Calculation!K17</f>
        <v>#DIV/0!</v>
      </c>
    </row>
    <row r="18" spans="1:7">
      <c r="A18" s="40">
        <v>14</v>
      </c>
      <c r="B18" s="31">
        <v>80</v>
      </c>
      <c r="C18" s="31">
        <f t="shared" si="1"/>
        <v>1160</v>
      </c>
      <c r="D18" s="13">
        <f t="shared" si="0"/>
        <v>19.333333333333332</v>
      </c>
      <c r="E18" s="37"/>
      <c r="F18" s="37"/>
      <c r="G18" s="37" t="e">
        <f>(F18-$C$23)/E18*1000*Calculation!I19/Calculation!K18</f>
        <v>#DIV/0!</v>
      </c>
    </row>
    <row r="19" spans="1:7">
      <c r="A19" s="40">
        <v>15</v>
      </c>
      <c r="B19" s="31">
        <v>300</v>
      </c>
      <c r="C19" s="31">
        <f>C18+B19</f>
        <v>1460</v>
      </c>
      <c r="D19" s="13">
        <f t="shared" si="0"/>
        <v>24.333333333333332</v>
      </c>
      <c r="E19" s="40"/>
      <c r="F19" s="40"/>
      <c r="G19" s="40" t="e">
        <f>(F19-$C$23)/E19*1000*Calculation!I22/Calculation!K19</f>
        <v>#DIV/0!</v>
      </c>
    </row>
    <row r="20" spans="1:7">
      <c r="A20" s="40">
        <v>16</v>
      </c>
      <c r="B20" s="31">
        <v>350</v>
      </c>
      <c r="C20" s="31">
        <f>C19+B20</f>
        <v>1810</v>
      </c>
      <c r="D20" s="13">
        <f t="shared" si="0"/>
        <v>30.166666666666668</v>
      </c>
      <c r="E20" s="40"/>
      <c r="F20" s="40"/>
      <c r="G20" s="40" t="e">
        <f>(F20-$C$23)/E20*1000*Calculation!I23/Calculation!K20</f>
        <v>#DIV/0!</v>
      </c>
    </row>
    <row r="21" spans="1:7">
      <c r="A21" s="40">
        <v>17</v>
      </c>
      <c r="B21" s="31">
        <v>1070</v>
      </c>
      <c r="C21" s="31">
        <f>C20+B21</f>
        <v>2880</v>
      </c>
      <c r="D21" s="13">
        <f t="shared" si="0"/>
        <v>48</v>
      </c>
      <c r="E21" s="40"/>
      <c r="F21" s="40"/>
      <c r="G21" s="40" t="e">
        <f>(F21-$C$23)/E21*1000*Calculation!I24/Calculation!K21</f>
        <v>#DIV/0!</v>
      </c>
    </row>
    <row r="23" spans="1:7">
      <c r="A23" s="137" t="s">
        <v>3</v>
      </c>
      <c r="B23" s="138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71" workbookViewId="0">
      <selection activeCell="B5" sqref="B5:B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70.099999999999994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18" t="s">
        <v>5</v>
      </c>
      <c r="B3" s="118" t="s">
        <v>36</v>
      </c>
      <c r="C3" s="118"/>
      <c r="D3" s="118" t="s">
        <v>52</v>
      </c>
      <c r="E3" s="118"/>
      <c r="F3" s="118"/>
      <c r="G3" s="23" t="s">
        <v>53</v>
      </c>
    </row>
    <row r="4" spans="1:10">
      <c r="A4" s="118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40">
        <v>92.17</v>
      </c>
      <c r="C5" s="12">
        <f>B5/1000</f>
        <v>9.2170000000000002E-2</v>
      </c>
      <c r="D5" s="12">
        <f>C5/1000*$B$1</f>
        <v>6.4611169999999997E-3</v>
      </c>
      <c r="E5" s="12">
        <f>D5/22.4</f>
        <v>2.8844272321428574E-4</v>
      </c>
      <c r="F5" s="12">
        <f>E5/Calculation!K$4*1000</f>
        <v>1.9568705781159142E-4</v>
      </c>
      <c r="G5" s="12">
        <f>(0+F5)/2*30</f>
        <v>2.9353058671738714E-3</v>
      </c>
      <c r="I5" s="72">
        <v>-0.16666666666666666</v>
      </c>
      <c r="J5" t="s">
        <v>154</v>
      </c>
    </row>
    <row r="6" spans="1:10">
      <c r="A6" s="12">
        <v>0.5</v>
      </c>
      <c r="B6" s="40">
        <v>65.84</v>
      </c>
      <c r="C6" s="12">
        <f t="shared" ref="C6:C69" si="0">B6/1000</f>
        <v>6.584000000000001E-2</v>
      </c>
      <c r="D6" s="12">
        <f>C6/1000*$B$1</f>
        <v>4.6153840000000002E-3</v>
      </c>
      <c r="E6" s="12">
        <f>D6/22.4</f>
        <v>2.0604392857142859E-4</v>
      </c>
      <c r="F6" s="12">
        <f>E6/Calculation!K$4*1000</f>
        <v>1.3978556890870323E-4</v>
      </c>
      <c r="G6" s="12">
        <f>G5+(F6+F5)/2*30</f>
        <v>7.967395267978291E-3</v>
      </c>
      <c r="I6" s="72">
        <v>0.16666666666666666</v>
      </c>
      <c r="J6" t="s">
        <v>155</v>
      </c>
    </row>
    <row r="7" spans="1:10">
      <c r="A7" s="12">
        <v>1</v>
      </c>
      <c r="B7" s="40">
        <v>71.69</v>
      </c>
      <c r="C7" s="12">
        <f t="shared" si="0"/>
        <v>7.1690000000000004E-2</v>
      </c>
      <c r="D7" s="12">
        <f t="shared" ref="D7:D69" si="1">C7/1000*$B$1</f>
        <v>5.0254689999999994E-3</v>
      </c>
      <c r="E7" s="12">
        <f t="shared" ref="E7:E69" si="2">D7/22.4</f>
        <v>2.2435129464285714E-4</v>
      </c>
      <c r="F7" s="12">
        <f>E7/Calculation!K$4*1000</f>
        <v>1.5220576298701299E-4</v>
      </c>
      <c r="G7" s="12">
        <f t="shared" ref="G7:G70" si="3">G6+(F7+F6)/2*30</f>
        <v>1.2347265246414035E-2</v>
      </c>
      <c r="I7" s="72">
        <v>2</v>
      </c>
      <c r="J7" t="s">
        <v>156</v>
      </c>
    </row>
    <row r="8" spans="1:10">
      <c r="A8" s="12">
        <v>1.5</v>
      </c>
      <c r="B8" s="40">
        <v>0</v>
      </c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1.4630351691219229E-2</v>
      </c>
      <c r="I8" s="72">
        <v>3.3333333333333335</v>
      </c>
      <c r="J8" t="s">
        <v>157</v>
      </c>
    </row>
    <row r="9" spans="1:10">
      <c r="A9" s="12">
        <v>2</v>
      </c>
      <c r="B9" s="40">
        <v>2.93</v>
      </c>
      <c r="C9" s="12">
        <f t="shared" si="0"/>
        <v>2.9300000000000003E-3</v>
      </c>
      <c r="D9" s="12">
        <f t="shared" si="1"/>
        <v>2.05393E-4</v>
      </c>
      <c r="E9" s="12">
        <f t="shared" si="2"/>
        <v>9.1693303571428575E-6</v>
      </c>
      <c r="F9" s="12">
        <f>E9/Calculation!K$4*1000</f>
        <v>6.2207125896491578E-6</v>
      </c>
      <c r="G9" s="12">
        <f t="shared" si="3"/>
        <v>1.4723662380063967E-2</v>
      </c>
      <c r="I9" s="72">
        <v>4.666666666666667</v>
      </c>
      <c r="J9" t="s">
        <v>158</v>
      </c>
    </row>
    <row r="10" spans="1:10">
      <c r="A10" s="12">
        <v>2.5</v>
      </c>
      <c r="B10" s="40">
        <v>0</v>
      </c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1.4816973068908704E-2</v>
      </c>
      <c r="I10" s="72">
        <v>6</v>
      </c>
      <c r="J10" t="s">
        <v>159</v>
      </c>
    </row>
    <row r="11" spans="1:10">
      <c r="A11" s="12">
        <v>3</v>
      </c>
      <c r="B11" s="40">
        <v>73.150000000000006</v>
      </c>
      <c r="C11" s="12">
        <f t="shared" si="0"/>
        <v>7.3150000000000007E-2</v>
      </c>
      <c r="D11" s="12">
        <f t="shared" si="1"/>
        <v>5.127815E-3</v>
      </c>
      <c r="E11" s="12">
        <f t="shared" si="2"/>
        <v>2.2892031250000002E-4</v>
      </c>
      <c r="F11" s="12">
        <f>E11/Calculation!K$5*1000</f>
        <v>1.6075864641853935E-4</v>
      </c>
      <c r="G11" s="12">
        <f t="shared" si="3"/>
        <v>1.7228352765186795E-2</v>
      </c>
      <c r="I11" s="72">
        <v>7.333333333333333</v>
      </c>
      <c r="J11" t="s">
        <v>160</v>
      </c>
    </row>
    <row r="12" spans="1:10">
      <c r="A12" s="12">
        <v>3.5</v>
      </c>
      <c r="B12" s="40">
        <v>14.63</v>
      </c>
      <c r="C12" s="12">
        <f t="shared" si="0"/>
        <v>1.4630000000000001E-2</v>
      </c>
      <c r="D12" s="12">
        <f t="shared" si="1"/>
        <v>1.025563E-3</v>
      </c>
      <c r="E12" s="12">
        <f t="shared" si="2"/>
        <v>4.5784062500000002E-5</v>
      </c>
      <c r="F12" s="12">
        <f>E12/Calculation!K$6*1000</f>
        <v>3.3346003277494543E-5</v>
      </c>
      <c r="G12" s="12">
        <f t="shared" si="3"/>
        <v>2.0139922510627302E-2</v>
      </c>
      <c r="I12" s="72">
        <v>8.6666666666666661</v>
      </c>
      <c r="J12" t="s">
        <v>161</v>
      </c>
    </row>
    <row r="13" spans="1:10">
      <c r="A13" s="12">
        <v>4</v>
      </c>
      <c r="B13" s="40">
        <v>46.82</v>
      </c>
      <c r="C13" s="12">
        <f t="shared" si="0"/>
        <v>4.6820000000000001E-2</v>
      </c>
      <c r="D13" s="12">
        <f t="shared" si="1"/>
        <v>3.282082E-3</v>
      </c>
      <c r="E13" s="12">
        <f t="shared" si="2"/>
        <v>1.4652151785714287E-4</v>
      </c>
      <c r="F13" s="12">
        <f>E13/Calculation!K$6*1000</f>
        <v>1.0671632764540632E-4</v>
      </c>
      <c r="G13" s="12">
        <f t="shared" si="3"/>
        <v>2.2240857474470816E-2</v>
      </c>
      <c r="I13" s="72">
        <v>10</v>
      </c>
      <c r="J13" t="s">
        <v>162</v>
      </c>
    </row>
    <row r="14" spans="1:10">
      <c r="A14" s="12">
        <v>4.5</v>
      </c>
      <c r="B14" s="40">
        <v>141.91</v>
      </c>
      <c r="C14" s="12">
        <f t="shared" si="0"/>
        <v>0.14191000000000001</v>
      </c>
      <c r="D14" s="12">
        <f t="shared" si="1"/>
        <v>9.9478909999999986E-3</v>
      </c>
      <c r="E14" s="12">
        <f t="shared" si="2"/>
        <v>4.4410227678571423E-4</v>
      </c>
      <c r="F14" s="12">
        <f>E14/Calculation!K$6*1000</f>
        <v>3.2345395250234102E-4</v>
      </c>
      <c r="G14" s="12">
        <f t="shared" si="3"/>
        <v>2.8693411676687028E-2</v>
      </c>
      <c r="I14" s="72">
        <v>11.333333333333334</v>
      </c>
      <c r="J14" t="s">
        <v>163</v>
      </c>
    </row>
    <row r="15" spans="1:10">
      <c r="A15" s="12">
        <v>5</v>
      </c>
      <c r="B15" s="40">
        <v>24.87</v>
      </c>
      <c r="C15" s="12">
        <f t="shared" si="0"/>
        <v>2.487E-2</v>
      </c>
      <c r="D15" s="12">
        <f t="shared" si="1"/>
        <v>1.7433869999999999E-3</v>
      </c>
      <c r="E15" s="12">
        <f t="shared" si="2"/>
        <v>7.7829776785714287E-5</v>
      </c>
      <c r="F15" s="12">
        <f>E15/Calculation!K$7*1000</f>
        <v>5.8782236009054084E-5</v>
      </c>
      <c r="G15" s="12">
        <f t="shared" si="3"/>
        <v>3.4426954504357954E-2</v>
      </c>
      <c r="I15" s="72">
        <v>12.666666666666666</v>
      </c>
      <c r="J15" t="s">
        <v>164</v>
      </c>
    </row>
    <row r="16" spans="1:10">
      <c r="A16" s="12">
        <v>5.5</v>
      </c>
      <c r="B16" s="40">
        <v>155.08000000000001</v>
      </c>
      <c r="C16" s="12">
        <f t="shared" si="0"/>
        <v>0.15508000000000002</v>
      </c>
      <c r="D16" s="12">
        <f t="shared" si="1"/>
        <v>1.0871108000000001E-2</v>
      </c>
      <c r="E16" s="12">
        <f t="shared" si="2"/>
        <v>4.8531732142857151E-4</v>
      </c>
      <c r="F16" s="12">
        <f>E16/Calculation!K$7*1000</f>
        <v>3.6654399518633329E-4</v>
      </c>
      <c r="G16" s="12">
        <f t="shared" si="3"/>
        <v>4.0806847972288764E-2</v>
      </c>
      <c r="I16" s="72">
        <v>14</v>
      </c>
      <c r="J16" t="s">
        <v>165</v>
      </c>
    </row>
    <row r="17" spans="1:10">
      <c r="A17" s="12">
        <v>6</v>
      </c>
      <c r="B17" s="40">
        <v>26.33</v>
      </c>
      <c r="C17" s="12">
        <f t="shared" si="0"/>
        <v>2.6329999999999999E-2</v>
      </c>
      <c r="D17" s="12">
        <f t="shared" si="1"/>
        <v>1.8457329999999998E-3</v>
      </c>
      <c r="E17" s="12">
        <f t="shared" si="2"/>
        <v>8.2398794642857137E-5</v>
      </c>
      <c r="F17" s="12">
        <f>E17/Calculation!K$8*1000</f>
        <v>6.4775183292693796E-5</v>
      </c>
      <c r="G17" s="12">
        <f t="shared" si="3"/>
        <v>4.7276635649474166E-2</v>
      </c>
      <c r="I17" s="72">
        <v>15.333333333333334</v>
      </c>
      <c r="J17" t="s">
        <v>166</v>
      </c>
    </row>
    <row r="18" spans="1:10">
      <c r="A18" s="12">
        <v>6.5</v>
      </c>
      <c r="B18" s="40">
        <v>58.52</v>
      </c>
      <c r="C18" s="12">
        <f t="shared" si="0"/>
        <v>5.8520000000000003E-2</v>
      </c>
      <c r="D18" s="12">
        <f t="shared" si="1"/>
        <v>4.1022519999999998E-3</v>
      </c>
      <c r="E18" s="12">
        <f t="shared" si="2"/>
        <v>1.8313625000000001E-4</v>
      </c>
      <c r="F18" s="12">
        <f>E18/Calculation!K$8*1000</f>
        <v>1.4396671957039276E-4</v>
      </c>
      <c r="G18" s="12">
        <f t="shared" si="3"/>
        <v>5.0407764192420462E-2</v>
      </c>
      <c r="I18" s="72">
        <v>16.666666666666668</v>
      </c>
      <c r="J18" t="s">
        <v>167</v>
      </c>
    </row>
    <row r="19" spans="1:10">
      <c r="A19" s="12">
        <v>7</v>
      </c>
      <c r="B19" s="40">
        <v>39.5</v>
      </c>
      <c r="C19" s="12">
        <f t="shared" si="0"/>
        <v>3.95E-2</v>
      </c>
      <c r="D19" s="12">
        <f t="shared" si="1"/>
        <v>2.7689499999999996E-3</v>
      </c>
      <c r="E19" s="12">
        <f t="shared" si="2"/>
        <v>1.2361383928571429E-4</v>
      </c>
      <c r="F19" s="12">
        <f>E19/Calculation!K$8*1000</f>
        <v>9.7175075581519373E-5</v>
      </c>
      <c r="G19" s="12">
        <f t="shared" si="3"/>
        <v>5.4024891119699145E-2</v>
      </c>
      <c r="I19" s="72">
        <v>18</v>
      </c>
      <c r="J19" t="s">
        <v>168</v>
      </c>
    </row>
    <row r="20" spans="1:10">
      <c r="A20" s="12">
        <v>7.5</v>
      </c>
      <c r="B20" s="40">
        <v>61.45</v>
      </c>
      <c r="C20" s="12">
        <f t="shared" si="0"/>
        <v>6.1450000000000005E-2</v>
      </c>
      <c r="D20" s="12">
        <f t="shared" si="1"/>
        <v>4.3076449999999997E-3</v>
      </c>
      <c r="E20" s="12">
        <f t="shared" si="2"/>
        <v>1.9230558035714286E-4</v>
      </c>
      <c r="F20" s="12">
        <f>E20/Calculation!K$9*1000</f>
        <v>1.5748415931920277E-4</v>
      </c>
      <c r="G20" s="12">
        <f t="shared" si="3"/>
        <v>5.7844779643209977E-2</v>
      </c>
      <c r="I20" s="72">
        <v>19.333333333333332</v>
      </c>
      <c r="J20" t="s">
        <v>169</v>
      </c>
    </row>
    <row r="21" spans="1:10">
      <c r="A21" s="12">
        <v>8</v>
      </c>
      <c r="B21" s="40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6.0207042032998016E-2</v>
      </c>
      <c r="I21" s="72">
        <v>24</v>
      </c>
      <c r="J21" t="s">
        <v>170</v>
      </c>
    </row>
    <row r="22" spans="1:10">
      <c r="A22" s="12">
        <v>8.5</v>
      </c>
      <c r="B22" s="40">
        <v>59.98</v>
      </c>
      <c r="C22" s="12">
        <f t="shared" si="0"/>
        <v>5.9979999999999999E-2</v>
      </c>
      <c r="D22" s="12">
        <f t="shared" si="1"/>
        <v>4.2045979999999995E-3</v>
      </c>
      <c r="E22" s="12">
        <f t="shared" si="2"/>
        <v>1.8770526785714286E-4</v>
      </c>
      <c r="F22" s="12">
        <f>E22/Calculation!K$9*1000</f>
        <v>1.5371684094329994E-4</v>
      </c>
      <c r="G22" s="12">
        <f t="shared" si="3"/>
        <v>6.2512794647147513E-2</v>
      </c>
      <c r="I22" s="72">
        <v>30</v>
      </c>
      <c r="J22" t="s">
        <v>171</v>
      </c>
    </row>
    <row r="23" spans="1:10">
      <c r="A23" s="12">
        <v>9</v>
      </c>
      <c r="B23" s="40">
        <v>29.26</v>
      </c>
      <c r="C23" s="12">
        <f t="shared" si="0"/>
        <v>2.9260000000000001E-2</v>
      </c>
      <c r="D23" s="12">
        <f t="shared" si="1"/>
        <v>2.0511259999999999E-3</v>
      </c>
      <c r="E23" s="12">
        <f t="shared" si="2"/>
        <v>9.1568125000000003E-5</v>
      </c>
      <c r="F23" s="12">
        <f>E23/Calculation!K$10*1000</f>
        <v>7.8253473105512378E-5</v>
      </c>
      <c r="G23" s="12">
        <f t="shared" si="3"/>
        <v>6.5992349357879704E-2</v>
      </c>
      <c r="I23" s="72">
        <v>48</v>
      </c>
      <c r="J23" t="s">
        <v>172</v>
      </c>
    </row>
    <row r="24" spans="1:10">
      <c r="A24" s="12">
        <v>9.5</v>
      </c>
      <c r="B24" s="40">
        <v>1.46</v>
      </c>
      <c r="C24" s="12">
        <f t="shared" si="0"/>
        <v>1.4599999999999999E-3</v>
      </c>
      <c r="D24" s="12">
        <f t="shared" si="1"/>
        <v>1.0234599999999999E-4</v>
      </c>
      <c r="E24" s="12">
        <f t="shared" si="2"/>
        <v>4.5690178571428569E-6</v>
      </c>
      <c r="F24" s="12">
        <f>E24/Calculation!K$10*1000</f>
        <v>3.9046504010269331E-6</v>
      </c>
      <c r="G24" s="12">
        <f t="shared" si="3"/>
        <v>6.7224721210477789E-2</v>
      </c>
    </row>
    <row r="25" spans="1:10">
      <c r="A25" s="12">
        <v>10</v>
      </c>
      <c r="B25" s="40">
        <v>13.17</v>
      </c>
      <c r="C25" s="12">
        <f t="shared" si="0"/>
        <v>1.3169999999999999E-2</v>
      </c>
      <c r="D25" s="12">
        <f t="shared" si="1"/>
        <v>9.2321699999999983E-4</v>
      </c>
      <c r="E25" s="12">
        <f t="shared" si="2"/>
        <v>4.1215044642857137E-5</v>
      </c>
      <c r="F25" s="12">
        <f>E25/Calculation!K$11*1000</f>
        <v>3.68903350936789E-5</v>
      </c>
      <c r="G25" s="12">
        <f t="shared" si="3"/>
        <v>6.7836645992898376E-2</v>
      </c>
    </row>
    <row r="26" spans="1:10">
      <c r="A26" s="12">
        <v>10.5</v>
      </c>
      <c r="B26" s="40">
        <v>42.43</v>
      </c>
      <c r="C26" s="12">
        <f t="shared" si="0"/>
        <v>4.2430000000000002E-2</v>
      </c>
      <c r="D26" s="12">
        <f t="shared" si="1"/>
        <v>2.974343E-3</v>
      </c>
      <c r="E26" s="12">
        <f t="shared" si="2"/>
        <v>1.3278316964285714E-4</v>
      </c>
      <c r="F26" s="12">
        <f>E26/Calculation!K$11*1000</f>
        <v>1.1885018360097159E-4</v>
      </c>
      <c r="G26" s="12">
        <f t="shared" si="3"/>
        <v>7.0172753773318136E-2</v>
      </c>
    </row>
    <row r="27" spans="1:10">
      <c r="A27" s="12">
        <v>11</v>
      </c>
      <c r="B27" s="40">
        <v>58.52</v>
      </c>
      <c r="C27" s="12">
        <f t="shared" si="0"/>
        <v>5.8520000000000003E-2</v>
      </c>
      <c r="D27" s="12">
        <f t="shared" si="1"/>
        <v>4.1022519999999998E-3</v>
      </c>
      <c r="E27" s="12">
        <f t="shared" si="2"/>
        <v>1.8313625000000001E-4</v>
      </c>
      <c r="F27" s="12">
        <f>E27/Calculation!K$11*1000</f>
        <v>1.6391969701458537E-4</v>
      </c>
      <c r="G27" s="12">
        <f t="shared" si="3"/>
        <v>7.4414301982551487E-2</v>
      </c>
    </row>
    <row r="28" spans="1:10">
      <c r="A28" s="12">
        <v>11.5</v>
      </c>
      <c r="B28" s="40">
        <v>74.61</v>
      </c>
      <c r="C28" s="12">
        <f t="shared" si="0"/>
        <v>7.4609999999999996E-2</v>
      </c>
      <c r="D28" s="12">
        <f t="shared" si="1"/>
        <v>5.2301609999999988E-3</v>
      </c>
      <c r="E28" s="12">
        <f t="shared" si="2"/>
        <v>2.3348933035714282E-4</v>
      </c>
      <c r="F28" s="12">
        <f>E28/Calculation!K$12*1000</f>
        <v>2.1917425161120416E-4</v>
      </c>
      <c r="G28" s="12">
        <f t="shared" si="3"/>
        <v>8.0160711211938324E-2</v>
      </c>
    </row>
    <row r="29" spans="1:10">
      <c r="A29" s="12">
        <v>12</v>
      </c>
      <c r="B29" s="40">
        <v>8.7799999999999994</v>
      </c>
      <c r="C29" s="12">
        <f t="shared" si="0"/>
        <v>8.7799999999999996E-3</v>
      </c>
      <c r="D29" s="12">
        <f t="shared" si="1"/>
        <v>6.1547799999999992E-4</v>
      </c>
      <c r="E29" s="12">
        <f t="shared" si="2"/>
        <v>2.7476696428571427E-5</v>
      </c>
      <c r="F29" s="12">
        <f>E29/Calculation!K$12*1000</f>
        <v>2.5792118069245044E-5</v>
      </c>
      <c r="G29" s="12">
        <f t="shared" si="3"/>
        <v>8.3835206757145064E-2</v>
      </c>
    </row>
    <row r="30" spans="1:10">
      <c r="A30" s="12">
        <v>12.5</v>
      </c>
      <c r="B30" s="40">
        <v>0</v>
      </c>
      <c r="C30" s="12">
        <f t="shared" si="0"/>
        <v>0</v>
      </c>
      <c r="D30" s="12">
        <f t="shared" si="1"/>
        <v>0</v>
      </c>
      <c r="E30" s="12">
        <f t="shared" si="2"/>
        <v>0</v>
      </c>
      <c r="F30" s="12">
        <f>E30/Calculation!K$12*1000</f>
        <v>0</v>
      </c>
      <c r="G30" s="12">
        <f t="shared" si="3"/>
        <v>8.4222088528183733E-2</v>
      </c>
    </row>
    <row r="31" spans="1:10">
      <c r="A31" s="12">
        <v>13</v>
      </c>
      <c r="B31" s="40">
        <v>2.93</v>
      </c>
      <c r="C31" s="12">
        <f t="shared" si="0"/>
        <v>2.9300000000000003E-3</v>
      </c>
      <c r="D31" s="12">
        <f t="shared" si="1"/>
        <v>2.05393E-4</v>
      </c>
      <c r="E31" s="12">
        <f t="shared" si="2"/>
        <v>9.1693303571428575E-6</v>
      </c>
      <c r="F31" s="12">
        <f>E31/Calculation!K$13*1000</f>
        <v>9.0566028419947219E-6</v>
      </c>
      <c r="G31" s="12">
        <f t="shared" si="3"/>
        <v>8.4357937570813654E-2</v>
      </c>
    </row>
    <row r="32" spans="1:10">
      <c r="A32" s="12">
        <v>13.5</v>
      </c>
      <c r="B32" s="40">
        <v>61.45</v>
      </c>
      <c r="C32" s="12">
        <f t="shared" si="0"/>
        <v>6.1450000000000005E-2</v>
      </c>
      <c r="D32" s="12">
        <f t="shared" si="1"/>
        <v>4.3076449999999997E-3</v>
      </c>
      <c r="E32" s="12">
        <f t="shared" si="2"/>
        <v>1.9230558035714286E-4</v>
      </c>
      <c r="F32" s="12">
        <f>E32/Calculation!K$13*1000</f>
        <v>1.8994138042340467E-4</v>
      </c>
      <c r="G32" s="12">
        <f t="shared" si="3"/>
        <v>8.7342907319794647E-2</v>
      </c>
    </row>
    <row r="33" spans="1:7">
      <c r="A33" s="12">
        <v>14</v>
      </c>
      <c r="B33" s="40">
        <v>92.17</v>
      </c>
      <c r="C33" s="12">
        <f t="shared" si="0"/>
        <v>9.2170000000000002E-2</v>
      </c>
      <c r="D33" s="12">
        <f t="shared" si="1"/>
        <v>6.4611169999999997E-3</v>
      </c>
      <c r="E33" s="12">
        <f t="shared" si="2"/>
        <v>2.8844272321428574E-4</v>
      </c>
      <c r="F33" s="12">
        <f>E33/Calculation!K$14*1000</f>
        <v>2.9961234996251843E-4</v>
      </c>
      <c r="G33" s="12">
        <f t="shared" si="3"/>
        <v>9.4686213275583492E-2</v>
      </c>
    </row>
    <row r="34" spans="1:7">
      <c r="A34" s="12">
        <v>14.5</v>
      </c>
      <c r="B34" s="40">
        <v>1.46</v>
      </c>
      <c r="C34" s="12">
        <f t="shared" si="0"/>
        <v>1.4599999999999999E-3</v>
      </c>
      <c r="D34" s="12">
        <f t="shared" si="1"/>
        <v>1.0234599999999999E-4</v>
      </c>
      <c r="E34" s="12">
        <f t="shared" si="2"/>
        <v>4.5690178571428569E-6</v>
      </c>
      <c r="F34" s="12">
        <f>E34/Calculation!K$14*1000</f>
        <v>4.7459480410684265E-6</v>
      </c>
      <c r="G34" s="12">
        <f t="shared" si="3"/>
        <v>9.925158774563729E-2</v>
      </c>
    </row>
    <row r="35" spans="1:7">
      <c r="A35" s="12">
        <v>15</v>
      </c>
      <c r="B35" s="40">
        <v>58.52</v>
      </c>
      <c r="C35" s="12">
        <f t="shared" si="0"/>
        <v>5.8520000000000003E-2</v>
      </c>
      <c r="D35" s="12">
        <f t="shared" si="1"/>
        <v>4.1022519999999998E-3</v>
      </c>
      <c r="E35" s="12">
        <f t="shared" si="2"/>
        <v>1.8313625000000001E-4</v>
      </c>
      <c r="F35" s="12">
        <f>E35/Calculation!K$14*1000</f>
        <v>1.9022799956392079E-4</v>
      </c>
      <c r="G35" s="12">
        <f t="shared" si="3"/>
        <v>0.10217619695971213</v>
      </c>
    </row>
    <row r="36" spans="1:7">
      <c r="A36" s="12">
        <v>15.5</v>
      </c>
      <c r="B36" s="40">
        <v>24.87</v>
      </c>
      <c r="C36" s="12">
        <f t="shared" si="0"/>
        <v>2.487E-2</v>
      </c>
      <c r="D36" s="12">
        <f t="shared" si="1"/>
        <v>1.7433869999999999E-3</v>
      </c>
      <c r="E36" s="12">
        <f t="shared" si="2"/>
        <v>7.7829776785714287E-5</v>
      </c>
      <c r="F36" s="12">
        <f>E36/Calculation!K$15*1000</f>
        <v>8.6931543011659765E-5</v>
      </c>
      <c r="G36" s="12">
        <f t="shared" si="3"/>
        <v>0.10633359009834584</v>
      </c>
    </row>
    <row r="37" spans="1:7">
      <c r="A37" s="12">
        <v>16</v>
      </c>
      <c r="B37" s="40">
        <v>5.85</v>
      </c>
      <c r="C37" s="12">
        <f t="shared" si="0"/>
        <v>5.8499999999999993E-3</v>
      </c>
      <c r="D37" s="12">
        <f t="shared" si="1"/>
        <v>4.1008499999999992E-4</v>
      </c>
      <c r="E37" s="12">
        <f t="shared" si="2"/>
        <v>1.8307366071428568E-5</v>
      </c>
      <c r="F37" s="12">
        <f>E37/Calculation!K$15*1000</f>
        <v>2.0448312288629253E-5</v>
      </c>
      <c r="G37" s="12">
        <f t="shared" si="3"/>
        <v>0.10794428792785017</v>
      </c>
    </row>
    <row r="38" spans="1:7">
      <c r="A38" s="12">
        <v>16.5</v>
      </c>
      <c r="B38" s="40">
        <v>1.46</v>
      </c>
      <c r="C38" s="12">
        <f t="shared" si="0"/>
        <v>1.4599999999999999E-3</v>
      </c>
      <c r="D38" s="12">
        <f t="shared" si="1"/>
        <v>1.0234599999999999E-4</v>
      </c>
      <c r="E38" s="12">
        <f t="shared" si="2"/>
        <v>4.5690178571428569E-6</v>
      </c>
      <c r="F38" s="12">
        <f>E38/Calculation!K$15*1000</f>
        <v>5.1033394771621728E-6</v>
      </c>
      <c r="G38" s="12">
        <f t="shared" si="3"/>
        <v>0.10832756270433705</v>
      </c>
    </row>
    <row r="39" spans="1:7">
      <c r="A39" s="12">
        <v>17</v>
      </c>
      <c r="B39" s="40">
        <v>2.93</v>
      </c>
      <c r="C39" s="12">
        <f t="shared" si="0"/>
        <v>2.9300000000000003E-3</v>
      </c>
      <c r="D39" s="12">
        <f t="shared" si="1"/>
        <v>2.05393E-4</v>
      </c>
      <c r="E39" s="12">
        <f t="shared" si="2"/>
        <v>9.1693303571428575E-6</v>
      </c>
      <c r="F39" s="12">
        <f>E39/Calculation!K$16*1000</f>
        <v>1.0813924836105416E-5</v>
      </c>
      <c r="G39" s="12">
        <f t="shared" si="3"/>
        <v>0.10856632166903607</v>
      </c>
    </row>
    <row r="40" spans="1:7">
      <c r="A40" s="12">
        <v>17.5</v>
      </c>
      <c r="B40" s="40">
        <v>0</v>
      </c>
      <c r="C40" s="12">
        <f t="shared" si="0"/>
        <v>0</v>
      </c>
      <c r="D40" s="12">
        <f t="shared" si="1"/>
        <v>0</v>
      </c>
      <c r="E40" s="12">
        <f t="shared" si="2"/>
        <v>0</v>
      </c>
      <c r="F40" s="12">
        <f>E40/Calculation!K$16*1000</f>
        <v>0</v>
      </c>
      <c r="G40" s="12">
        <f t="shared" si="3"/>
        <v>0.10872853054157765</v>
      </c>
    </row>
    <row r="41" spans="1:7">
      <c r="A41" s="12">
        <v>18</v>
      </c>
      <c r="B41" s="40">
        <v>13.17</v>
      </c>
      <c r="C41" s="12">
        <f t="shared" si="0"/>
        <v>1.3169999999999999E-2</v>
      </c>
      <c r="D41" s="12">
        <f t="shared" si="1"/>
        <v>9.2321699999999983E-4</v>
      </c>
      <c r="E41" s="12">
        <f t="shared" si="2"/>
        <v>4.1215044642857137E-5</v>
      </c>
      <c r="F41" s="12">
        <f>E41/Calculation!K$17*1000</f>
        <v>5.1031752094272562E-5</v>
      </c>
      <c r="G41" s="12">
        <f t="shared" si="3"/>
        <v>0.10949400682299174</v>
      </c>
    </row>
    <row r="42" spans="1:7">
      <c r="A42" s="12">
        <v>18.5</v>
      </c>
      <c r="B42" s="40">
        <v>0</v>
      </c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E42/Calculation!K$17*1000</f>
        <v>0</v>
      </c>
      <c r="G42" s="12">
        <f t="shared" si="3"/>
        <v>0.11025948310440582</v>
      </c>
    </row>
    <row r="43" spans="1:7">
      <c r="A43" s="12">
        <v>19</v>
      </c>
      <c r="B43" s="40">
        <v>0</v>
      </c>
      <c r="C43" s="12">
        <f t="shared" si="0"/>
        <v>0</v>
      </c>
      <c r="D43" s="12">
        <f t="shared" si="1"/>
        <v>0</v>
      </c>
      <c r="E43" s="12">
        <f t="shared" si="2"/>
        <v>0</v>
      </c>
      <c r="F43" s="12">
        <f>E43/Calculation!K$17*1000</f>
        <v>0</v>
      </c>
      <c r="G43" s="12">
        <f t="shared" si="3"/>
        <v>0.11025948310440582</v>
      </c>
    </row>
    <row r="44" spans="1:7">
      <c r="A44" s="12">
        <v>19.5</v>
      </c>
      <c r="B44" s="40">
        <v>4.3899999999999997</v>
      </c>
      <c r="C44" s="12">
        <f t="shared" si="0"/>
        <v>4.3899999999999998E-3</v>
      </c>
      <c r="D44" s="12">
        <f t="shared" si="1"/>
        <v>3.0773899999999996E-4</v>
      </c>
      <c r="E44" s="12">
        <f t="shared" si="2"/>
        <v>1.3738348214285714E-5</v>
      </c>
      <c r="F44" s="12">
        <f>E44/Calculation!K$18*1000</f>
        <v>1.799196387939097E-5</v>
      </c>
      <c r="G44" s="12">
        <f t="shared" si="3"/>
        <v>0.11052936256259668</v>
      </c>
    </row>
    <row r="45" spans="1:7">
      <c r="A45" s="12">
        <v>20</v>
      </c>
      <c r="B45" s="40">
        <v>0</v>
      </c>
      <c r="C45" s="12">
        <f t="shared" si="0"/>
        <v>0</v>
      </c>
      <c r="D45" s="12">
        <f t="shared" si="1"/>
        <v>0</v>
      </c>
      <c r="E45" s="12">
        <f t="shared" si="2"/>
        <v>0</v>
      </c>
      <c r="F45" s="12">
        <f>E45/Calculation!K$18*1000</f>
        <v>0</v>
      </c>
      <c r="G45" s="12">
        <f t="shared" si="3"/>
        <v>0.11079924202078754</v>
      </c>
    </row>
    <row r="46" spans="1:7">
      <c r="A46" s="12">
        <v>20.5</v>
      </c>
      <c r="B46" s="40">
        <v>0</v>
      </c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E46/Calculation!K$18*1000</f>
        <v>0</v>
      </c>
      <c r="G46" s="12">
        <f t="shared" si="3"/>
        <v>0.11079924202078754</v>
      </c>
    </row>
    <row r="47" spans="1:7">
      <c r="A47" s="12">
        <v>21</v>
      </c>
      <c r="B47" s="40">
        <v>11.7</v>
      </c>
      <c r="C47" s="12">
        <f t="shared" si="0"/>
        <v>1.1699999999999999E-2</v>
      </c>
      <c r="D47" s="12">
        <f t="shared" si="1"/>
        <v>8.2016999999999984E-4</v>
      </c>
      <c r="E47" s="12">
        <f t="shared" si="2"/>
        <v>3.6614732142857136E-5</v>
      </c>
      <c r="F47" s="12">
        <f>E47/Calculation!K$18*1000</f>
        <v>4.7951247696782304E-5</v>
      </c>
      <c r="G47" s="12">
        <f t="shared" si="3"/>
        <v>0.11151851073623928</v>
      </c>
    </row>
    <row r="48" spans="1:7">
      <c r="A48" s="12">
        <v>21.5</v>
      </c>
      <c r="B48" s="40">
        <v>2.93</v>
      </c>
      <c r="C48" s="12">
        <f t="shared" si="0"/>
        <v>2.9300000000000003E-3</v>
      </c>
      <c r="D48" s="12">
        <f t="shared" si="1"/>
        <v>2.05393E-4</v>
      </c>
      <c r="E48" s="12">
        <f t="shared" si="2"/>
        <v>9.1693303571428575E-6</v>
      </c>
      <c r="F48" s="12">
        <f>E48/Calculation!K$18*1000</f>
        <v>1.2008303910390784E-5</v>
      </c>
      <c r="G48" s="12">
        <f t="shared" si="3"/>
        <v>0.11241790401034688</v>
      </c>
    </row>
    <row r="49" spans="1:7">
      <c r="A49" s="12">
        <v>22</v>
      </c>
      <c r="B49" s="40">
        <v>38.04</v>
      </c>
      <c r="C49" s="12">
        <f t="shared" si="0"/>
        <v>3.8039999999999997E-2</v>
      </c>
      <c r="D49" s="12">
        <f t="shared" si="1"/>
        <v>2.6666039999999995E-3</v>
      </c>
      <c r="E49" s="12">
        <f t="shared" si="2"/>
        <v>1.1904482142857141E-4</v>
      </c>
      <c r="F49" s="12">
        <f>E49/Calculation!K$18*1000</f>
        <v>1.559030309731281E-4</v>
      </c>
      <c r="G49" s="12">
        <f t="shared" si="3"/>
        <v>0.11493657403359966</v>
      </c>
    </row>
    <row r="50" spans="1:7">
      <c r="A50" s="12">
        <v>22.5</v>
      </c>
      <c r="B50" s="40">
        <v>0</v>
      </c>
      <c r="C50" s="12">
        <f t="shared" si="0"/>
        <v>0</v>
      </c>
      <c r="D50" s="12">
        <f t="shared" si="1"/>
        <v>0</v>
      </c>
      <c r="E50" s="12">
        <f t="shared" si="2"/>
        <v>0</v>
      </c>
      <c r="F50" s="12">
        <f>E50/Calculation!K$18*1000</f>
        <v>0</v>
      </c>
      <c r="G50" s="12">
        <f t="shared" si="3"/>
        <v>0.11727511949819659</v>
      </c>
    </row>
    <row r="51" spans="1:7">
      <c r="A51" s="12">
        <v>23</v>
      </c>
      <c r="B51" s="40">
        <v>0</v>
      </c>
      <c r="C51" s="12">
        <f t="shared" si="0"/>
        <v>0</v>
      </c>
      <c r="D51" s="12">
        <f t="shared" si="1"/>
        <v>0</v>
      </c>
      <c r="E51" s="12">
        <f t="shared" si="2"/>
        <v>0</v>
      </c>
      <c r="F51" s="12">
        <f>E51/Calculation!K$18*1000</f>
        <v>0</v>
      </c>
      <c r="G51" s="12">
        <f t="shared" si="3"/>
        <v>0.11727511949819659</v>
      </c>
    </row>
    <row r="52" spans="1:7">
      <c r="A52" s="12">
        <v>23.5</v>
      </c>
      <c r="B52" s="40">
        <v>13.17</v>
      </c>
      <c r="C52" s="12">
        <f t="shared" si="0"/>
        <v>1.3169999999999999E-2</v>
      </c>
      <c r="D52" s="12">
        <f t="shared" si="1"/>
        <v>9.2321699999999983E-4</v>
      </c>
      <c r="E52" s="12">
        <f t="shared" si="2"/>
        <v>4.1215044642857137E-5</v>
      </c>
      <c r="F52" s="12">
        <f>E52/Calculation!K$18*1000</f>
        <v>5.3975891638172906E-5</v>
      </c>
      <c r="G52" s="12">
        <f t="shared" si="3"/>
        <v>0.11808475787276919</v>
      </c>
    </row>
    <row r="53" spans="1:7">
      <c r="A53" s="12">
        <v>24</v>
      </c>
      <c r="B53" s="40">
        <v>20.48</v>
      </c>
      <c r="C53" s="12">
        <f t="shared" si="0"/>
        <v>2.0480000000000002E-2</v>
      </c>
      <c r="D53" s="12">
        <f t="shared" si="1"/>
        <v>1.4356479999999999E-3</v>
      </c>
      <c r="E53" s="12">
        <f t="shared" si="2"/>
        <v>6.409142857142857E-5</v>
      </c>
      <c r="F53" s="12">
        <f>E53/Calculation!K$19*1000</f>
        <v>8.9401781184013479E-5</v>
      </c>
      <c r="G53" s="12">
        <f t="shared" si="3"/>
        <v>0.12023542296510198</v>
      </c>
    </row>
    <row r="54" spans="1:7">
      <c r="A54" s="12">
        <v>24.5</v>
      </c>
      <c r="B54" s="40">
        <v>7.32</v>
      </c>
      <c r="C54" s="12">
        <f t="shared" si="0"/>
        <v>7.3200000000000001E-3</v>
      </c>
      <c r="D54" s="12">
        <f t="shared" si="1"/>
        <v>5.1313200000000002E-4</v>
      </c>
      <c r="E54" s="12">
        <f t="shared" si="2"/>
        <v>2.2907678571428573E-5</v>
      </c>
      <c r="F54" s="12">
        <f>E54/Calculation!K$19*1000</f>
        <v>3.1954152259129823E-5</v>
      </c>
      <c r="G54" s="12">
        <f t="shared" si="3"/>
        <v>0.12205576196674912</v>
      </c>
    </row>
    <row r="55" spans="1:7">
      <c r="A55" s="12">
        <v>25</v>
      </c>
      <c r="B55" s="40">
        <v>59.98</v>
      </c>
      <c r="C55" s="12">
        <f t="shared" si="0"/>
        <v>5.9979999999999999E-2</v>
      </c>
      <c r="D55" s="12">
        <f t="shared" si="1"/>
        <v>4.2045979999999995E-3</v>
      </c>
      <c r="E55" s="12">
        <f t="shared" si="2"/>
        <v>1.8770526785714286E-4</v>
      </c>
      <c r="F55" s="12">
        <f>E55/Calculation!K$19*1000</f>
        <v>2.6183197438560196E-4</v>
      </c>
      <c r="G55" s="12">
        <f t="shared" si="3"/>
        <v>0.12646255386642011</v>
      </c>
    </row>
    <row r="56" spans="1:7">
      <c r="A56" s="12">
        <v>25.5</v>
      </c>
      <c r="B56" s="40">
        <v>0</v>
      </c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E56/Calculation!K$19*1000</f>
        <v>0</v>
      </c>
      <c r="G56" s="12">
        <f t="shared" si="3"/>
        <v>0.13039003348220413</v>
      </c>
    </row>
    <row r="57" spans="1:7">
      <c r="A57" s="12">
        <v>26</v>
      </c>
      <c r="B57" s="40">
        <v>38.04</v>
      </c>
      <c r="C57" s="12">
        <f t="shared" si="0"/>
        <v>3.8039999999999997E-2</v>
      </c>
      <c r="D57" s="12">
        <f t="shared" si="1"/>
        <v>2.6666039999999995E-3</v>
      </c>
      <c r="E57" s="12">
        <f t="shared" si="2"/>
        <v>1.1904482142857141E-4</v>
      </c>
      <c r="F57" s="12">
        <f>E57/Calculation!K$19*1000</f>
        <v>1.6605682403515002E-4</v>
      </c>
      <c r="G57" s="12">
        <f t="shared" si="3"/>
        <v>0.13288088584273139</v>
      </c>
    </row>
    <row r="58" spans="1:7">
      <c r="A58" s="12">
        <v>26.5</v>
      </c>
      <c r="B58" s="40">
        <v>39.5</v>
      </c>
      <c r="C58" s="12">
        <f t="shared" si="0"/>
        <v>3.95E-2</v>
      </c>
      <c r="D58" s="12">
        <f t="shared" si="1"/>
        <v>2.7689499999999996E-3</v>
      </c>
      <c r="E58" s="12">
        <f t="shared" si="2"/>
        <v>1.2361383928571429E-4</v>
      </c>
      <c r="F58" s="12">
        <f>E58/Calculation!K$19*1000</f>
        <v>1.7243019320158852E-4</v>
      </c>
      <c r="G58" s="12">
        <f t="shared" si="3"/>
        <v>0.13795819110128246</v>
      </c>
    </row>
    <row r="59" spans="1:7">
      <c r="A59" s="12">
        <v>27</v>
      </c>
      <c r="B59" s="40">
        <v>103.87</v>
      </c>
      <c r="C59" s="12">
        <f t="shared" si="0"/>
        <v>0.10387</v>
      </c>
      <c r="D59" s="12">
        <f t="shared" si="1"/>
        <v>7.281287E-3</v>
      </c>
      <c r="E59" s="12">
        <f t="shared" si="2"/>
        <v>3.250574553571429E-4</v>
      </c>
      <c r="F59" s="12">
        <f>E59/Calculation!K$19*1000</f>
        <v>4.5342592829997473E-4</v>
      </c>
      <c r="G59" s="12">
        <f t="shared" si="3"/>
        <v>0.14734603292380591</v>
      </c>
    </row>
    <row r="60" spans="1:7">
      <c r="A60" s="12">
        <v>27.5</v>
      </c>
      <c r="B60" s="40">
        <v>74.61</v>
      </c>
      <c r="C60" s="12">
        <f t="shared" si="0"/>
        <v>7.4609999999999996E-2</v>
      </c>
      <c r="D60" s="12">
        <f t="shared" si="1"/>
        <v>5.2301609999999988E-3</v>
      </c>
      <c r="E60" s="12">
        <f t="shared" si="2"/>
        <v>2.3348933035714282E-4</v>
      </c>
      <c r="F60" s="12">
        <f>E60/Calculation!K$19*1000</f>
        <v>3.2569662569039283E-4</v>
      </c>
      <c r="G60" s="12">
        <f t="shared" si="3"/>
        <v>0.15903287123366142</v>
      </c>
    </row>
    <row r="61" spans="1:7">
      <c r="A61" s="12">
        <v>28</v>
      </c>
      <c r="B61" s="40">
        <v>48.28</v>
      </c>
      <c r="C61" s="12">
        <f t="shared" si="0"/>
        <v>4.8280000000000003E-2</v>
      </c>
      <c r="D61" s="12">
        <f t="shared" si="1"/>
        <v>3.3844280000000001E-3</v>
      </c>
      <c r="E61" s="12">
        <f t="shared" si="2"/>
        <v>1.5109053571428572E-4</v>
      </c>
      <c r="F61" s="12">
        <f>E61/Calculation!K$19*1000</f>
        <v>2.107577146271568E-4</v>
      </c>
      <c r="G61" s="12">
        <f t="shared" si="3"/>
        <v>0.16707968633842465</v>
      </c>
    </row>
    <row r="62" spans="1:7">
      <c r="A62" s="12">
        <v>28.5</v>
      </c>
      <c r="B62" s="40">
        <v>0</v>
      </c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E62/Calculation!K$19*1000</f>
        <v>0</v>
      </c>
      <c r="G62" s="12">
        <f t="shared" si="3"/>
        <v>0.17024105205783199</v>
      </c>
    </row>
    <row r="63" spans="1:7">
      <c r="A63" s="12">
        <v>29</v>
      </c>
      <c r="B63" s="40">
        <v>2.93</v>
      </c>
      <c r="C63" s="12">
        <f t="shared" si="0"/>
        <v>2.9300000000000003E-3</v>
      </c>
      <c r="D63" s="12">
        <f t="shared" si="1"/>
        <v>2.05393E-4</v>
      </c>
      <c r="E63" s="12">
        <f t="shared" si="2"/>
        <v>9.1693303571428575E-6</v>
      </c>
      <c r="F63" s="12">
        <f>E63/Calculation!K$19*1000</f>
        <v>1.2790391546345681E-5</v>
      </c>
      <c r="G63" s="12">
        <f t="shared" si="3"/>
        <v>0.17043290793102717</v>
      </c>
    </row>
    <row r="64" spans="1:7">
      <c r="A64" s="12">
        <v>29.5</v>
      </c>
      <c r="B64" s="40">
        <v>17.559999999999999</v>
      </c>
      <c r="C64" s="12">
        <f t="shared" si="0"/>
        <v>1.7559999999999999E-2</v>
      </c>
      <c r="D64" s="12">
        <f t="shared" si="1"/>
        <v>1.2309559999999998E-3</v>
      </c>
      <c r="E64" s="12">
        <f t="shared" si="2"/>
        <v>5.4953392857142854E-5</v>
      </c>
      <c r="F64" s="12">
        <f>E64/Calculation!K$19*1000</f>
        <v>7.6655042851136556E-5</v>
      </c>
      <c r="G64" s="12">
        <f t="shared" si="3"/>
        <v>0.1717745894469894</v>
      </c>
    </row>
    <row r="65" spans="1:7">
      <c r="A65" s="12">
        <v>30</v>
      </c>
      <c r="B65" s="40">
        <v>39.5</v>
      </c>
      <c r="C65" s="12">
        <f t="shared" si="0"/>
        <v>3.95E-2</v>
      </c>
      <c r="D65" s="12">
        <f t="shared" si="1"/>
        <v>2.7689499999999996E-3</v>
      </c>
      <c r="E65" s="12">
        <f t="shared" si="2"/>
        <v>1.2361383928571429E-4</v>
      </c>
      <c r="F65" s="12">
        <f>E65/Calculation!K$4*1000</f>
        <v>8.3862848904826511E-5</v>
      </c>
      <c r="G65" s="12">
        <f t="shared" si="3"/>
        <v>0.17418235782332883</v>
      </c>
    </row>
    <row r="66" spans="1:7">
      <c r="A66" s="12">
        <v>30.5</v>
      </c>
      <c r="B66" s="40">
        <v>5.85</v>
      </c>
      <c r="C66" s="12">
        <f t="shared" si="0"/>
        <v>5.8499999999999993E-3</v>
      </c>
      <c r="D66" s="12">
        <f t="shared" si="1"/>
        <v>4.1008499999999992E-4</v>
      </c>
      <c r="E66" s="12">
        <f t="shared" si="2"/>
        <v>1.8307366071428568E-5</v>
      </c>
      <c r="F66" s="12">
        <f>E66/Calculation!K$20*1000</f>
        <v>2.7080380893506553E-5</v>
      </c>
      <c r="G66" s="12">
        <f t="shared" si="3"/>
        <v>0.17584650627030382</v>
      </c>
    </row>
    <row r="67" spans="1:7">
      <c r="A67" s="12">
        <v>31</v>
      </c>
      <c r="B67" s="40">
        <v>5.85</v>
      </c>
      <c r="C67" s="12">
        <f t="shared" si="0"/>
        <v>5.8499999999999993E-3</v>
      </c>
      <c r="D67" s="12">
        <f t="shared" si="1"/>
        <v>4.1008499999999992E-4</v>
      </c>
      <c r="E67" s="12">
        <f t="shared" si="2"/>
        <v>1.8307366071428568E-5</v>
      </c>
      <c r="F67" s="12">
        <f>E67/Calculation!K$20*1000</f>
        <v>2.7080380893506553E-5</v>
      </c>
      <c r="G67" s="12">
        <f t="shared" si="3"/>
        <v>0.17665891769710901</v>
      </c>
    </row>
    <row r="68" spans="1:7">
      <c r="A68" s="12">
        <v>31.5</v>
      </c>
      <c r="B68" s="40">
        <v>7.32</v>
      </c>
      <c r="C68" s="12">
        <f t="shared" si="0"/>
        <v>7.3200000000000001E-3</v>
      </c>
      <c r="D68" s="12">
        <f t="shared" si="1"/>
        <v>5.1313200000000002E-4</v>
      </c>
      <c r="E68" s="12">
        <f t="shared" si="2"/>
        <v>2.2907678571428573E-5</v>
      </c>
      <c r="F68" s="12">
        <f>E68/Calculation!K$20*1000</f>
        <v>3.3885194553926156E-5</v>
      </c>
      <c r="G68" s="12">
        <f t="shared" si="3"/>
        <v>0.17757340132882049</v>
      </c>
    </row>
    <row r="69" spans="1:7">
      <c r="A69" s="12">
        <v>32</v>
      </c>
      <c r="B69" s="40">
        <v>4.3899999999999997</v>
      </c>
      <c r="C69" s="12">
        <f t="shared" si="0"/>
        <v>4.3899999999999998E-3</v>
      </c>
      <c r="D69" s="12">
        <f t="shared" si="1"/>
        <v>3.0773899999999996E-4</v>
      </c>
      <c r="E69" s="12">
        <f t="shared" si="2"/>
        <v>1.3738348214285714E-5</v>
      </c>
      <c r="F69" s="12">
        <f>E69/Calculation!K$20*1000</f>
        <v>2.0321858482477571E-5</v>
      </c>
      <c r="G69" s="12">
        <f t="shared" si="3"/>
        <v>0.17838650712436654</v>
      </c>
    </row>
    <row r="70" spans="1:7">
      <c r="A70" s="12">
        <v>32.5</v>
      </c>
      <c r="B70" s="40">
        <v>0</v>
      </c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0.1786913350016037</v>
      </c>
    </row>
    <row r="71" spans="1:7">
      <c r="A71" s="12">
        <v>33</v>
      </c>
      <c r="B71" s="40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0.1786913350016037</v>
      </c>
    </row>
    <row r="72" spans="1:7">
      <c r="A72" s="12">
        <v>33.5</v>
      </c>
      <c r="B72" s="40">
        <v>10.24</v>
      </c>
      <c r="C72" s="12">
        <f t="shared" si="4"/>
        <v>1.0240000000000001E-2</v>
      </c>
      <c r="D72" s="12">
        <f t="shared" si="5"/>
        <v>7.1782399999999994E-4</v>
      </c>
      <c r="E72" s="12">
        <f t="shared" si="6"/>
        <v>3.2045714285714285E-5</v>
      </c>
      <c r="F72" s="12">
        <f>E72/Calculation!K$20*1000</f>
        <v>4.7402239375984127E-5</v>
      </c>
      <c r="G72" s="12">
        <f t="shared" si="7"/>
        <v>0.17940236859224346</v>
      </c>
    </row>
    <row r="73" spans="1:7">
      <c r="A73" s="12">
        <v>34</v>
      </c>
      <c r="B73" s="40">
        <v>0</v>
      </c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0.18011340218288321</v>
      </c>
    </row>
    <row r="74" spans="1:7">
      <c r="A74" s="12">
        <v>34.5</v>
      </c>
      <c r="B74" s="40">
        <v>1.46</v>
      </c>
      <c r="C74" s="12">
        <f t="shared" si="4"/>
        <v>1.4599999999999999E-3</v>
      </c>
      <c r="D74" s="12">
        <f t="shared" si="5"/>
        <v>1.0234599999999999E-4</v>
      </c>
      <c r="E74" s="12">
        <f t="shared" si="6"/>
        <v>4.5690178571428569E-6</v>
      </c>
      <c r="F74" s="12">
        <f>E74/Calculation!K$20*1000</f>
        <v>6.7585224110289862E-6</v>
      </c>
      <c r="G74" s="12">
        <f t="shared" si="7"/>
        <v>0.18021478001904864</v>
      </c>
    </row>
    <row r="75" spans="1:7">
      <c r="A75" s="12">
        <v>35</v>
      </c>
      <c r="B75" s="40">
        <v>2.93</v>
      </c>
      <c r="C75" s="12">
        <f t="shared" si="4"/>
        <v>2.9300000000000003E-3</v>
      </c>
      <c r="D75" s="12">
        <f t="shared" si="5"/>
        <v>2.05393E-4</v>
      </c>
      <c r="E75" s="12">
        <f t="shared" si="6"/>
        <v>9.1693303571428575E-6</v>
      </c>
      <c r="F75" s="12">
        <f>E75/Calculation!K$20*1000</f>
        <v>1.3563336071448584E-5</v>
      </c>
      <c r="G75" s="12">
        <f t="shared" si="7"/>
        <v>0.18051960789628579</v>
      </c>
    </row>
    <row r="76" spans="1:7">
      <c r="A76" s="12">
        <v>35.5</v>
      </c>
      <c r="B76" s="40">
        <v>14.63</v>
      </c>
      <c r="C76" s="12">
        <f t="shared" si="4"/>
        <v>1.4630000000000001E-2</v>
      </c>
      <c r="D76" s="12">
        <f t="shared" si="5"/>
        <v>1.025563E-3</v>
      </c>
      <c r="E76" s="12">
        <f t="shared" si="6"/>
        <v>4.5784062500000002E-5</v>
      </c>
      <c r="F76" s="12">
        <f>E76/Calculation!K$20*1000</f>
        <v>6.7724097858461695E-5</v>
      </c>
      <c r="G76" s="12">
        <f t="shared" si="7"/>
        <v>0.18173891940523446</v>
      </c>
    </row>
    <row r="77" spans="1:7">
      <c r="A77" s="12">
        <v>36</v>
      </c>
      <c r="B77" s="40">
        <v>196.04</v>
      </c>
      <c r="C77" s="12">
        <f t="shared" si="4"/>
        <v>0.19603999999999999</v>
      </c>
      <c r="D77" s="12">
        <f t="shared" si="5"/>
        <v>1.3742404E-2</v>
      </c>
      <c r="E77" s="12">
        <f t="shared" si="6"/>
        <v>6.1350017857142859E-4</v>
      </c>
      <c r="F77" s="12">
        <f>E77/Calculation!K$20*1000</f>
        <v>9.0749365305350862E-4</v>
      </c>
      <c r="G77" s="12">
        <f t="shared" si="7"/>
        <v>0.19636718566891401</v>
      </c>
    </row>
    <row r="78" spans="1:7">
      <c r="A78" s="12">
        <v>36.5</v>
      </c>
      <c r="B78" s="40">
        <v>0</v>
      </c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0.20997959046471665</v>
      </c>
    </row>
    <row r="79" spans="1:7">
      <c r="A79" s="12">
        <v>37</v>
      </c>
      <c r="B79" s="40">
        <v>96.56</v>
      </c>
      <c r="C79" s="12">
        <f t="shared" si="4"/>
        <v>9.6560000000000007E-2</v>
      </c>
      <c r="D79" s="12">
        <f t="shared" si="5"/>
        <v>6.7688560000000002E-3</v>
      </c>
      <c r="E79" s="12">
        <f t="shared" si="6"/>
        <v>3.0218107142857144E-4</v>
      </c>
      <c r="F79" s="12">
        <f>E79/Calculation!K$20*1000</f>
        <v>4.4698830411572533E-4</v>
      </c>
      <c r="G79" s="12">
        <f t="shared" si="7"/>
        <v>0.21668441502645253</v>
      </c>
    </row>
    <row r="80" spans="1:7">
      <c r="A80" s="12">
        <v>37.5</v>
      </c>
      <c r="B80" s="40">
        <v>4.3899999999999997</v>
      </c>
      <c r="C80" s="12">
        <f t="shared" si="4"/>
        <v>4.3899999999999998E-3</v>
      </c>
      <c r="D80" s="12">
        <f t="shared" si="5"/>
        <v>3.0773899999999996E-4</v>
      </c>
      <c r="E80" s="12">
        <f t="shared" si="6"/>
        <v>1.3738348214285714E-5</v>
      </c>
      <c r="F80" s="12">
        <f>E80/Calculation!K$20*1000</f>
        <v>2.0321858482477571E-5</v>
      </c>
      <c r="G80" s="12">
        <f t="shared" si="7"/>
        <v>0.22369406746542558</v>
      </c>
    </row>
    <row r="81" spans="1:7">
      <c r="A81" s="12">
        <v>38</v>
      </c>
      <c r="B81" s="40">
        <v>23.41</v>
      </c>
      <c r="C81" s="12">
        <f t="shared" si="4"/>
        <v>2.341E-2</v>
      </c>
      <c r="D81" s="12">
        <f t="shared" si="5"/>
        <v>1.641041E-3</v>
      </c>
      <c r="E81" s="12">
        <f t="shared" si="6"/>
        <v>7.3260758928571436E-5</v>
      </c>
      <c r="F81" s="12">
        <f>E81/Calculation!K$20*1000</f>
        <v>1.0836781482341684E-4</v>
      </c>
      <c r="G81" s="12">
        <f t="shared" si="7"/>
        <v>0.225624412565014</v>
      </c>
    </row>
    <row r="82" spans="1:7">
      <c r="A82" s="12">
        <v>38.5</v>
      </c>
      <c r="B82" s="40">
        <v>32.19</v>
      </c>
      <c r="C82" s="12">
        <f t="shared" si="4"/>
        <v>3.2189999999999996E-2</v>
      </c>
      <c r="D82" s="12">
        <f t="shared" si="5"/>
        <v>2.2565189999999994E-3</v>
      </c>
      <c r="E82" s="12">
        <f t="shared" si="6"/>
        <v>1.0073745535714283E-4</v>
      </c>
      <c r="F82" s="12">
        <f>E82/Calculation!K$20*1000</f>
        <v>1.4901153178837191E-4</v>
      </c>
      <c r="G82" s="12">
        <f t="shared" si="7"/>
        <v>0.22948510276419085</v>
      </c>
    </row>
    <row r="83" spans="1:7">
      <c r="A83" s="12">
        <v>39</v>
      </c>
      <c r="B83" s="40">
        <v>39.5</v>
      </c>
      <c r="C83" s="12">
        <f t="shared" si="4"/>
        <v>3.95E-2</v>
      </c>
      <c r="D83" s="12">
        <f t="shared" si="5"/>
        <v>2.7689499999999996E-3</v>
      </c>
      <c r="E83" s="12">
        <f t="shared" si="6"/>
        <v>1.2361383928571429E-4</v>
      </c>
      <c r="F83" s="12">
        <f>E83/Calculation!K$20*1000</f>
        <v>1.828504350929075E-4</v>
      </c>
      <c r="G83" s="12">
        <f t="shared" si="7"/>
        <v>0.23446303226741003</v>
      </c>
    </row>
    <row r="84" spans="1:7">
      <c r="A84" s="12">
        <v>39.5</v>
      </c>
      <c r="B84" s="40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0.23720578879380363</v>
      </c>
    </row>
    <row r="85" spans="1:7">
      <c r="A85" s="12">
        <v>40</v>
      </c>
      <c r="B85" s="40">
        <v>1.46</v>
      </c>
      <c r="C85" s="12">
        <f t="shared" si="4"/>
        <v>1.4599999999999999E-3</v>
      </c>
      <c r="D85" s="12">
        <f t="shared" si="5"/>
        <v>1.0234599999999999E-4</v>
      </c>
      <c r="E85" s="12">
        <f t="shared" si="6"/>
        <v>4.5690178571428569E-6</v>
      </c>
      <c r="F85" s="12">
        <f>E85/Calculation!K$20*1000</f>
        <v>6.7585224110289862E-6</v>
      </c>
      <c r="G85" s="12">
        <f t="shared" si="7"/>
        <v>0.23730716662996906</v>
      </c>
    </row>
    <row r="86" spans="1:7">
      <c r="A86" s="12">
        <v>40.5</v>
      </c>
      <c r="B86" s="40">
        <v>1.46</v>
      </c>
      <c r="C86" s="12">
        <f t="shared" si="4"/>
        <v>1.4599999999999999E-3</v>
      </c>
      <c r="D86" s="12">
        <f t="shared" si="5"/>
        <v>1.0234599999999999E-4</v>
      </c>
      <c r="E86" s="12">
        <f t="shared" si="6"/>
        <v>4.5690178571428569E-6</v>
      </c>
      <c r="F86" s="12">
        <f>E86/Calculation!K$20*1000</f>
        <v>6.7585224110289862E-6</v>
      </c>
      <c r="G86" s="12">
        <f t="shared" si="7"/>
        <v>0.23750992230229992</v>
      </c>
    </row>
    <row r="87" spans="1:7">
      <c r="A87" s="12">
        <v>41</v>
      </c>
      <c r="B87" s="40">
        <v>29.26</v>
      </c>
      <c r="C87" s="12">
        <f t="shared" si="4"/>
        <v>2.9260000000000001E-2</v>
      </c>
      <c r="D87" s="12">
        <f t="shared" si="5"/>
        <v>2.0511259999999999E-3</v>
      </c>
      <c r="E87" s="12">
        <f t="shared" si="6"/>
        <v>9.1568125000000003E-5</v>
      </c>
      <c r="F87" s="12">
        <f>E87/Calculation!K$20*1000</f>
        <v>1.3544819571692339E-4</v>
      </c>
      <c r="G87" s="12">
        <f t="shared" si="7"/>
        <v>0.2396430230742192</v>
      </c>
    </row>
    <row r="88" spans="1:7">
      <c r="A88" s="12">
        <v>41.5</v>
      </c>
      <c r="B88" s="40">
        <v>39.5</v>
      </c>
      <c r="C88" s="12">
        <f t="shared" si="4"/>
        <v>3.95E-2</v>
      </c>
      <c r="D88" s="12">
        <f t="shared" si="5"/>
        <v>2.7689499999999996E-3</v>
      </c>
      <c r="E88" s="12">
        <f t="shared" si="6"/>
        <v>1.2361383928571429E-4</v>
      </c>
      <c r="F88" s="12">
        <f>E88/Calculation!K$20*1000</f>
        <v>1.828504350929075E-4</v>
      </c>
      <c r="G88" s="12">
        <f t="shared" si="7"/>
        <v>0.24441750253636665</v>
      </c>
    </row>
    <row r="89" spans="1:7">
      <c r="A89" s="12">
        <v>42</v>
      </c>
      <c r="B89" s="40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0.24716025906276026</v>
      </c>
    </row>
    <row r="90" spans="1:7">
      <c r="A90" s="12">
        <v>42.5</v>
      </c>
      <c r="B90" s="40">
        <v>2.93</v>
      </c>
      <c r="C90" s="12">
        <f t="shared" si="4"/>
        <v>2.9300000000000003E-3</v>
      </c>
      <c r="D90" s="12">
        <f t="shared" si="5"/>
        <v>2.05393E-4</v>
      </c>
      <c r="E90" s="12">
        <f t="shared" si="6"/>
        <v>9.1693303571428575E-6</v>
      </c>
      <c r="F90" s="12">
        <f>E90/Calculation!K$20*1000</f>
        <v>1.3563336071448584E-5</v>
      </c>
      <c r="G90" s="12">
        <f t="shared" si="7"/>
        <v>0.24736370910383199</v>
      </c>
    </row>
    <row r="91" spans="1:7">
      <c r="A91" s="12">
        <v>43</v>
      </c>
      <c r="B91" s="40">
        <v>1.46</v>
      </c>
      <c r="C91" s="12">
        <f t="shared" si="4"/>
        <v>1.4599999999999999E-3</v>
      </c>
      <c r="D91" s="12">
        <f t="shared" si="5"/>
        <v>1.0234599999999999E-4</v>
      </c>
      <c r="E91" s="12">
        <f t="shared" si="6"/>
        <v>4.5690178571428569E-6</v>
      </c>
      <c r="F91" s="12">
        <f>E91/Calculation!K$20*1000</f>
        <v>6.7585224110289862E-6</v>
      </c>
      <c r="G91" s="12">
        <f t="shared" si="7"/>
        <v>0.24766853698106914</v>
      </c>
    </row>
    <row r="92" spans="1:7">
      <c r="A92" s="12">
        <v>43.5</v>
      </c>
      <c r="B92" s="40">
        <v>30.72</v>
      </c>
      <c r="C92" s="12">
        <f t="shared" si="4"/>
        <v>3.0719999999999997E-2</v>
      </c>
      <c r="D92" s="12">
        <f t="shared" si="5"/>
        <v>2.1534719999999996E-3</v>
      </c>
      <c r="E92" s="12">
        <f t="shared" si="6"/>
        <v>9.6137142857142841E-5</v>
      </c>
      <c r="F92" s="12">
        <f>E92/Calculation!K$20*1000</f>
        <v>1.4220671812795234E-4</v>
      </c>
      <c r="G92" s="12">
        <f t="shared" si="7"/>
        <v>0.24990301558915387</v>
      </c>
    </row>
    <row r="93" spans="1:7">
      <c r="A93" s="12">
        <v>44</v>
      </c>
      <c r="B93" s="40">
        <v>4.3899999999999997</v>
      </c>
      <c r="C93" s="12">
        <f t="shared" si="4"/>
        <v>4.3899999999999998E-3</v>
      </c>
      <c r="D93" s="12">
        <f t="shared" si="5"/>
        <v>3.0773899999999996E-4</v>
      </c>
      <c r="E93" s="12">
        <f t="shared" si="6"/>
        <v>1.3738348214285714E-5</v>
      </c>
      <c r="F93" s="12">
        <f>E93/Calculation!K$20*1000</f>
        <v>2.0321858482477571E-5</v>
      </c>
      <c r="G93" s="12">
        <f t="shared" si="7"/>
        <v>0.25234094423831033</v>
      </c>
    </row>
    <row r="94" spans="1:7">
      <c r="A94" s="12">
        <v>44.5</v>
      </c>
      <c r="B94" s="40">
        <v>5.85</v>
      </c>
      <c r="C94" s="12">
        <f t="shared" si="4"/>
        <v>5.8499999999999993E-3</v>
      </c>
      <c r="D94" s="12">
        <f t="shared" si="5"/>
        <v>4.1008499999999992E-4</v>
      </c>
      <c r="E94" s="12">
        <f t="shared" si="6"/>
        <v>1.8307366071428568E-5</v>
      </c>
      <c r="F94" s="12">
        <f>E94/Calculation!K$20*1000</f>
        <v>2.7080380893506553E-5</v>
      </c>
      <c r="G94" s="12">
        <f t="shared" si="7"/>
        <v>0.25305197782895011</v>
      </c>
    </row>
    <row r="95" spans="1:7">
      <c r="A95" s="12">
        <v>45</v>
      </c>
      <c r="B95" s="40">
        <v>23.41</v>
      </c>
      <c r="C95" s="12">
        <f t="shared" si="4"/>
        <v>2.341E-2</v>
      </c>
      <c r="D95" s="12">
        <f t="shared" si="5"/>
        <v>1.641041E-3</v>
      </c>
      <c r="E95" s="12">
        <f t="shared" si="6"/>
        <v>7.3260758928571436E-5</v>
      </c>
      <c r="F95" s="12">
        <f>E95/Calculation!K$20*1000</f>
        <v>1.0836781482341684E-4</v>
      </c>
      <c r="G95" s="12">
        <f t="shared" si="7"/>
        <v>0.25508370076470399</v>
      </c>
    </row>
    <row r="96" spans="1:7">
      <c r="A96" s="12">
        <v>45.5</v>
      </c>
      <c r="B96" s="40">
        <v>1.46</v>
      </c>
      <c r="C96" s="12">
        <f t="shared" si="4"/>
        <v>1.4599999999999999E-3</v>
      </c>
      <c r="D96" s="12">
        <f t="shared" si="5"/>
        <v>1.0234599999999999E-4</v>
      </c>
      <c r="E96" s="12">
        <f t="shared" si="6"/>
        <v>4.5690178571428569E-6</v>
      </c>
      <c r="F96" s="12">
        <f>E96/Calculation!K$20*1000</f>
        <v>6.7585224110289862E-6</v>
      </c>
      <c r="G96" s="12">
        <f t="shared" si="7"/>
        <v>0.25681059582322069</v>
      </c>
    </row>
    <row r="97" spans="1:7">
      <c r="A97" s="12">
        <v>46</v>
      </c>
      <c r="B97" s="40">
        <v>27.8</v>
      </c>
      <c r="C97" s="12">
        <f t="shared" si="4"/>
        <v>2.7800000000000002E-2</v>
      </c>
      <c r="D97" s="12">
        <f t="shared" si="5"/>
        <v>1.94878E-3</v>
      </c>
      <c r="E97" s="12">
        <f t="shared" si="6"/>
        <v>8.6999107142857153E-5</v>
      </c>
      <c r="F97" s="12">
        <f>E97/Calculation!K$20*1000</f>
        <v>1.2868967330589441E-4</v>
      </c>
      <c r="G97" s="12">
        <f t="shared" si="7"/>
        <v>0.25884231875897457</v>
      </c>
    </row>
    <row r="98" spans="1:7">
      <c r="A98" s="12">
        <v>46.5</v>
      </c>
      <c r="B98" s="40">
        <v>1.46</v>
      </c>
      <c r="C98" s="12">
        <f t="shared" si="4"/>
        <v>1.4599999999999999E-3</v>
      </c>
      <c r="D98" s="12">
        <f t="shared" si="5"/>
        <v>1.0234599999999999E-4</v>
      </c>
      <c r="E98" s="12">
        <f t="shared" si="6"/>
        <v>4.5690178571428569E-6</v>
      </c>
      <c r="F98" s="12">
        <f>E98/Calculation!K$20*1000</f>
        <v>6.7585224110289862E-6</v>
      </c>
      <c r="G98" s="12">
        <f t="shared" si="7"/>
        <v>0.26087404169472844</v>
      </c>
    </row>
    <row r="99" spans="1:7">
      <c r="A99" s="12">
        <v>47</v>
      </c>
      <c r="B99" s="40">
        <v>17.559999999999999</v>
      </c>
      <c r="C99" s="12">
        <f t="shared" si="4"/>
        <v>1.7559999999999999E-2</v>
      </c>
      <c r="D99" s="12">
        <f t="shared" si="5"/>
        <v>1.2309559999999998E-3</v>
      </c>
      <c r="E99" s="12">
        <f t="shared" si="6"/>
        <v>5.4953392857142854E-5</v>
      </c>
      <c r="F99" s="12">
        <f>E99/Calculation!K$20*1000</f>
        <v>8.1287433929910284E-5</v>
      </c>
      <c r="G99" s="12">
        <f t="shared" si="7"/>
        <v>0.26219473103984253</v>
      </c>
    </row>
    <row r="100" spans="1:7">
      <c r="A100" s="12">
        <v>47.5</v>
      </c>
      <c r="B100" s="40">
        <v>1.46</v>
      </c>
      <c r="C100" s="12">
        <f t="shared" si="4"/>
        <v>1.4599999999999999E-3</v>
      </c>
      <c r="D100" s="12">
        <f t="shared" si="5"/>
        <v>1.0234599999999999E-4</v>
      </c>
      <c r="E100" s="12">
        <f t="shared" si="6"/>
        <v>4.5690178571428569E-6</v>
      </c>
      <c r="F100" s="12">
        <f>E100/Calculation!K$20*1000</f>
        <v>6.7585224110289862E-6</v>
      </c>
      <c r="G100" s="12">
        <f t="shared" si="7"/>
        <v>0.26351542038495662</v>
      </c>
    </row>
    <row r="101" spans="1:7">
      <c r="A101" s="12">
        <v>48</v>
      </c>
      <c r="B101" s="40">
        <v>0</v>
      </c>
      <c r="C101" s="12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0.26361679822112205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2016-04-13T16:17:01Z</dcterms:modified>
</cp:coreProperties>
</file>