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120" windowHeight="15780" tabRatio="930" firstSheet="5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5" r:id="rId5"/>
    <sheet name="Determination cell count" sheetId="26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4" r:id="rId20"/>
    <sheet name="Carbon recovery" sheetId="23" r:id="rId21"/>
  </sheets>
  <externalReferences>
    <externalReference r:id="rId22"/>
  </externalReference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26" l="1"/>
  <c r="W6" i="26"/>
  <c r="W7" i="26"/>
  <c r="W8" i="26"/>
  <c r="W9" i="26"/>
  <c r="W10" i="26"/>
  <c r="W11" i="26"/>
  <c r="W12" i="26"/>
  <c r="W13" i="26"/>
  <c r="W14" i="26"/>
  <c r="W15" i="26"/>
  <c r="W16" i="26"/>
  <c r="W17" i="26"/>
  <c r="W4" i="26"/>
  <c r="AD4" i="26"/>
  <c r="AC4" i="26"/>
  <c r="AD5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AB4" i="26"/>
  <c r="AA5" i="26"/>
  <c r="AA6" i="26"/>
  <c r="AA7" i="26"/>
  <c r="AA8" i="26"/>
  <c r="AA9" i="26"/>
  <c r="AA10" i="26"/>
  <c r="AA11" i="26"/>
  <c r="AA12" i="26"/>
  <c r="AA13" i="26"/>
  <c r="AA14" i="26"/>
  <c r="AA15" i="26"/>
  <c r="AA16" i="26"/>
  <c r="AA17" i="26"/>
  <c r="AA4" i="26"/>
  <c r="Z5" i="26"/>
  <c r="Z6" i="26"/>
  <c r="Z7" i="26"/>
  <c r="Z8" i="26"/>
  <c r="Z9" i="26"/>
  <c r="Z10" i="26"/>
  <c r="Z11" i="26"/>
  <c r="Z12" i="26"/>
  <c r="Z13" i="26"/>
  <c r="Z14" i="26"/>
  <c r="Z15" i="26"/>
  <c r="Z16" i="26"/>
  <c r="Z17" i="26"/>
  <c r="Z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4" i="26"/>
  <c r="H85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AC5" i="26"/>
  <c r="AE5" i="26"/>
  <c r="AD6" i="26"/>
  <c r="AC6" i="26"/>
  <c r="AE6" i="26"/>
  <c r="AD7" i="26"/>
  <c r="AC7" i="26"/>
  <c r="AE7" i="26"/>
  <c r="AD8" i="26"/>
  <c r="AC8" i="26"/>
  <c r="AE8" i="26"/>
  <c r="AD9" i="26"/>
  <c r="AC9" i="26"/>
  <c r="AE9" i="26"/>
  <c r="AD10" i="26"/>
  <c r="AC10" i="26"/>
  <c r="AE10" i="26"/>
  <c r="AD11" i="26"/>
  <c r="AC11" i="26"/>
  <c r="AE11" i="26"/>
  <c r="AD12" i="26"/>
  <c r="AC12" i="26"/>
  <c r="AE12" i="26"/>
  <c r="AD13" i="26"/>
  <c r="AC13" i="26"/>
  <c r="AE13" i="26"/>
  <c r="AD14" i="26"/>
  <c r="AC14" i="26"/>
  <c r="AE14" i="26"/>
  <c r="AD15" i="26"/>
  <c r="AC15" i="26"/>
  <c r="AE15" i="26"/>
  <c r="AD16" i="26"/>
  <c r="AC16" i="26"/>
  <c r="AE16" i="26"/>
  <c r="AD17" i="26"/>
  <c r="AC17" i="26"/>
  <c r="AE17" i="26"/>
  <c r="AE4" i="26"/>
  <c r="H4" i="26"/>
  <c r="K4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4" i="26"/>
  <c r="H41" i="26"/>
  <c r="K41" i="26"/>
  <c r="I41" i="26"/>
  <c r="L41" i="26"/>
  <c r="J41" i="26"/>
  <c r="M41" i="26"/>
  <c r="O41" i="26"/>
  <c r="H42" i="26"/>
  <c r="K42" i="26"/>
  <c r="I42" i="26"/>
  <c r="L42" i="26"/>
  <c r="J42" i="26"/>
  <c r="M42" i="26"/>
  <c r="O42" i="26"/>
  <c r="H43" i="26"/>
  <c r="K43" i="26"/>
  <c r="I43" i="26"/>
  <c r="L43" i="26"/>
  <c r="J43" i="26"/>
  <c r="M43" i="26"/>
  <c r="O43" i="26"/>
  <c r="H44" i="26"/>
  <c r="K44" i="26"/>
  <c r="I44" i="26"/>
  <c r="L44" i="26"/>
  <c r="J44" i="26"/>
  <c r="M44" i="26"/>
  <c r="O44" i="26"/>
  <c r="H45" i="26"/>
  <c r="K45" i="26"/>
  <c r="I45" i="26"/>
  <c r="L45" i="26"/>
  <c r="J45" i="26"/>
  <c r="M45" i="26"/>
  <c r="O45" i="26"/>
  <c r="H46" i="26"/>
  <c r="K46" i="26"/>
  <c r="I46" i="26"/>
  <c r="L46" i="26"/>
  <c r="J46" i="26"/>
  <c r="M46" i="26"/>
  <c r="O46" i="26"/>
  <c r="H47" i="26"/>
  <c r="K47" i="26"/>
  <c r="I47" i="26"/>
  <c r="L47" i="26"/>
  <c r="J47" i="26"/>
  <c r="M47" i="26"/>
  <c r="O47" i="26"/>
  <c r="H48" i="26"/>
  <c r="K48" i="26"/>
  <c r="I48" i="26"/>
  <c r="L48" i="26"/>
  <c r="J48" i="26"/>
  <c r="M48" i="26"/>
  <c r="O48" i="26"/>
  <c r="H49" i="26"/>
  <c r="K49" i="26"/>
  <c r="I49" i="26"/>
  <c r="L49" i="26"/>
  <c r="J49" i="26"/>
  <c r="M49" i="26"/>
  <c r="O49" i="26"/>
  <c r="H50" i="26"/>
  <c r="K50" i="26"/>
  <c r="I50" i="26"/>
  <c r="L50" i="26"/>
  <c r="J50" i="26"/>
  <c r="M50" i="26"/>
  <c r="O50" i="26"/>
  <c r="H51" i="26"/>
  <c r="K51" i="26"/>
  <c r="I51" i="26"/>
  <c r="L51" i="26"/>
  <c r="J51" i="26"/>
  <c r="M51" i="26"/>
  <c r="O51" i="26"/>
  <c r="H52" i="26"/>
  <c r="K52" i="26"/>
  <c r="I52" i="26"/>
  <c r="L52" i="26"/>
  <c r="J52" i="26"/>
  <c r="M52" i="26"/>
  <c r="O52" i="26"/>
  <c r="H53" i="26"/>
  <c r="K53" i="26"/>
  <c r="I53" i="26"/>
  <c r="L53" i="26"/>
  <c r="J53" i="26"/>
  <c r="M53" i="26"/>
  <c r="O53" i="26"/>
  <c r="H40" i="26"/>
  <c r="K40" i="26"/>
  <c r="I40" i="26"/>
  <c r="L40" i="26"/>
  <c r="J40" i="26"/>
  <c r="M40" i="26"/>
  <c r="O40" i="26"/>
  <c r="S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40" i="26"/>
  <c r="H23" i="26"/>
  <c r="K23" i="26"/>
  <c r="I23" i="26"/>
  <c r="L23" i="26"/>
  <c r="J23" i="26"/>
  <c r="M23" i="26"/>
  <c r="O23" i="26"/>
  <c r="S23" i="26"/>
  <c r="H24" i="26"/>
  <c r="K24" i="26"/>
  <c r="I24" i="26"/>
  <c r="L24" i="26"/>
  <c r="J24" i="26"/>
  <c r="M24" i="26"/>
  <c r="O24" i="26"/>
  <c r="S24" i="26"/>
  <c r="H25" i="26"/>
  <c r="K25" i="26"/>
  <c r="I25" i="26"/>
  <c r="L25" i="26"/>
  <c r="J25" i="26"/>
  <c r="M25" i="26"/>
  <c r="O25" i="26"/>
  <c r="S25" i="26"/>
  <c r="H26" i="26"/>
  <c r="K26" i="26"/>
  <c r="I26" i="26"/>
  <c r="L26" i="26"/>
  <c r="J26" i="26"/>
  <c r="M26" i="26"/>
  <c r="O26" i="26"/>
  <c r="S26" i="26"/>
  <c r="H27" i="26"/>
  <c r="K27" i="26"/>
  <c r="I27" i="26"/>
  <c r="L27" i="26"/>
  <c r="J27" i="26"/>
  <c r="M27" i="26"/>
  <c r="O27" i="26"/>
  <c r="S27" i="26"/>
  <c r="H28" i="26"/>
  <c r="K28" i="26"/>
  <c r="I28" i="26"/>
  <c r="L28" i="26"/>
  <c r="J28" i="26"/>
  <c r="M28" i="26"/>
  <c r="O28" i="26"/>
  <c r="S28" i="26"/>
  <c r="H29" i="26"/>
  <c r="K29" i="26"/>
  <c r="I29" i="26"/>
  <c r="L29" i="26"/>
  <c r="J29" i="26"/>
  <c r="M29" i="26"/>
  <c r="O29" i="26"/>
  <c r="S29" i="26"/>
  <c r="H30" i="26"/>
  <c r="K30" i="26"/>
  <c r="I30" i="26"/>
  <c r="L30" i="26"/>
  <c r="J30" i="26"/>
  <c r="M30" i="26"/>
  <c r="O30" i="26"/>
  <c r="S30" i="26"/>
  <c r="H31" i="26"/>
  <c r="K31" i="26"/>
  <c r="I31" i="26"/>
  <c r="L31" i="26"/>
  <c r="J31" i="26"/>
  <c r="M31" i="26"/>
  <c r="O31" i="26"/>
  <c r="S31" i="26"/>
  <c r="H32" i="26"/>
  <c r="K32" i="26"/>
  <c r="I32" i="26"/>
  <c r="L32" i="26"/>
  <c r="J32" i="26"/>
  <c r="M32" i="26"/>
  <c r="O32" i="26"/>
  <c r="S32" i="26"/>
  <c r="H33" i="26"/>
  <c r="K33" i="26"/>
  <c r="I33" i="26"/>
  <c r="L33" i="26"/>
  <c r="J33" i="26"/>
  <c r="M33" i="26"/>
  <c r="O33" i="26"/>
  <c r="S33" i="26"/>
  <c r="H34" i="26"/>
  <c r="K34" i="26"/>
  <c r="I34" i="26"/>
  <c r="L34" i="26"/>
  <c r="J34" i="26"/>
  <c r="M34" i="26"/>
  <c r="O34" i="26"/>
  <c r="S34" i="26"/>
  <c r="H35" i="26"/>
  <c r="K35" i="26"/>
  <c r="I35" i="26"/>
  <c r="L35" i="26"/>
  <c r="J35" i="26"/>
  <c r="M35" i="26"/>
  <c r="O35" i="26"/>
  <c r="S35" i="26"/>
  <c r="H22" i="26"/>
  <c r="K22" i="26"/>
  <c r="I22" i="26"/>
  <c r="L22" i="26"/>
  <c r="J22" i="26"/>
  <c r="M22" i="26"/>
  <c r="O22" i="26"/>
  <c r="S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22" i="26"/>
  <c r="I16" i="26"/>
  <c r="J16" i="26"/>
  <c r="I17" i="26"/>
  <c r="J17" i="26"/>
  <c r="H17" i="26"/>
  <c r="H16" i="26"/>
  <c r="I4" i="26"/>
  <c r="J4" i="26"/>
  <c r="I5" i="26"/>
  <c r="J5" i="26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H5" i="26"/>
  <c r="H6" i="26"/>
  <c r="H7" i="26"/>
  <c r="H8" i="26"/>
  <c r="H9" i="26"/>
  <c r="H10" i="26"/>
  <c r="H11" i="26"/>
  <c r="H12" i="26"/>
  <c r="H13" i="26"/>
  <c r="H14" i="26"/>
  <c r="H15" i="26"/>
  <c r="B63" i="26"/>
  <c r="B62" i="26"/>
  <c r="R53" i="26"/>
  <c r="N53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D53" i="26"/>
  <c r="R52" i="26"/>
  <c r="N52" i="26"/>
  <c r="D52" i="26"/>
  <c r="R51" i="26"/>
  <c r="N51" i="26"/>
  <c r="D51" i="26"/>
  <c r="R50" i="26"/>
  <c r="N50" i="26"/>
  <c r="D50" i="26"/>
  <c r="R49" i="26"/>
  <c r="N49" i="26"/>
  <c r="D49" i="26"/>
  <c r="R48" i="26"/>
  <c r="N48" i="26"/>
  <c r="D48" i="26"/>
  <c r="R47" i="26"/>
  <c r="N47" i="26"/>
  <c r="D47" i="26"/>
  <c r="R46" i="26"/>
  <c r="N46" i="26"/>
  <c r="D46" i="26"/>
  <c r="R45" i="26"/>
  <c r="N45" i="26"/>
  <c r="D45" i="26"/>
  <c r="R44" i="26"/>
  <c r="N44" i="26"/>
  <c r="D44" i="26"/>
  <c r="R43" i="26"/>
  <c r="N43" i="26"/>
  <c r="D43" i="26"/>
  <c r="R42" i="26"/>
  <c r="N42" i="26"/>
  <c r="D42" i="26"/>
  <c r="R41" i="26"/>
  <c r="N41" i="26"/>
  <c r="D41" i="26"/>
  <c r="R40" i="26"/>
  <c r="N40" i="26"/>
  <c r="D40" i="26"/>
  <c r="R35" i="26"/>
  <c r="N35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D35" i="26"/>
  <c r="R34" i="26"/>
  <c r="N34" i="26"/>
  <c r="D34" i="26"/>
  <c r="R33" i="26"/>
  <c r="N33" i="26"/>
  <c r="D33" i="26"/>
  <c r="R32" i="26"/>
  <c r="N32" i="26"/>
  <c r="D32" i="26"/>
  <c r="R31" i="26"/>
  <c r="N31" i="26"/>
  <c r="D31" i="26"/>
  <c r="R30" i="26"/>
  <c r="N30" i="26"/>
  <c r="D30" i="26"/>
  <c r="R29" i="26"/>
  <c r="N29" i="26"/>
  <c r="D29" i="26"/>
  <c r="R28" i="26"/>
  <c r="N28" i="26"/>
  <c r="D28" i="26"/>
  <c r="R27" i="26"/>
  <c r="N27" i="26"/>
  <c r="D27" i="26"/>
  <c r="R26" i="26"/>
  <c r="N26" i="26"/>
  <c r="D26" i="26"/>
  <c r="R25" i="26"/>
  <c r="N25" i="26"/>
  <c r="D25" i="26"/>
  <c r="R24" i="26"/>
  <c r="N24" i="26"/>
  <c r="D24" i="26"/>
  <c r="R23" i="26"/>
  <c r="N23" i="26"/>
  <c r="D23" i="26"/>
  <c r="R22" i="26"/>
  <c r="N22" i="26"/>
  <c r="D22" i="26"/>
  <c r="K5" i="26"/>
  <c r="L5" i="26"/>
  <c r="M5" i="26"/>
  <c r="O5" i="26"/>
  <c r="S5" i="26"/>
  <c r="K6" i="26"/>
  <c r="L6" i="26"/>
  <c r="M6" i="26"/>
  <c r="O6" i="26"/>
  <c r="S6" i="26"/>
  <c r="K7" i="26"/>
  <c r="L7" i="26"/>
  <c r="M7" i="26"/>
  <c r="O7" i="26"/>
  <c r="S7" i="26"/>
  <c r="K8" i="26"/>
  <c r="L8" i="26"/>
  <c r="M8" i="26"/>
  <c r="O8" i="26"/>
  <c r="S8" i="26"/>
  <c r="K9" i="26"/>
  <c r="L9" i="26"/>
  <c r="M9" i="26"/>
  <c r="O9" i="26"/>
  <c r="S9" i="26"/>
  <c r="K10" i="26"/>
  <c r="L10" i="26"/>
  <c r="M10" i="26"/>
  <c r="O10" i="26"/>
  <c r="S10" i="26"/>
  <c r="K11" i="26"/>
  <c r="L11" i="26"/>
  <c r="M11" i="26"/>
  <c r="O11" i="26"/>
  <c r="S11" i="26"/>
  <c r="K12" i="26"/>
  <c r="L12" i="26"/>
  <c r="M12" i="26"/>
  <c r="O12" i="26"/>
  <c r="S12" i="26"/>
  <c r="K13" i="26"/>
  <c r="L13" i="26"/>
  <c r="M13" i="26"/>
  <c r="O13" i="26"/>
  <c r="S13" i="26"/>
  <c r="K14" i="26"/>
  <c r="L14" i="26"/>
  <c r="M14" i="26"/>
  <c r="O14" i="26"/>
  <c r="S14" i="26"/>
  <c r="K15" i="26"/>
  <c r="L15" i="26"/>
  <c r="M15" i="26"/>
  <c r="O15" i="26"/>
  <c r="S15" i="26"/>
  <c r="K16" i="26"/>
  <c r="L16" i="26"/>
  <c r="M16" i="26"/>
  <c r="O16" i="26"/>
  <c r="S16" i="26"/>
  <c r="K17" i="26"/>
  <c r="L17" i="26"/>
  <c r="M17" i="26"/>
  <c r="O17" i="26"/>
  <c r="S17" i="26"/>
  <c r="L4" i="26"/>
  <c r="M4" i="26"/>
  <c r="O4" i="26"/>
  <c r="S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4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N4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R17" i="26"/>
  <c r="N17" i="26"/>
  <c r="R16" i="26"/>
  <c r="N16" i="26"/>
  <c r="R15" i="26"/>
  <c r="N15" i="26"/>
  <c r="R14" i="26"/>
  <c r="N14" i="26"/>
  <c r="R13" i="26"/>
  <c r="N13" i="26"/>
  <c r="R12" i="26"/>
  <c r="N12" i="26"/>
  <c r="R11" i="26"/>
  <c r="N11" i="26"/>
  <c r="R10" i="26"/>
  <c r="N10" i="26"/>
  <c r="R9" i="26"/>
  <c r="N9" i="26"/>
  <c r="R8" i="26"/>
  <c r="N8" i="26"/>
  <c r="R7" i="26"/>
  <c r="N7" i="26"/>
  <c r="R6" i="26"/>
  <c r="N6" i="26"/>
  <c r="R5" i="26"/>
  <c r="N5" i="26"/>
  <c r="R4" i="26"/>
  <c r="D48" i="25"/>
  <c r="F40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K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L8" i="25"/>
  <c r="O8" i="25"/>
  <c r="H8" i="25"/>
  <c r="K8" i="25"/>
  <c r="D8" i="25"/>
  <c r="G8" i="25"/>
  <c r="P8" i="25"/>
  <c r="R8" i="25"/>
  <c r="Q8" i="25"/>
  <c r="L7" i="25"/>
  <c r="O7" i="25"/>
  <c r="H7" i="25"/>
  <c r="K7" i="25"/>
  <c r="D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B8" i="23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105" i="7"/>
  <c r="D201" i="7"/>
  <c r="E201" i="7"/>
  <c r="F201" i="7"/>
  <c r="D200" i="7"/>
  <c r="E200" i="7"/>
  <c r="F200" i="7"/>
  <c r="D199" i="7"/>
  <c r="E199" i="7"/>
  <c r="F199" i="7"/>
  <c r="D198" i="7"/>
  <c r="E198" i="7"/>
  <c r="F198" i="7"/>
  <c r="D197" i="7"/>
  <c r="E197" i="7"/>
  <c r="F197" i="7"/>
  <c r="D196" i="7"/>
  <c r="E196" i="7"/>
  <c r="F196" i="7"/>
  <c r="D195" i="7"/>
  <c r="E195" i="7"/>
  <c r="F195" i="7"/>
  <c r="D194" i="7"/>
  <c r="E194" i="7"/>
  <c r="F194" i="7"/>
  <c r="D193" i="7"/>
  <c r="E193" i="7"/>
  <c r="F193" i="7"/>
  <c r="D192" i="7"/>
  <c r="E192" i="7"/>
  <c r="F192" i="7"/>
  <c r="D191" i="7"/>
  <c r="E191" i="7"/>
  <c r="F191" i="7"/>
  <c r="D190" i="7"/>
  <c r="E190" i="7"/>
  <c r="F190" i="7"/>
  <c r="D189" i="7"/>
  <c r="E189" i="7"/>
  <c r="F189" i="7"/>
  <c r="D188" i="7"/>
  <c r="E188" i="7"/>
  <c r="F188" i="7"/>
  <c r="D187" i="7"/>
  <c r="E187" i="7"/>
  <c r="F187" i="7"/>
  <c r="D186" i="7"/>
  <c r="E186" i="7"/>
  <c r="F186" i="7"/>
  <c r="D185" i="7"/>
  <c r="E185" i="7"/>
  <c r="F185" i="7"/>
  <c r="D184" i="7"/>
  <c r="E184" i="7"/>
  <c r="F184" i="7"/>
  <c r="D183" i="7"/>
  <c r="E183" i="7"/>
  <c r="F183" i="7"/>
  <c r="D182" i="7"/>
  <c r="E182" i="7"/>
  <c r="F182" i="7"/>
  <c r="D181" i="7"/>
  <c r="E181" i="7"/>
  <c r="F181" i="7"/>
  <c r="D180" i="7"/>
  <c r="E180" i="7"/>
  <c r="F180" i="7"/>
  <c r="D179" i="7"/>
  <c r="E179" i="7"/>
  <c r="F179" i="7"/>
  <c r="D178" i="7"/>
  <c r="E178" i="7"/>
  <c r="F178" i="7"/>
  <c r="D177" i="7"/>
  <c r="E177" i="7"/>
  <c r="F177" i="7"/>
  <c r="D176" i="7"/>
  <c r="E176" i="7"/>
  <c r="F176" i="7"/>
  <c r="D175" i="7"/>
  <c r="E175" i="7"/>
  <c r="F175" i="7"/>
  <c r="D174" i="7"/>
  <c r="E174" i="7"/>
  <c r="F174" i="7"/>
  <c r="D173" i="7"/>
  <c r="E173" i="7"/>
  <c r="F173" i="7"/>
  <c r="D172" i="7"/>
  <c r="E172" i="7"/>
  <c r="F172" i="7"/>
  <c r="D171" i="7"/>
  <c r="E171" i="7"/>
  <c r="F171" i="7"/>
  <c r="D170" i="7"/>
  <c r="E170" i="7"/>
  <c r="F170" i="7"/>
  <c r="D169" i="7"/>
  <c r="E169" i="7"/>
  <c r="F169" i="7"/>
  <c r="D168" i="7"/>
  <c r="E168" i="7"/>
  <c r="F168" i="7"/>
  <c r="D167" i="7"/>
  <c r="E167" i="7"/>
  <c r="F167" i="7"/>
  <c r="D166" i="7"/>
  <c r="E166" i="7"/>
  <c r="F166" i="7"/>
  <c r="D165" i="7"/>
  <c r="E165" i="7"/>
  <c r="F165" i="7"/>
  <c r="D164" i="7"/>
  <c r="E164" i="7"/>
  <c r="F164" i="7"/>
  <c r="D163" i="7"/>
  <c r="E163" i="7"/>
  <c r="F163" i="7"/>
  <c r="D162" i="7"/>
  <c r="E162" i="7"/>
  <c r="F162" i="7"/>
  <c r="D161" i="7"/>
  <c r="E161" i="7"/>
  <c r="F161" i="7"/>
  <c r="D160" i="7"/>
  <c r="E160" i="7"/>
  <c r="F160" i="7"/>
  <c r="D159" i="7"/>
  <c r="E159" i="7"/>
  <c r="F159" i="7"/>
  <c r="D158" i="7"/>
  <c r="E158" i="7"/>
  <c r="F158" i="7"/>
  <c r="D157" i="7"/>
  <c r="E157" i="7"/>
  <c r="F157" i="7"/>
  <c r="D156" i="7"/>
  <c r="E156" i="7"/>
  <c r="F156" i="7"/>
  <c r="D155" i="7"/>
  <c r="E155" i="7"/>
  <c r="F155" i="7"/>
  <c r="D154" i="7"/>
  <c r="E154" i="7"/>
  <c r="F154" i="7"/>
  <c r="D153" i="7"/>
  <c r="E153" i="7"/>
  <c r="F153" i="7"/>
  <c r="D152" i="7"/>
  <c r="E152" i="7"/>
  <c r="F152" i="7"/>
  <c r="D151" i="7"/>
  <c r="E151" i="7"/>
  <c r="F151" i="7"/>
  <c r="D150" i="7"/>
  <c r="E150" i="7"/>
  <c r="F150" i="7"/>
  <c r="D149" i="7"/>
  <c r="E149" i="7"/>
  <c r="F149" i="7"/>
  <c r="D148" i="7"/>
  <c r="E148" i="7"/>
  <c r="F148" i="7"/>
  <c r="D147" i="7"/>
  <c r="E147" i="7"/>
  <c r="F147" i="7"/>
  <c r="D146" i="7"/>
  <c r="E146" i="7"/>
  <c r="F146" i="7"/>
  <c r="D145" i="7"/>
  <c r="E145" i="7"/>
  <c r="F145" i="7"/>
  <c r="D144" i="7"/>
  <c r="E144" i="7"/>
  <c r="F144" i="7"/>
  <c r="D143" i="7"/>
  <c r="E143" i="7"/>
  <c r="F143" i="7"/>
  <c r="D142" i="7"/>
  <c r="E142" i="7"/>
  <c r="F142" i="7"/>
  <c r="D141" i="7"/>
  <c r="E141" i="7"/>
  <c r="F141" i="7"/>
  <c r="D140" i="7"/>
  <c r="E140" i="7"/>
  <c r="F140" i="7"/>
  <c r="D139" i="7"/>
  <c r="E139" i="7"/>
  <c r="F139" i="7"/>
  <c r="D138" i="7"/>
  <c r="E138" i="7"/>
  <c r="F138" i="7"/>
  <c r="D137" i="7"/>
  <c r="E137" i="7"/>
  <c r="F137" i="7"/>
  <c r="D136" i="7"/>
  <c r="E136" i="7"/>
  <c r="F136" i="7"/>
  <c r="D135" i="7"/>
  <c r="E135" i="7"/>
  <c r="F135" i="7"/>
  <c r="D134" i="7"/>
  <c r="E134" i="7"/>
  <c r="F134" i="7"/>
  <c r="D133" i="7"/>
  <c r="E133" i="7"/>
  <c r="F133" i="7"/>
  <c r="D132" i="7"/>
  <c r="E132" i="7"/>
  <c r="F132" i="7"/>
  <c r="D131" i="7"/>
  <c r="E131" i="7"/>
  <c r="F131" i="7"/>
  <c r="D130" i="7"/>
  <c r="E130" i="7"/>
  <c r="F130" i="7"/>
  <c r="D129" i="7"/>
  <c r="E129" i="7"/>
  <c r="F129" i="7"/>
  <c r="D128" i="7"/>
  <c r="E128" i="7"/>
  <c r="F128" i="7"/>
  <c r="D127" i="7"/>
  <c r="E127" i="7"/>
  <c r="F127" i="7"/>
  <c r="D126" i="7"/>
  <c r="E126" i="7"/>
  <c r="F126" i="7"/>
  <c r="D125" i="7"/>
  <c r="E125" i="7"/>
  <c r="F125" i="7"/>
  <c r="D124" i="7"/>
  <c r="E124" i="7"/>
  <c r="F124" i="7"/>
  <c r="D123" i="7"/>
  <c r="E123" i="7"/>
  <c r="F123" i="7"/>
  <c r="D122" i="7"/>
  <c r="E122" i="7"/>
  <c r="F122" i="7"/>
  <c r="D121" i="7"/>
  <c r="E121" i="7"/>
  <c r="F121" i="7"/>
  <c r="D120" i="7"/>
  <c r="E120" i="7"/>
  <c r="F120" i="7"/>
  <c r="D119" i="7"/>
  <c r="E119" i="7"/>
  <c r="F119" i="7"/>
  <c r="D118" i="7"/>
  <c r="E118" i="7"/>
  <c r="F118" i="7"/>
  <c r="D117" i="7"/>
  <c r="E117" i="7"/>
  <c r="F117" i="7"/>
  <c r="D116" i="7"/>
  <c r="E116" i="7"/>
  <c r="F116" i="7"/>
  <c r="D115" i="7"/>
  <c r="E115" i="7"/>
  <c r="F115" i="7"/>
  <c r="D114" i="7"/>
  <c r="E114" i="7"/>
  <c r="F114" i="7"/>
  <c r="D113" i="7"/>
  <c r="E113" i="7"/>
  <c r="F113" i="7"/>
  <c r="D112" i="7"/>
  <c r="E112" i="7"/>
  <c r="F112" i="7"/>
  <c r="D111" i="7"/>
  <c r="E111" i="7"/>
  <c r="F111" i="7"/>
  <c r="D110" i="7"/>
  <c r="E110" i="7"/>
  <c r="F110" i="7"/>
  <c r="D109" i="7"/>
  <c r="E109" i="7"/>
  <c r="F109" i="7"/>
  <c r="D108" i="7"/>
  <c r="E108" i="7"/>
  <c r="F108" i="7"/>
  <c r="D107" i="7"/>
  <c r="E107" i="7"/>
  <c r="F107" i="7"/>
  <c r="D106" i="7"/>
  <c r="E106" i="7"/>
  <c r="F106" i="7"/>
  <c r="D105" i="7"/>
  <c r="E105" i="7"/>
  <c r="F105" i="7"/>
  <c r="C101" i="7"/>
  <c r="D101" i="7"/>
  <c r="E101" i="7"/>
  <c r="F101" i="7"/>
  <c r="C100" i="7"/>
  <c r="D100" i="7"/>
  <c r="E100" i="7"/>
  <c r="F100" i="7"/>
  <c r="C99" i="7"/>
  <c r="D99" i="7"/>
  <c r="E99" i="7"/>
  <c r="F99" i="7"/>
  <c r="C98" i="7"/>
  <c r="D98" i="7"/>
  <c r="E98" i="7"/>
  <c r="F98" i="7"/>
  <c r="C97" i="7"/>
  <c r="D97" i="7"/>
  <c r="E97" i="7"/>
  <c r="F97" i="7"/>
  <c r="C96" i="7"/>
  <c r="D96" i="7"/>
  <c r="E96" i="7"/>
  <c r="F96" i="7"/>
  <c r="C95" i="7"/>
  <c r="D95" i="7"/>
  <c r="E95" i="7"/>
  <c r="F95" i="7"/>
  <c r="C94" i="7"/>
  <c r="D94" i="7"/>
  <c r="E94" i="7"/>
  <c r="F94" i="7"/>
  <c r="C93" i="7"/>
  <c r="D93" i="7"/>
  <c r="E93" i="7"/>
  <c r="F93" i="7"/>
  <c r="C92" i="7"/>
  <c r="D92" i="7"/>
  <c r="E92" i="7"/>
  <c r="F92" i="7"/>
  <c r="C91" i="7"/>
  <c r="D91" i="7"/>
  <c r="E91" i="7"/>
  <c r="F91" i="7"/>
  <c r="C90" i="7"/>
  <c r="D90" i="7"/>
  <c r="E90" i="7"/>
  <c r="F90" i="7"/>
  <c r="C89" i="7"/>
  <c r="D89" i="7"/>
  <c r="E89" i="7"/>
  <c r="F89" i="7"/>
  <c r="C88" i="7"/>
  <c r="D88" i="7"/>
  <c r="E88" i="7"/>
  <c r="F88" i="7"/>
  <c r="C87" i="7"/>
  <c r="D87" i="7"/>
  <c r="E87" i="7"/>
  <c r="F87" i="7"/>
  <c r="C86" i="7"/>
  <c r="D86" i="7"/>
  <c r="E86" i="7"/>
  <c r="F86" i="7"/>
  <c r="C85" i="7"/>
  <c r="D85" i="7"/>
  <c r="E85" i="7"/>
  <c r="F85" i="7"/>
  <c r="C84" i="7"/>
  <c r="D84" i="7"/>
  <c r="E84" i="7"/>
  <c r="F84" i="7"/>
  <c r="C83" i="7"/>
  <c r="D83" i="7"/>
  <c r="E83" i="7"/>
  <c r="F83" i="7"/>
  <c r="C82" i="7"/>
  <c r="D82" i="7"/>
  <c r="E82" i="7"/>
  <c r="F82" i="7"/>
  <c r="C81" i="7"/>
  <c r="D81" i="7"/>
  <c r="E81" i="7"/>
  <c r="F81" i="7"/>
  <c r="C80" i="7"/>
  <c r="D80" i="7"/>
  <c r="E80" i="7"/>
  <c r="F80" i="7"/>
  <c r="C79" i="7"/>
  <c r="D79" i="7"/>
  <c r="E79" i="7"/>
  <c r="F79" i="7"/>
  <c r="C78" i="7"/>
  <c r="D78" i="7"/>
  <c r="E78" i="7"/>
  <c r="F78" i="7"/>
  <c r="C77" i="7"/>
  <c r="D77" i="7"/>
  <c r="E77" i="7"/>
  <c r="F77" i="7"/>
  <c r="C76" i="7"/>
  <c r="D76" i="7"/>
  <c r="E76" i="7"/>
  <c r="F76" i="7"/>
  <c r="C75" i="7"/>
  <c r="D75" i="7"/>
  <c r="E75" i="7"/>
  <c r="F75" i="7"/>
  <c r="C74" i="7"/>
  <c r="D74" i="7"/>
  <c r="E74" i="7"/>
  <c r="F74" i="7"/>
  <c r="C73" i="7"/>
  <c r="D73" i="7"/>
  <c r="E73" i="7"/>
  <c r="F73" i="7"/>
  <c r="C72" i="7"/>
  <c r="D72" i="7"/>
  <c r="E72" i="7"/>
  <c r="F72" i="7"/>
  <c r="C71" i="7"/>
  <c r="D71" i="7"/>
  <c r="E71" i="7"/>
  <c r="F71" i="7"/>
  <c r="C70" i="7"/>
  <c r="D70" i="7"/>
  <c r="E70" i="7"/>
  <c r="F70" i="7"/>
  <c r="C69" i="7"/>
  <c r="D69" i="7"/>
  <c r="E69" i="7"/>
  <c r="F69" i="7"/>
  <c r="C68" i="7"/>
  <c r="D68" i="7"/>
  <c r="E68" i="7"/>
  <c r="F68" i="7"/>
  <c r="C67" i="7"/>
  <c r="D67" i="7"/>
  <c r="E67" i="7"/>
  <c r="F67" i="7"/>
  <c r="C66" i="7"/>
  <c r="D66" i="7"/>
  <c r="E66" i="7"/>
  <c r="F66" i="7"/>
  <c r="C65" i="7"/>
  <c r="D65" i="7"/>
  <c r="E65" i="7"/>
  <c r="F65" i="7"/>
  <c r="C64" i="7"/>
  <c r="D64" i="7"/>
  <c r="E64" i="7"/>
  <c r="F64" i="7"/>
  <c r="C63" i="7"/>
  <c r="D63" i="7"/>
  <c r="E63" i="7"/>
  <c r="F63" i="7"/>
  <c r="C62" i="7"/>
  <c r="D62" i="7"/>
  <c r="E62" i="7"/>
  <c r="F62" i="7"/>
  <c r="C61" i="7"/>
  <c r="D61" i="7"/>
  <c r="E61" i="7"/>
  <c r="F61" i="7"/>
  <c r="C60" i="7"/>
  <c r="D60" i="7"/>
  <c r="E60" i="7"/>
  <c r="F60" i="7"/>
  <c r="C59" i="7"/>
  <c r="D59" i="7"/>
  <c r="E59" i="7"/>
  <c r="F59" i="7"/>
  <c r="C58" i="7"/>
  <c r="D58" i="7"/>
  <c r="E58" i="7"/>
  <c r="F58" i="7"/>
  <c r="C57" i="7"/>
  <c r="D57" i="7"/>
  <c r="E57" i="7"/>
  <c r="F57" i="7"/>
  <c r="C56" i="7"/>
  <c r="D56" i="7"/>
  <c r="E56" i="7"/>
  <c r="F56" i="7"/>
  <c r="C55" i="7"/>
  <c r="D55" i="7"/>
  <c r="E55" i="7"/>
  <c r="F55" i="7"/>
  <c r="C54" i="7"/>
  <c r="D54" i="7"/>
  <c r="E54" i="7"/>
  <c r="F54" i="7"/>
  <c r="C53" i="7"/>
  <c r="D53" i="7"/>
  <c r="E53" i="7"/>
  <c r="F53" i="7"/>
  <c r="C52" i="7"/>
  <c r="D52" i="7"/>
  <c r="E52" i="7"/>
  <c r="F52" i="7"/>
  <c r="C51" i="7"/>
  <c r="D51" i="7"/>
  <c r="E51" i="7"/>
  <c r="F51" i="7"/>
  <c r="C50" i="7"/>
  <c r="D50" i="7"/>
  <c r="E50" i="7"/>
  <c r="F50" i="7"/>
  <c r="C49" i="7"/>
  <c r="D49" i="7"/>
  <c r="E49" i="7"/>
  <c r="F49" i="7"/>
  <c r="C48" i="7"/>
  <c r="D48" i="7"/>
  <c r="E48" i="7"/>
  <c r="F48" i="7"/>
  <c r="C47" i="7"/>
  <c r="D47" i="7"/>
  <c r="E47" i="7"/>
  <c r="F47" i="7"/>
  <c r="C46" i="7"/>
  <c r="D46" i="7"/>
  <c r="E46" i="7"/>
  <c r="F46" i="7"/>
  <c r="C45" i="7"/>
  <c r="D45" i="7"/>
  <c r="E45" i="7"/>
  <c r="F45" i="7"/>
  <c r="C44" i="7"/>
  <c r="D44" i="7"/>
  <c r="E44" i="7"/>
  <c r="F44" i="7"/>
  <c r="C43" i="7"/>
  <c r="D43" i="7"/>
  <c r="E43" i="7"/>
  <c r="F43" i="7"/>
  <c r="C42" i="7"/>
  <c r="D42" i="7"/>
  <c r="E42" i="7"/>
  <c r="F42" i="7"/>
  <c r="C41" i="7"/>
  <c r="D41" i="7"/>
  <c r="E41" i="7"/>
  <c r="F41" i="7"/>
  <c r="C40" i="7"/>
  <c r="D40" i="7"/>
  <c r="E40" i="7"/>
  <c r="F40" i="7"/>
  <c r="C39" i="7"/>
  <c r="D39" i="7"/>
  <c r="E39" i="7"/>
  <c r="F39" i="7"/>
  <c r="C38" i="7"/>
  <c r="D38" i="7"/>
  <c r="E38" i="7"/>
  <c r="F38" i="7"/>
  <c r="C37" i="7"/>
  <c r="D37" i="7"/>
  <c r="E37" i="7"/>
  <c r="F37" i="7"/>
  <c r="C36" i="7"/>
  <c r="D36" i="7"/>
  <c r="E36" i="7"/>
  <c r="F36" i="7"/>
  <c r="C35" i="7"/>
  <c r="D35" i="7"/>
  <c r="E35" i="7"/>
  <c r="F35" i="7"/>
  <c r="C34" i="7"/>
  <c r="D34" i="7"/>
  <c r="E34" i="7"/>
  <c r="F34" i="7"/>
  <c r="C33" i="7"/>
  <c r="D33" i="7"/>
  <c r="E33" i="7"/>
  <c r="F33" i="7"/>
  <c r="C32" i="7"/>
  <c r="D32" i="7"/>
  <c r="E32" i="7"/>
  <c r="F32" i="7"/>
  <c r="C31" i="7"/>
  <c r="D31" i="7"/>
  <c r="E31" i="7"/>
  <c r="F31" i="7"/>
  <c r="C30" i="7"/>
  <c r="D30" i="7"/>
  <c r="E30" i="7"/>
  <c r="F30" i="7"/>
  <c r="C29" i="7"/>
  <c r="D29" i="7"/>
  <c r="E29" i="7"/>
  <c r="F29" i="7"/>
  <c r="C28" i="7"/>
  <c r="D28" i="7"/>
  <c r="E28" i="7"/>
  <c r="F28" i="7"/>
  <c r="C27" i="7"/>
  <c r="D27" i="7"/>
  <c r="E27" i="7"/>
  <c r="F27" i="7"/>
  <c r="C26" i="7"/>
  <c r="D26" i="7"/>
  <c r="E26" i="7"/>
  <c r="F26" i="7"/>
  <c r="C25" i="7"/>
  <c r="D25" i="7"/>
  <c r="E25" i="7"/>
  <c r="F25" i="7"/>
  <c r="C24" i="7"/>
  <c r="D24" i="7"/>
  <c r="E24" i="7"/>
  <c r="F24" i="7"/>
  <c r="C23" i="7"/>
  <c r="D23" i="7"/>
  <c r="E23" i="7"/>
  <c r="F23" i="7"/>
  <c r="C22" i="7"/>
  <c r="D22" i="7"/>
  <c r="E22" i="7"/>
  <c r="F22" i="7"/>
  <c r="C21" i="7"/>
  <c r="D21" i="7"/>
  <c r="E21" i="7"/>
  <c r="F21" i="7"/>
  <c r="C20" i="7"/>
  <c r="D20" i="7"/>
  <c r="E20" i="7"/>
  <c r="F20" i="7"/>
  <c r="C19" i="7"/>
  <c r="D19" i="7"/>
  <c r="E19" i="7"/>
  <c r="F19" i="7"/>
  <c r="C18" i="7"/>
  <c r="D18" i="7"/>
  <c r="E18" i="7"/>
  <c r="F18" i="7"/>
  <c r="C17" i="7"/>
  <c r="D17" i="7"/>
  <c r="E17" i="7"/>
  <c r="F17" i="7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C8" i="7"/>
  <c r="D8" i="7"/>
  <c r="E8" i="7"/>
  <c r="F8" i="7"/>
  <c r="C7" i="7"/>
  <c r="D7" i="7"/>
  <c r="E7" i="7"/>
  <c r="F7" i="7"/>
  <c r="C6" i="7"/>
  <c r="D6" i="7"/>
  <c r="E6" i="7"/>
  <c r="F6" i="7"/>
  <c r="C5" i="7"/>
  <c r="D5" i="7"/>
  <c r="E5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1" i="17"/>
  <c r="F10" i="17"/>
  <c r="F9" i="17"/>
  <c r="F6" i="17"/>
  <c r="F7" i="17"/>
  <c r="F8" i="17"/>
  <c r="V17" i="22"/>
  <c r="X17" i="22"/>
  <c r="W4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B10" i="23"/>
  <c r="B9" i="23"/>
  <c r="X4" i="22"/>
  <c r="U4" i="22"/>
  <c r="X5" i="22"/>
  <c r="X6" i="22"/>
  <c r="X7" i="22"/>
  <c r="X8" i="22"/>
  <c r="X9" i="22"/>
  <c r="X10" i="22"/>
  <c r="X11" i="22"/>
  <c r="X12" i="22"/>
  <c r="X13" i="22"/>
  <c r="X14" i="22"/>
  <c r="X15" i="22"/>
  <c r="X16" i="22"/>
  <c r="Q4" i="22"/>
  <c r="H17" i="22"/>
  <c r="U17" i="22"/>
  <c r="L17" i="22"/>
  <c r="P17" i="22"/>
  <c r="W17" i="22"/>
  <c r="H16" i="22"/>
  <c r="U16" i="22"/>
  <c r="L16" i="22"/>
  <c r="P16" i="22"/>
  <c r="W16" i="22"/>
  <c r="H15" i="22"/>
  <c r="U15" i="22"/>
  <c r="L15" i="22"/>
  <c r="P15" i="22"/>
  <c r="W15" i="22"/>
  <c r="H14" i="22"/>
  <c r="U14" i="22"/>
  <c r="L14" i="22"/>
  <c r="P14" i="22"/>
  <c r="W14" i="22"/>
  <c r="H13" i="22"/>
  <c r="U13" i="22"/>
  <c r="L13" i="22"/>
  <c r="P13" i="22"/>
  <c r="W13" i="22"/>
  <c r="H12" i="22"/>
  <c r="U12" i="22"/>
  <c r="L12" i="22"/>
  <c r="P12" i="22"/>
  <c r="W12" i="22"/>
  <c r="H11" i="22"/>
  <c r="U11" i="22"/>
  <c r="L11" i="22"/>
  <c r="P11" i="22"/>
  <c r="W11" i="22"/>
  <c r="H10" i="22"/>
  <c r="U10" i="22"/>
  <c r="L10" i="22"/>
  <c r="P10" i="22"/>
  <c r="W10" i="22"/>
  <c r="H9" i="22"/>
  <c r="U9" i="22"/>
  <c r="L9" i="22"/>
  <c r="P9" i="22"/>
  <c r="W9" i="22"/>
  <c r="H8" i="22"/>
  <c r="U8" i="22"/>
  <c r="L8" i="22"/>
  <c r="P8" i="22"/>
  <c r="W8" i="22"/>
  <c r="H7" i="22"/>
  <c r="U7" i="22"/>
  <c r="L7" i="22"/>
  <c r="P7" i="22"/>
  <c r="W7" i="22"/>
  <c r="H6" i="22"/>
  <c r="U6" i="22"/>
  <c r="L6" i="22"/>
  <c r="P6" i="22"/>
  <c r="W6" i="22"/>
  <c r="H5" i="22"/>
  <c r="U5" i="22"/>
  <c r="L5" i="22"/>
  <c r="P5" i="22"/>
  <c r="W5" i="22"/>
  <c r="H4" i="22"/>
  <c r="L4" i="22"/>
  <c r="P4" i="22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B12" i="23"/>
  <c r="D19" i="23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8" i="21"/>
  <c r="H8" i="21"/>
  <c r="G9" i="21"/>
  <c r="H9" i="21"/>
  <c r="G10" i="21"/>
  <c r="H10" i="21"/>
  <c r="G11" i="21"/>
  <c r="H11" i="21"/>
  <c r="G12" i="21"/>
  <c r="H12" i="21"/>
  <c r="G13" i="21"/>
  <c r="H13" i="21"/>
  <c r="G14" i="21"/>
  <c r="H14" i="21"/>
  <c r="G15" i="21"/>
  <c r="H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G20" i="15"/>
  <c r="H20" i="15"/>
  <c r="G21" i="15"/>
  <c r="H21" i="15"/>
  <c r="T17" i="8"/>
  <c r="T4" i="8"/>
  <c r="B4" i="23"/>
  <c r="H4" i="8"/>
  <c r="H17" i="8"/>
  <c r="B2" i="23"/>
  <c r="P4" i="8"/>
  <c r="P17" i="8"/>
  <c r="B3" i="23"/>
  <c r="L35" i="8"/>
  <c r="L22" i="8"/>
  <c r="B6" i="23"/>
  <c r="L17" i="8"/>
  <c r="L4" i="8"/>
  <c r="B5" i="23"/>
  <c r="M35" i="8"/>
  <c r="M22" i="8"/>
  <c r="C6" i="23"/>
  <c r="M17" i="8"/>
  <c r="M4" i="8"/>
  <c r="C5" i="23"/>
  <c r="U4" i="8"/>
  <c r="U17" i="8"/>
  <c r="C4" i="23"/>
  <c r="Q4" i="8"/>
  <c r="Q17" i="8"/>
  <c r="C3" i="23"/>
  <c r="I4" i="8"/>
  <c r="I17" i="8"/>
  <c r="C2" i="2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K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C17" i="23"/>
  <c r="C18" i="23"/>
  <c r="I21" i="8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D21" i="23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4" i="22"/>
  <c r="G10" i="18"/>
  <c r="H10" i="18"/>
  <c r="G11" i="18"/>
  <c r="H11" i="18"/>
  <c r="G7" i="18"/>
  <c r="H7" i="18"/>
  <c r="G8" i="18"/>
  <c r="H8" i="18"/>
  <c r="G9" i="18"/>
  <c r="H9" i="18"/>
  <c r="D22" i="23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B7" i="23"/>
  <c r="D18" i="23"/>
  <c r="D17" i="23"/>
  <c r="H7" i="14"/>
  <c r="G7" i="1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3" i="4"/>
  <c r="L21" i="8"/>
  <c r="L23" i="8"/>
  <c r="L24" i="8"/>
  <c r="L25" i="8"/>
  <c r="L26" i="8"/>
  <c r="L27" i="8"/>
  <c r="L28" i="8"/>
  <c r="L29" i="8"/>
  <c r="L30" i="8"/>
  <c r="L31" i="8"/>
  <c r="L32" i="8"/>
  <c r="L33" i="8"/>
  <c r="L34" i="8"/>
  <c r="T13" i="8"/>
  <c r="H7" i="21"/>
  <c r="G7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3" i="4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G18" i="16"/>
  <c r="H18" i="16"/>
  <c r="G19" i="16"/>
  <c r="H19" i="16"/>
  <c r="G20" i="16"/>
  <c r="H20" i="16"/>
  <c r="G21" i="16"/>
  <c r="H21" i="16"/>
  <c r="G18" i="20"/>
  <c r="H18" i="20"/>
  <c r="G19" i="20"/>
  <c r="H19" i="20"/>
  <c r="G20" i="20"/>
  <c r="H20" i="20"/>
  <c r="G21" i="20"/>
  <c r="H21" i="20"/>
  <c r="H32" i="8"/>
  <c r="I32" i="8"/>
  <c r="M32" i="8"/>
  <c r="P32" i="8"/>
  <c r="Q32" i="8"/>
  <c r="H33" i="8"/>
  <c r="I33" i="8"/>
  <c r="M33" i="8"/>
  <c r="P33" i="8"/>
  <c r="Q33" i="8"/>
  <c r="H34" i="8"/>
  <c r="I34" i="8"/>
  <c r="M34" i="8"/>
  <c r="P34" i="8"/>
  <c r="Q34" i="8"/>
  <c r="H35" i="8"/>
  <c r="I35" i="8"/>
  <c r="P35" i="8"/>
  <c r="Q35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G13" i="5"/>
  <c r="G14" i="5"/>
  <c r="G15" i="5"/>
  <c r="G16" i="5"/>
  <c r="G17" i="5"/>
  <c r="H7" i="19"/>
  <c r="G7" i="19"/>
  <c r="I3" i="8"/>
  <c r="H3" i="8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7" i="15"/>
  <c r="G7" i="15"/>
  <c r="P21" i="8"/>
  <c r="H21" i="8"/>
  <c r="U3" i="8"/>
  <c r="Q3" i="8"/>
  <c r="M3" i="8"/>
  <c r="Q21" i="8"/>
  <c r="M21" i="8"/>
  <c r="T3" i="8"/>
  <c r="P3" i="8"/>
  <c r="L3" i="8"/>
  <c r="G3" i="5"/>
  <c r="P22" i="8"/>
  <c r="I22" i="8"/>
  <c r="Q22" i="8"/>
  <c r="H22" i="8"/>
  <c r="G4" i="5"/>
  <c r="P5" i="8"/>
  <c r="I5" i="8"/>
  <c r="H5" i="8"/>
  <c r="T5" i="8"/>
  <c r="Q23" i="8"/>
  <c r="Q5" i="8"/>
  <c r="P23" i="8"/>
  <c r="H23" i="8"/>
  <c r="L5" i="8"/>
  <c r="M23" i="8"/>
  <c r="U5" i="8"/>
  <c r="I23" i="8"/>
  <c r="M5" i="8"/>
  <c r="L7" i="8"/>
  <c r="G5" i="5"/>
  <c r="I6" i="8"/>
  <c r="M24" i="8"/>
  <c r="I24" i="8"/>
  <c r="Q24" i="8"/>
  <c r="P6" i="8"/>
  <c r="P24" i="8"/>
  <c r="H24" i="8"/>
  <c r="H6" i="8"/>
  <c r="L6" i="8"/>
  <c r="U6" i="8"/>
  <c r="Q6" i="8"/>
  <c r="T6" i="8"/>
  <c r="M6" i="8"/>
  <c r="P25" i="8"/>
  <c r="Q25" i="8"/>
  <c r="I25" i="8"/>
  <c r="M7" i="8"/>
  <c r="H25" i="8"/>
  <c r="I7" i="8"/>
  <c r="T7" i="8"/>
  <c r="U7" i="8"/>
  <c r="M25" i="8"/>
  <c r="Q7" i="8"/>
  <c r="H7" i="8"/>
  <c r="P7" i="8"/>
  <c r="G6" i="5"/>
  <c r="U8" i="8"/>
  <c r="M8" i="8"/>
  <c r="I26" i="8"/>
  <c r="P26" i="8"/>
  <c r="H8" i="8"/>
  <c r="H26" i="8"/>
  <c r="G7" i="5"/>
  <c r="T8" i="8"/>
  <c r="Q8" i="8"/>
  <c r="M26" i="8"/>
  <c r="T9" i="8"/>
  <c r="L8" i="8"/>
  <c r="I8" i="8"/>
  <c r="P8" i="8"/>
  <c r="Q26" i="8"/>
  <c r="L9" i="8"/>
  <c r="M27" i="8"/>
  <c r="U9" i="8"/>
  <c r="M9" i="8"/>
  <c r="H27" i="8"/>
  <c r="I27" i="8"/>
  <c r="P27" i="8"/>
  <c r="H9" i="8"/>
  <c r="P9" i="8"/>
  <c r="Q9" i="8"/>
  <c r="G8" i="5"/>
  <c r="Q27" i="8"/>
  <c r="I9" i="8"/>
  <c r="Q28" i="8"/>
  <c r="U10" i="8"/>
  <c r="M28" i="8"/>
  <c r="H28" i="8"/>
  <c r="Q10" i="8"/>
  <c r="I10" i="8"/>
  <c r="T10" i="8"/>
  <c r="L10" i="8"/>
  <c r="G9" i="5"/>
  <c r="P28" i="8"/>
  <c r="P10" i="8"/>
  <c r="M10" i="8"/>
  <c r="I28" i="8"/>
  <c r="H10" i="8"/>
  <c r="P29" i="8"/>
  <c r="T11" i="8"/>
  <c r="L11" i="8"/>
  <c r="I29" i="8"/>
  <c r="Q11" i="8"/>
  <c r="I11" i="8"/>
  <c r="G10" i="5"/>
  <c r="M29" i="8"/>
  <c r="H29" i="8"/>
  <c r="P11" i="8"/>
  <c r="Q29" i="8"/>
  <c r="U11" i="8"/>
  <c r="M11" i="8"/>
  <c r="H11" i="8"/>
  <c r="Q30" i="8"/>
  <c r="U12" i="8"/>
  <c r="M12" i="8"/>
  <c r="H12" i="8"/>
  <c r="M30" i="8"/>
  <c r="H30" i="8"/>
  <c r="P12" i="8"/>
  <c r="G11" i="5"/>
  <c r="I30" i="8"/>
  <c r="Q12" i="8"/>
  <c r="I12" i="8"/>
  <c r="P30" i="8"/>
  <c r="T12" i="8"/>
  <c r="L12" i="8"/>
  <c r="G12" i="5"/>
  <c r="H31" i="8"/>
  <c r="H13" i="8"/>
  <c r="U13" i="8"/>
  <c r="L13" i="8"/>
  <c r="Q31" i="8"/>
  <c r="I31" i="8"/>
  <c r="Q13" i="8"/>
  <c r="I13" i="8"/>
  <c r="P31" i="8"/>
  <c r="P13" i="8"/>
  <c r="M31" i="8"/>
  <c r="M13" i="8"/>
  <c r="D20" i="23"/>
  <c r="C20" i="23"/>
  <c r="C15" i="23"/>
  <c r="C16" i="23"/>
  <c r="D15" i="23"/>
  <c r="D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<sst xmlns="http://schemas.openxmlformats.org/spreadsheetml/2006/main" count="594" uniqueCount="251">
  <si>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</si>
  <si>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</si>
  <si>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</si>
  <si>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</si>
  <si>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</si>
  <si>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</si>
  <si>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</si>
  <si>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</si>
  <si>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</si>
  <si>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</si>
  <si>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</si>
  <si>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</si>
  <si>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</si>
  <si>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</si>
  <si>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</si>
  <si>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</si>
  <si>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</si>
  <si>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</si>
  <si>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</si>
  <si>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</si>
  <si>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</si>
  <si>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</si>
  <si>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</si>
  <si>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</si>
  <si>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</si>
  <si>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</si>
  <si>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</si>
  <si>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</si>
  <si>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</si>
  <si>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</si>
  <si>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</si>
  <si>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</si>
  <si>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</si>
  <si>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</si>
  <si>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</si>
  <si>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</si>
  <si>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</si>
  <si>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</si>
  <si>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</si>
  <si>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</si>
  <si>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</si>
  <si>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</si>
  <si>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</si>
  <si>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</si>
  <si>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</si>
  <si>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</si>
  <si>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</si>
  <si>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</si>
  <si>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</si>
  <si>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</si>
  <si>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</si>
  <si>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</si>
  <si>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</si>
  <si>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</si>
  <si>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</si>
  <si>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</si>
  <si>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</si>
  <si>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</si>
  <si>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</si>
  <si>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</si>
  <si>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</si>
  <si>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</si>
  <si>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</si>
  <si>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</si>
  <si>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</si>
  <si>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</si>
  <si>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</si>
  <si>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</si>
  <si>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</si>
  <si>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</si>
  <si>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</si>
  <si>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</si>
  <si>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</si>
  <si>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</si>
  <si>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</si>
  <si>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</si>
  <si>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</si>
  <si>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</si>
  <si>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</si>
  <si>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</si>
  <si>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</si>
  <si>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</si>
  <si>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</si>
  <si>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</si>
  <si>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</si>
  <si>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</si>
  <si>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</si>
  <si>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</si>
  <si>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</si>
  <si>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</si>
  <si>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</si>
  <si>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</si>
  <si>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</si>
  <si>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</si>
  <si>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</si>
  <si>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</si>
  <si>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</si>
  <si>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</si>
  <si>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</si>
  <si>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</si>
  <si>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</si>
  <si>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</si>
  <si>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</si>
  <si>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</si>
  <si>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</si>
  <si>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</si>
  <si>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</si>
  <si>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</si>
  <si>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</si>
  <si>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</si>
  <si>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</si>
  <si>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</si>
  <si>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</si>
  <si>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</si>
  <si>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</si>
  <si>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</si>
  <si>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</si>
  <si>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</si>
  <si>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</si>
  <si>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</si>
  <si>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</si>
  <si>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</si>
  <si>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</si>
  <si>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</si>
  <si>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</si>
  <si>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</si>
  <si>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</si>
  <si>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</si>
  <si>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</si>
  <si>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</si>
  <si>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</si>
  <si>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</si>
  <si>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</si>
  <si>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</si>
  <si>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</si>
  <si>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</si>
  <si>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</si>
  <si>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</si>
  <si>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</si>
  <si>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</si>
  <si>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</si>
  <si>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</si>
  <si>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</si>
  <si>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</si>
  <si>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</si>
  <si>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</si>
  <si>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6.80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</si>
  <si>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</si>
  <si>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</si>
  <si>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</si>
  <si>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Butyric acid (30 mM)</t>
  </si>
  <si>
    <t>4,130 mL per L</t>
  </si>
  <si>
    <t>LOG</t>
  </si>
  <si>
    <t>STDEV LOG(Count/mL)</t>
  </si>
  <si>
    <t>0.20</t>
  </si>
  <si>
    <t>0.40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</si>
  <si>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</si>
  <si>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</si>
  <si>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</si>
  <si>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</si>
  <si>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</si>
  <si>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</si>
  <si>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</si>
  <si>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</si>
  <si>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</si>
  <si>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</si>
  <si>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</si>
  <si>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</si>
  <si>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</si>
  <si>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</si>
  <si>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</si>
  <si>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x moles D-fructoe consumed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</si>
  <si>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</si>
  <si>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</si>
  <si>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</si>
  <si>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</si>
  <si>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</si>
  <si>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</si>
  <si>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</si>
  <si>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</si>
  <si>
    <t xml:space="preserve">Volume (ul) </t>
  </si>
  <si>
    <t>Outliers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</si>
  <si>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</si>
  <si>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</si>
  <si>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</si>
  <si>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</si>
  <si>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</si>
  <si>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</si>
  <si>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</si>
  <si>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</si>
  <si>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</si>
  <si>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</si>
  <si>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</si>
  <si>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</si>
  <si>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</si>
  <si>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</si>
  <si>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</si>
  <si>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</si>
  <si>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</si>
  <si>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</si>
  <si>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</si>
  <si>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</si>
  <si>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</si>
  <si>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</si>
  <si>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</si>
  <si>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</si>
  <si>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</si>
  <si>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</si>
  <si>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outliers</t>
  </si>
  <si>
    <t>IPC FP10 epp</t>
  </si>
  <si>
    <t>Threshold</t>
  </si>
  <si>
    <t>AUTO</t>
  </si>
  <si>
    <t>Ct Threshold</t>
  </si>
  <si>
    <t>baseline</t>
  </si>
  <si>
    <t>Rico</t>
  </si>
  <si>
    <t>intercept</t>
  </si>
  <si>
    <t>Efficiency E (%)</t>
  </si>
  <si>
    <t>F. prausnitzii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</si>
  <si>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</si>
  <si>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</si>
  <si>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</si>
  <si>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</si>
  <si>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</si>
  <si>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</si>
  <si>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</si>
  <si>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</si>
  <si>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</si>
  <si>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</si>
  <si>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</si>
  <si>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</si>
  <si>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</si>
  <si>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Log (cells/ml medium)</t>
  </si>
  <si>
    <t>STDV Log (cells/ml medium)</t>
  </si>
  <si>
    <t>Dilution log (10x)</t>
  </si>
  <si>
    <t xml:space="preserve">Dilution 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</si>
  <si>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</si>
  <si>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</si>
  <si>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</si>
  <si>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</si>
  <si>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</si>
  <si>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Total Average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</si>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</sst>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90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164" fontId="0" fillId="0" borderId="16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0" fontId="27" fillId="0" borderId="0" xfId="357"/>
    <xf numFmtId="0" fontId="27" fillId="2" borderId="4" xfId="357" applyFill="1" applyBorder="1" applyAlignment="1">
      <alignment horizontal="center" vertical="center"/>
    </xf>
    <xf numFmtId="0" fontId="27" fillId="2" borderId="16" xfId="357" applyFill="1" applyBorder="1" applyAlignment="1">
      <alignment horizontal="center" vertical="center"/>
    </xf>
    <xf numFmtId="0" fontId="27" fillId="2" borderId="3" xfId="357" applyFill="1" applyBorder="1" applyAlignment="1">
      <alignment horizontal="center" vertical="center"/>
    </xf>
    <xf numFmtId="0" fontId="27" fillId="0" borderId="3" xfId="357" applyFill="1" applyBorder="1" applyAlignment="1">
      <alignment horizontal="center" vertical="center"/>
    </xf>
    <xf numFmtId="0" fontId="27" fillId="0" borderId="16" xfId="357" applyFill="1" applyBorder="1" applyAlignment="1">
      <alignment horizontal="center" vertical="center"/>
    </xf>
    <xf numFmtId="11" fontId="27" fillId="0" borderId="16" xfId="357" applyNumberFormat="1" applyFill="1" applyBorder="1" applyAlignment="1">
      <alignment horizontal="center" vertical="center"/>
    </xf>
    <xf numFmtId="0" fontId="0" fillId="0" borderId="16" xfId="357" applyFont="1" applyBorder="1" applyAlignment="1">
      <alignment horizontal="center" vertical="center"/>
    </xf>
    <xf numFmtId="0" fontId="27" fillId="0" borderId="16" xfId="357" applyBorder="1" applyAlignment="1">
      <alignment horizontal="center" vertical="center"/>
    </xf>
    <xf numFmtId="11" fontId="27" fillId="0" borderId="16" xfId="357" applyNumberFormat="1" applyBorder="1" applyAlignment="1">
      <alignment horizontal="center" vertical="center"/>
    </xf>
    <xf numFmtId="2" fontId="27" fillId="0" borderId="16" xfId="357" applyNumberFormat="1" applyBorder="1" applyAlignment="1">
      <alignment horizontal="center" vertical="center"/>
    </xf>
    <xf numFmtId="0" fontId="0" fillId="0" borderId="0" xfId="357" applyFont="1"/>
    <xf numFmtId="0" fontId="27" fillId="2" borderId="22" xfId="357" applyFill="1" applyBorder="1" applyAlignment="1">
      <alignment wrapText="1"/>
    </xf>
    <xf numFmtId="0" fontId="0" fillId="2" borderId="22" xfId="357" applyFont="1" applyFill="1" applyBorder="1" applyAlignment="1">
      <alignment wrapText="1"/>
    </xf>
    <xf numFmtId="0" fontId="0" fillId="2" borderId="22" xfId="357" applyFont="1" applyFill="1" applyBorder="1" applyAlignment="1">
      <alignment horizontal="center" vertical="center" wrapText="1"/>
    </xf>
    <xf numFmtId="165" fontId="27" fillId="0" borderId="16" xfId="357" applyNumberFormat="1" applyBorder="1" applyAlignment="1">
      <alignment horizontal="center" vertical="center"/>
    </xf>
    <xf numFmtId="165" fontId="27" fillId="0" borderId="16" xfId="357" applyNumberFormat="1" applyBorder="1"/>
    <xf numFmtId="165" fontId="27" fillId="0" borderId="0" xfId="357" applyNumberFormat="1"/>
    <xf numFmtId="0" fontId="27" fillId="2" borderId="16" xfId="357" applyFill="1" applyBorder="1"/>
    <xf numFmtId="0" fontId="28" fillId="0" borderId="16" xfId="357" applyFont="1" applyBorder="1"/>
    <xf numFmtId="0" fontId="27" fillId="0" borderId="16" xfId="357" applyBorder="1"/>
    <xf numFmtId="0" fontId="29" fillId="12" borderId="0" xfId="357" applyFont="1" applyFill="1"/>
    <xf numFmtId="165" fontId="25" fillId="0" borderId="18" xfId="0" applyNumberFormat="1" applyFont="1" applyBorder="1" applyAlignment="1">
      <alignment horizontal="center" vertical="center"/>
    </xf>
    <xf numFmtId="2" fontId="27" fillId="0" borderId="16" xfId="357" applyNumberFormat="1" applyBorder="1"/>
    <xf numFmtId="1" fontId="27" fillId="0" borderId="16" xfId="357" applyNumberFormat="1" applyBorder="1"/>
    <xf numFmtId="0" fontId="0" fillId="0" borderId="16" xfId="357" applyFont="1" applyBorder="1"/>
    <xf numFmtId="165" fontId="25" fillId="0" borderId="16" xfId="0" applyNumberFormat="1" applyFont="1" applyBorder="1" applyAlignment="1">
      <alignment horizontal="center" vertical="center"/>
    </xf>
    <xf numFmtId="0" fontId="0" fillId="0" borderId="0" xfId="357" applyFont="1" applyFill="1" applyBorder="1"/>
    <xf numFmtId="165" fontId="2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27" fillId="0" borderId="0" xfId="357" applyNumberFormat="1" applyBorder="1" applyAlignment="1">
      <alignment horizontal="center" vertical="center"/>
    </xf>
    <xf numFmtId="165" fontId="27" fillId="0" borderId="0" xfId="357" applyNumberFormat="1" applyBorder="1"/>
    <xf numFmtId="2" fontId="27" fillId="0" borderId="0" xfId="357" applyNumberFormat="1" applyBorder="1"/>
    <xf numFmtId="1" fontId="27" fillId="0" borderId="0" xfId="357" applyNumberFormat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1" xfId="357" applyFont="1" applyBorder="1" applyAlignment="1">
      <alignment horizontal="center"/>
    </xf>
    <xf numFmtId="0" fontId="27" fillId="0" borderId="21" xfId="357" applyBorder="1" applyAlignment="1">
      <alignment horizontal="center"/>
    </xf>
    <xf numFmtId="0" fontId="27" fillId="0" borderId="17" xfId="357" applyNumberFormat="1" applyFill="1" applyBorder="1" applyAlignment="1">
      <alignment horizontal="center" vertical="center"/>
    </xf>
    <xf numFmtId="0" fontId="27" fillId="0" borderId="5" xfId="357" applyNumberFormat="1" applyFill="1" applyBorder="1" applyAlignment="1">
      <alignment horizontal="center" vertical="center"/>
    </xf>
    <xf numFmtId="0" fontId="27" fillId="0" borderId="18" xfId="357" applyNumberFormat="1" applyFill="1" applyBorder="1" applyAlignment="1">
      <alignment horizontal="center" vertical="center"/>
    </xf>
    <xf numFmtId="0" fontId="27" fillId="2" borderId="4" xfId="357" applyFill="1" applyBorder="1" applyAlignment="1">
      <alignment horizontal="center" vertical="center"/>
    </xf>
    <xf numFmtId="0" fontId="27" fillId="2" borderId="3" xfId="357" applyFill="1" applyBorder="1" applyAlignment="1">
      <alignment horizontal="center" vertical="center"/>
    </xf>
    <xf numFmtId="0" fontId="0" fillId="2" borderId="4" xfId="357" applyFont="1" applyFill="1" applyBorder="1" applyAlignment="1">
      <alignment horizontal="center" vertical="center"/>
    </xf>
    <xf numFmtId="0" fontId="27" fillId="2" borderId="16" xfId="357" applyFill="1" applyBorder="1" applyAlignment="1">
      <alignment horizontal="center" vertical="center"/>
    </xf>
    <xf numFmtId="0" fontId="0" fillId="2" borderId="21" xfId="357" applyFont="1" applyFill="1" applyBorder="1" applyAlignment="1">
      <alignment horizontal="center" vertical="center"/>
    </xf>
    <xf numFmtId="0" fontId="0" fillId="2" borderId="0" xfId="357" applyFont="1" applyFill="1" applyBorder="1" applyAlignment="1">
      <alignment horizontal="center" vertical="center"/>
    </xf>
    <xf numFmtId="0" fontId="0" fillId="2" borderId="23" xfId="357" applyFont="1" applyFill="1" applyBorder="1" applyAlignment="1">
      <alignment horizontal="center" vertical="center"/>
    </xf>
    <xf numFmtId="0" fontId="0" fillId="2" borderId="24" xfId="357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0" borderId="0" xfId="0" applyNumberFormat="1"/>
  </cellXfs>
  <cellStyles count="390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Input" xfId="10"/>
    <cellStyle name="Linked Cell" xfId="11"/>
    <cellStyle name="Neutral" xfId="12"/>
    <cellStyle name="Normal" xfId="0" builtinId="0"/>
    <cellStyle name="Normal 2" xfId="357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24" Type="http://schemas.openxmlformats.org/officeDocument/2006/relationships/connections" Target="connections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96728"/>
        <c:axId val="2139643944"/>
      </c:scatterChart>
      <c:valAx>
        <c:axId val="2138096728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39643944"/>
        <c:crosses val="autoZero"/>
        <c:crossBetween val="midCat"/>
        <c:majorUnit val="2.0"/>
      </c:valAx>
      <c:valAx>
        <c:axId val="213964394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2138096728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Metabolites!$M$4:$M$17</c:f>
                <c:numCache>
                  <c:formatCode>General</c:formatCode>
                  <c:ptCount val="14"/>
                  <c:pt idx="0">
                    <c:v>0.0256704117611154</c:v>
                  </c:pt>
                  <c:pt idx="1">
                    <c:v>0.0256704117611154</c:v>
                  </c:pt>
                  <c:pt idx="2">
                    <c:v>0.0339827449633784</c:v>
                  </c:pt>
                  <c:pt idx="3">
                    <c:v>0.0256885405829805</c:v>
                  </c:pt>
                  <c:pt idx="4">
                    <c:v>0.0222636557450922</c:v>
                  </c:pt>
                  <c:pt idx="5">
                    <c:v>0.0128639619292506</c:v>
                  </c:pt>
                  <c:pt idx="6">
                    <c:v>0.0128849471852526</c:v>
                  </c:pt>
                  <c:pt idx="7">
                    <c:v>0.0223551772220306</c:v>
                  </c:pt>
                  <c:pt idx="8">
                    <c:v>0.0341783435864605</c:v>
                  </c:pt>
                  <c:pt idx="9">
                    <c:v>0.0223955433248077</c:v>
                  </c:pt>
                  <c:pt idx="10">
                    <c:v>0.0129300729672256</c:v>
                  </c:pt>
                  <c:pt idx="11">
                    <c:v>0.0224630675760383</c:v>
                  </c:pt>
                  <c:pt idx="12">
                    <c:v>0.0259927803253314</c:v>
                  </c:pt>
                  <c:pt idx="13">
                    <c:v>0.143279043833446</c:v>
                  </c:pt>
                </c:numCache>
              </c:numRef>
            </c:plus>
            <c:minus>
              <c:numRef>
                <c:f>Metabolites!$M$4:$M$17</c:f>
                <c:numCache>
                  <c:formatCode>General</c:formatCode>
                  <c:ptCount val="14"/>
                  <c:pt idx="0">
                    <c:v>0.0256704117611154</c:v>
                  </c:pt>
                  <c:pt idx="1">
                    <c:v>0.0256704117611154</c:v>
                  </c:pt>
                  <c:pt idx="2">
                    <c:v>0.0339827449633784</c:v>
                  </c:pt>
                  <c:pt idx="3">
                    <c:v>0.0256885405829805</c:v>
                  </c:pt>
                  <c:pt idx="4">
                    <c:v>0.0222636557450922</c:v>
                  </c:pt>
                  <c:pt idx="5">
                    <c:v>0.0128639619292506</c:v>
                  </c:pt>
                  <c:pt idx="6">
                    <c:v>0.0128849471852526</c:v>
                  </c:pt>
                  <c:pt idx="7">
                    <c:v>0.0223551772220306</c:v>
                  </c:pt>
                  <c:pt idx="8">
                    <c:v>0.0341783435864605</c:v>
                  </c:pt>
                  <c:pt idx="9">
                    <c:v>0.0223955433248077</c:v>
                  </c:pt>
                  <c:pt idx="10">
                    <c:v>0.0129300729672256</c:v>
                  </c:pt>
                  <c:pt idx="11">
                    <c:v>0.0224630675760383</c:v>
                  </c:pt>
                  <c:pt idx="12">
                    <c:v>0.0259927803253314</c:v>
                  </c:pt>
                  <c:pt idx="13">
                    <c:v>0.143279043833446</c:v>
                  </c:pt>
                </c:numCache>
              </c:numRef>
            </c:minus>
          </c:errBars>
          <c:xVal>
            <c:numRef>
              <c:f>Metabolites!$E$4:$E$17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Metabolites!$L$4:$L$17</c:f>
              <c:numCache>
                <c:formatCode>0</c:formatCode>
                <c:ptCount val="14"/>
                <c:pt idx="0">
                  <c:v>0.741040957024424</c:v>
                </c:pt>
                <c:pt idx="1">
                  <c:v>0.748451366594669</c:v>
                </c:pt>
                <c:pt idx="2">
                  <c:v>0.748979933943959</c:v>
                </c:pt>
                <c:pt idx="3">
                  <c:v>0.771226862674968</c:v>
                </c:pt>
                <c:pt idx="4">
                  <c:v>0.823755262568409</c:v>
                </c:pt>
                <c:pt idx="5">
                  <c:v>0.839252342744866</c:v>
                </c:pt>
                <c:pt idx="6">
                  <c:v>0.833182305300768</c:v>
                </c:pt>
                <c:pt idx="7">
                  <c:v>0.871851911659192</c:v>
                </c:pt>
                <c:pt idx="8">
                  <c:v>0.857707493357801</c:v>
                </c:pt>
                <c:pt idx="9">
                  <c:v>0.873426189667499</c:v>
                </c:pt>
                <c:pt idx="10">
                  <c:v>0.843565465234422</c:v>
                </c:pt>
                <c:pt idx="11">
                  <c:v>1.078227243649836</c:v>
                </c:pt>
                <c:pt idx="12">
                  <c:v>1.320610607167888</c:v>
                </c:pt>
                <c:pt idx="13">
                  <c:v>2.015413466644963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Metabolites!$Q$4:$Q$17</c:f>
                <c:numCache>
                  <c:formatCode>General</c:formatCode>
                  <c:ptCount val="14"/>
                  <c:pt idx="0">
                    <c:v>0.0962693876536729</c:v>
                  </c:pt>
                  <c:pt idx="1">
                    <c:v>0.309861834035515</c:v>
                  </c:pt>
                  <c:pt idx="2">
                    <c:v>0.218836448045481</c:v>
                  </c:pt>
                  <c:pt idx="3">
                    <c:v>0.864034009555532</c:v>
                  </c:pt>
                  <c:pt idx="4">
                    <c:v>0.0840481225929587</c:v>
                  </c:pt>
                  <c:pt idx="5">
                    <c:v>0.261045166803681</c:v>
                  </c:pt>
                  <c:pt idx="6">
                    <c:v>0.204553549443922</c:v>
                  </c:pt>
                  <c:pt idx="7">
                    <c:v>1.023218357925528</c:v>
                  </c:pt>
                  <c:pt idx="8">
                    <c:v>0.679902101523983</c:v>
                  </c:pt>
                  <c:pt idx="9">
                    <c:v>0.0335951797285375</c:v>
                  </c:pt>
                  <c:pt idx="10">
                    <c:v>0.0888844908122272</c:v>
                  </c:pt>
                  <c:pt idx="11">
                    <c:v>0.261735776084938</c:v>
                  </c:pt>
                  <c:pt idx="12">
                    <c:v>0.210877885107008</c:v>
                  </c:pt>
                  <c:pt idx="13">
                    <c:v>2.357443517709794</c:v>
                  </c:pt>
                </c:numCache>
              </c:numRef>
            </c:plus>
            <c:minus>
              <c:numRef>
                <c:f>Metabolites!$Q$4:$Q$17</c:f>
                <c:numCache>
                  <c:formatCode>General</c:formatCode>
                  <c:ptCount val="14"/>
                  <c:pt idx="0">
                    <c:v>0.0962693876536729</c:v>
                  </c:pt>
                  <c:pt idx="1">
                    <c:v>0.309861834035515</c:v>
                  </c:pt>
                  <c:pt idx="2">
                    <c:v>0.218836448045481</c:v>
                  </c:pt>
                  <c:pt idx="3">
                    <c:v>0.864034009555532</c:v>
                  </c:pt>
                  <c:pt idx="4">
                    <c:v>0.0840481225929587</c:v>
                  </c:pt>
                  <c:pt idx="5">
                    <c:v>0.261045166803681</c:v>
                  </c:pt>
                  <c:pt idx="6">
                    <c:v>0.204553549443922</c:v>
                  </c:pt>
                  <c:pt idx="7">
                    <c:v>1.023218357925528</c:v>
                  </c:pt>
                  <c:pt idx="8">
                    <c:v>0.679902101523983</c:v>
                  </c:pt>
                  <c:pt idx="9">
                    <c:v>0.0335951797285375</c:v>
                  </c:pt>
                  <c:pt idx="10">
                    <c:v>0.0888844908122272</c:v>
                  </c:pt>
                  <c:pt idx="11">
                    <c:v>0.261735776084938</c:v>
                  </c:pt>
                  <c:pt idx="12">
                    <c:v>0.210877885107008</c:v>
                  </c:pt>
                  <c:pt idx="13">
                    <c:v>2.357443517709794</c:v>
                  </c:pt>
                </c:numCache>
              </c:numRef>
            </c:minus>
          </c:errBars>
          <c:xVal>
            <c:numRef>
              <c:f>Metabolites!$E$4:$E$17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Metabolites!$P$4:$P$17</c:f>
              <c:numCache>
                <c:formatCode>0</c:formatCode>
                <c:ptCount val="14"/>
                <c:pt idx="0">
                  <c:v>48.63351226699845</c:v>
                </c:pt>
                <c:pt idx="1">
                  <c:v>49.03369659650975</c:v>
                </c:pt>
                <c:pt idx="2">
                  <c:v>47.38858855831394</c:v>
                </c:pt>
                <c:pt idx="3">
                  <c:v>48.13390204033437</c:v>
                </c:pt>
                <c:pt idx="4">
                  <c:v>48.41500675155898</c:v>
                </c:pt>
                <c:pt idx="5">
                  <c:v>47.92916804583734</c:v>
                </c:pt>
                <c:pt idx="6">
                  <c:v>47.28200070693272</c:v>
                </c:pt>
                <c:pt idx="7">
                  <c:v>47.45149750686304</c:v>
                </c:pt>
                <c:pt idx="8">
                  <c:v>44.83075698420802</c:v>
                </c:pt>
                <c:pt idx="9">
                  <c:v>44.1104709835697</c:v>
                </c:pt>
                <c:pt idx="10">
                  <c:v>40.88533372963008</c:v>
                </c:pt>
                <c:pt idx="11">
                  <c:v>37.05488674324832</c:v>
                </c:pt>
                <c:pt idx="12">
                  <c:v>37.04293260329574</c:v>
                </c:pt>
                <c:pt idx="13">
                  <c:v>35.44466765424576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Metabolites!$U$4:$U$17</c:f>
                <c:numCache>
                  <c:formatCode>General</c:formatCode>
                  <c:ptCount val="14"/>
                  <c:pt idx="0">
                    <c:v>0.156863732778251</c:v>
                  </c:pt>
                  <c:pt idx="1">
                    <c:v>0.0251182999287559</c:v>
                  </c:pt>
                  <c:pt idx="2">
                    <c:v>0.025136038841135</c:v>
                  </c:pt>
                  <c:pt idx="3">
                    <c:v>0.025136038841135</c:v>
                  </c:pt>
                  <c:pt idx="4">
                    <c:v>0.0</c:v>
                  </c:pt>
                  <c:pt idx="5">
                    <c:v>0.0251745750724939</c:v>
                  </c:pt>
                  <c:pt idx="6">
                    <c:v>0.0252156428947981</c:v>
                  </c:pt>
                  <c:pt idx="7">
                    <c:v>0.110098573703496</c:v>
                  </c:pt>
                  <c:pt idx="8">
                    <c:v>0.0911509228682822</c:v>
                  </c:pt>
                  <c:pt idx="9">
                    <c:v>0.0759118600621998</c:v>
                  </c:pt>
                  <c:pt idx="10">
                    <c:v>0.110297375542443</c:v>
                  </c:pt>
                  <c:pt idx="11">
                    <c:v>0.110629930443576</c:v>
                  </c:pt>
                  <c:pt idx="12">
                    <c:v>0.0672913379401073</c:v>
                  </c:pt>
                  <c:pt idx="13">
                    <c:v>0.809697829655668</c:v>
                  </c:pt>
                </c:numCache>
              </c:numRef>
            </c:plus>
            <c:minus>
              <c:numRef>
                <c:f>Metabolites!$U$4:$U$17</c:f>
                <c:numCache>
                  <c:formatCode>General</c:formatCode>
                  <c:ptCount val="14"/>
                  <c:pt idx="0">
                    <c:v>0.156863732778251</c:v>
                  </c:pt>
                  <c:pt idx="1">
                    <c:v>0.0251182999287559</c:v>
                  </c:pt>
                  <c:pt idx="2">
                    <c:v>0.025136038841135</c:v>
                  </c:pt>
                  <c:pt idx="3">
                    <c:v>0.025136038841135</c:v>
                  </c:pt>
                  <c:pt idx="4">
                    <c:v>0.0</c:v>
                  </c:pt>
                  <c:pt idx="5">
                    <c:v>0.0251745750724939</c:v>
                  </c:pt>
                  <c:pt idx="6">
                    <c:v>0.0252156428947981</c:v>
                  </c:pt>
                  <c:pt idx="7">
                    <c:v>0.110098573703496</c:v>
                  </c:pt>
                  <c:pt idx="8">
                    <c:v>0.0911509228682822</c:v>
                  </c:pt>
                  <c:pt idx="9">
                    <c:v>0.0759118600621998</c:v>
                  </c:pt>
                  <c:pt idx="10">
                    <c:v>0.110297375542443</c:v>
                  </c:pt>
                  <c:pt idx="11">
                    <c:v>0.110629930443576</c:v>
                  </c:pt>
                  <c:pt idx="12">
                    <c:v>0.0672913379401073</c:v>
                  </c:pt>
                  <c:pt idx="13">
                    <c:v>0.809697829655668</c:v>
                  </c:pt>
                </c:numCache>
              </c:numRef>
            </c:minus>
          </c:errBars>
          <c:xVal>
            <c:numRef>
              <c:f>Metabolites!$E$4:$E$17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Metabolites!$T$4:$T$17</c:f>
              <c:numCache>
                <c:formatCode>0</c:formatCode>
                <c:ptCount val="14"/>
                <c:pt idx="0">
                  <c:v>0.217530858381795</c:v>
                </c:pt>
                <c:pt idx="1">
                  <c:v>0.101514400578171</c:v>
                </c:pt>
                <c:pt idx="2">
                  <c:v>0.188659884286772</c:v>
                </c:pt>
                <c:pt idx="3">
                  <c:v>0.319270573408384</c:v>
                </c:pt>
                <c:pt idx="4">
                  <c:v>0.697114094118757</c:v>
                </c:pt>
                <c:pt idx="5">
                  <c:v>1.162763815587103</c:v>
                </c:pt>
                <c:pt idx="6">
                  <c:v>2.081830924473467</c:v>
                </c:pt>
                <c:pt idx="7">
                  <c:v>3.70405973275958</c:v>
                </c:pt>
                <c:pt idx="8">
                  <c:v>4.189002922003513</c:v>
                </c:pt>
                <c:pt idx="9">
                  <c:v>4.908706078258778</c:v>
                </c:pt>
                <c:pt idx="10">
                  <c:v>5.025580032503036</c:v>
                </c:pt>
                <c:pt idx="11">
                  <c:v>8.205843661812834</c:v>
                </c:pt>
                <c:pt idx="12">
                  <c:v>10.20550078853094</c:v>
                </c:pt>
                <c:pt idx="13">
                  <c:v>10.7139137044688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'CO2'!$G$105:$G$201</c:f>
              <c:numCache>
                <c:formatCode>0.0</c:formatCode>
                <c:ptCount val="97"/>
                <c:pt idx="0">
                  <c:v>0.0</c:v>
                </c:pt>
                <c:pt idx="1">
                  <c:v>0.0181060576033643</c:v>
                </c:pt>
                <c:pt idx="2">
                  <c:v>0.0565370965124782</c:v>
                </c:pt>
                <c:pt idx="3">
                  <c:v>0.0968484540013028</c:v>
                </c:pt>
                <c:pt idx="4">
                  <c:v>0.137134843949774</c:v>
                </c:pt>
                <c:pt idx="5">
                  <c:v>0.177784922948957</c:v>
                </c:pt>
                <c:pt idx="6">
                  <c:v>0.220757920428096</c:v>
                </c:pt>
                <c:pt idx="7">
                  <c:v>0.2687232433074</c:v>
                </c:pt>
                <c:pt idx="8">
                  <c:v>0.322905652549502</c:v>
                </c:pt>
                <c:pt idx="9">
                  <c:v>0.383393601443594</c:v>
                </c:pt>
                <c:pt idx="10">
                  <c:v>0.453088401533553</c:v>
                </c:pt>
                <c:pt idx="11">
                  <c:v>0.534674668858057</c:v>
                </c:pt>
                <c:pt idx="12">
                  <c:v>0.629037250338057</c:v>
                </c:pt>
                <c:pt idx="13">
                  <c:v>0.740348638800973</c:v>
                </c:pt>
                <c:pt idx="14">
                  <c:v>0.873131857452461</c:v>
                </c:pt>
                <c:pt idx="15">
                  <c:v>1.035032374977398</c:v>
                </c:pt>
                <c:pt idx="16">
                  <c:v>1.231421344623797</c:v>
                </c:pt>
                <c:pt idx="17">
                  <c:v>1.465785238179408</c:v>
                </c:pt>
                <c:pt idx="18">
                  <c:v>1.754654192326105</c:v>
                </c:pt>
                <c:pt idx="19">
                  <c:v>2.13930994804904</c:v>
                </c:pt>
                <c:pt idx="20">
                  <c:v>2.614388390213106</c:v>
                </c:pt>
                <c:pt idx="21">
                  <c:v>3.120523097799803</c:v>
                </c:pt>
                <c:pt idx="22">
                  <c:v>3.65123931495671</c:v>
                </c:pt>
                <c:pt idx="23">
                  <c:v>4.236847887032985</c:v>
                </c:pt>
                <c:pt idx="24">
                  <c:v>4.878251211171818</c:v>
                </c:pt>
                <c:pt idx="25">
                  <c:v>5.567513721936983</c:v>
                </c:pt>
                <c:pt idx="26">
                  <c:v>6.315130616872959</c:v>
                </c:pt>
                <c:pt idx="27">
                  <c:v>7.105265119841994</c:v>
                </c:pt>
                <c:pt idx="28">
                  <c:v>7.927244047359978</c:v>
                </c:pt>
                <c:pt idx="29">
                  <c:v>8.75668475999256</c:v>
                </c:pt>
                <c:pt idx="30">
                  <c:v>9.557411871929787</c:v>
                </c:pt>
                <c:pt idx="31">
                  <c:v>10.324680967222</c:v>
                </c:pt>
                <c:pt idx="32">
                  <c:v>11.05765759130111</c:v>
                </c:pt>
                <c:pt idx="33">
                  <c:v>11.75371150155081</c:v>
                </c:pt>
                <c:pt idx="34">
                  <c:v>12.39914927950099</c:v>
                </c:pt>
                <c:pt idx="35">
                  <c:v>12.9962276590604</c:v>
                </c:pt>
                <c:pt idx="36">
                  <c:v>13.55949019493051</c:v>
                </c:pt>
                <c:pt idx="37">
                  <c:v>14.08954894718176</c:v>
                </c:pt>
                <c:pt idx="38">
                  <c:v>14.58765179605088</c:v>
                </c:pt>
                <c:pt idx="39">
                  <c:v>15.06901803336681</c:v>
                </c:pt>
                <c:pt idx="40">
                  <c:v>15.53932964846349</c:v>
                </c:pt>
                <c:pt idx="41">
                  <c:v>15.9858070361592</c:v>
                </c:pt>
                <c:pt idx="42">
                  <c:v>16.40161584246875</c:v>
                </c:pt>
                <c:pt idx="43">
                  <c:v>16.79083329984889</c:v>
                </c:pt>
                <c:pt idx="44">
                  <c:v>17.15888716460741</c:v>
                </c:pt>
                <c:pt idx="45">
                  <c:v>17.50607918996227</c:v>
                </c:pt>
                <c:pt idx="46">
                  <c:v>17.82567861594642</c:v>
                </c:pt>
                <c:pt idx="47">
                  <c:v>18.12042735762692</c:v>
                </c:pt>
                <c:pt idx="48">
                  <c:v>18.40038805346949</c:v>
                </c:pt>
                <c:pt idx="49">
                  <c:v>18.66383701842882</c:v>
                </c:pt>
                <c:pt idx="50">
                  <c:v>18.9007089085429</c:v>
                </c:pt>
                <c:pt idx="51">
                  <c:v>19.11039304377976</c:v>
                </c:pt>
                <c:pt idx="52">
                  <c:v>19.29704324772845</c:v>
                </c:pt>
                <c:pt idx="53">
                  <c:v>19.46498075626177</c:v>
                </c:pt>
                <c:pt idx="54">
                  <c:v>19.61725647084884</c:v>
                </c:pt>
                <c:pt idx="55">
                  <c:v>19.75492333979356</c:v>
                </c:pt>
                <c:pt idx="56">
                  <c:v>19.88052153216514</c:v>
                </c:pt>
                <c:pt idx="57">
                  <c:v>19.99742777871327</c:v>
                </c:pt>
                <c:pt idx="58">
                  <c:v>20.10845010816109</c:v>
                </c:pt>
                <c:pt idx="59">
                  <c:v>20.21350506423584</c:v>
                </c:pt>
                <c:pt idx="60">
                  <c:v>20.31714756471965</c:v>
                </c:pt>
                <c:pt idx="61">
                  <c:v>20.42011808284289</c:v>
                </c:pt>
                <c:pt idx="62">
                  <c:v>20.51766586530507</c:v>
                </c:pt>
                <c:pt idx="63">
                  <c:v>20.61054379020822</c:v>
                </c:pt>
                <c:pt idx="64">
                  <c:v>20.69840694295389</c:v>
                </c:pt>
                <c:pt idx="65">
                  <c:v>20.78159176097682</c:v>
                </c:pt>
                <c:pt idx="66">
                  <c:v>20.86139154156561</c:v>
                </c:pt>
                <c:pt idx="67">
                  <c:v>20.93727487252014</c:v>
                </c:pt>
                <c:pt idx="68">
                  <c:v>21.0087898150501</c:v>
                </c:pt>
                <c:pt idx="69">
                  <c:v>21.07694674110525</c:v>
                </c:pt>
                <c:pt idx="70">
                  <c:v>21.14116072638955</c:v>
                </c:pt>
                <c:pt idx="71">
                  <c:v>21.20122778915122</c:v>
                </c:pt>
                <c:pt idx="72">
                  <c:v>21.25830877099587</c:v>
                </c:pt>
                <c:pt idx="73">
                  <c:v>21.31196974710606</c:v>
                </c:pt>
                <c:pt idx="74">
                  <c:v>21.36206872498964</c:v>
                </c:pt>
                <c:pt idx="75">
                  <c:v>21.40946507711778</c:v>
                </c:pt>
                <c:pt idx="76">
                  <c:v>21.45386634134244</c:v>
                </c:pt>
                <c:pt idx="77">
                  <c:v>21.49499806948851</c:v>
                </c:pt>
                <c:pt idx="78">
                  <c:v>21.53366665175396</c:v>
                </c:pt>
                <c:pt idx="79">
                  <c:v>21.57147533172552</c:v>
                </c:pt>
                <c:pt idx="80">
                  <c:v>21.60790170418953</c:v>
                </c:pt>
                <c:pt idx="81">
                  <c:v>21.64195341116914</c:v>
                </c:pt>
                <c:pt idx="82">
                  <c:v>21.67428637320645</c:v>
                </c:pt>
                <c:pt idx="83">
                  <c:v>21.70433367997832</c:v>
                </c:pt>
                <c:pt idx="84">
                  <c:v>21.73277668351797</c:v>
                </c:pt>
                <c:pt idx="85">
                  <c:v>21.76020030812143</c:v>
                </c:pt>
                <c:pt idx="86">
                  <c:v>21.78571021301725</c:v>
                </c:pt>
                <c:pt idx="87">
                  <c:v>21.81039624356496</c:v>
                </c:pt>
                <c:pt idx="88">
                  <c:v>21.83440886942041</c:v>
                </c:pt>
                <c:pt idx="89">
                  <c:v>21.85676473959319</c:v>
                </c:pt>
                <c:pt idx="90">
                  <c:v>21.87748133823345</c:v>
                </c:pt>
                <c:pt idx="91">
                  <c:v>21.89654965835476</c:v>
                </c:pt>
                <c:pt idx="92">
                  <c:v>21.91495358077025</c:v>
                </c:pt>
                <c:pt idx="93">
                  <c:v>21.9340044167414</c:v>
                </c:pt>
                <c:pt idx="94">
                  <c:v>21.95348070036627</c:v>
                </c:pt>
                <c:pt idx="95">
                  <c:v>21.97203509243763</c:v>
                </c:pt>
                <c:pt idx="96">
                  <c:v>21.99314834724956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Metabolites!$I$4:$I$17</c:f>
                <c:numCache>
                  <c:formatCode>General</c:formatCode>
                  <c:ptCount val="14"/>
                  <c:pt idx="0">
                    <c:v>0.129787987298985</c:v>
                  </c:pt>
                  <c:pt idx="1">
                    <c:v>0.185667364436314</c:v>
                  </c:pt>
                  <c:pt idx="2">
                    <c:v>0.285839127978757</c:v>
                  </c:pt>
                  <c:pt idx="3">
                    <c:v>0.765366561229674</c:v>
                  </c:pt>
                  <c:pt idx="4">
                    <c:v>0.101007665007242</c:v>
                  </c:pt>
                  <c:pt idx="5">
                    <c:v>0.225303029699234</c:v>
                  </c:pt>
                  <c:pt idx="6">
                    <c:v>0.237499322699461</c:v>
                  </c:pt>
                  <c:pt idx="7">
                    <c:v>0.926886553929118</c:v>
                  </c:pt>
                  <c:pt idx="8">
                    <c:v>0.644066506948334</c:v>
                  </c:pt>
                  <c:pt idx="9">
                    <c:v>0.0869781703011403</c:v>
                  </c:pt>
                  <c:pt idx="10">
                    <c:v>0.0762216560177467</c:v>
                  </c:pt>
                  <c:pt idx="11">
                    <c:v>0.103752464894804</c:v>
                  </c:pt>
                  <c:pt idx="12">
                    <c:v>0.186420068276709</c:v>
                  </c:pt>
                  <c:pt idx="13">
                    <c:v>2.173949074303141</c:v>
                  </c:pt>
                </c:numCache>
              </c:numRef>
            </c:plus>
            <c:minus>
              <c:numRef>
                <c:f>Metabolites!$I$4:$I$17</c:f>
                <c:numCache>
                  <c:formatCode>General</c:formatCode>
                  <c:ptCount val="14"/>
                  <c:pt idx="0">
                    <c:v>0.129787987298985</c:v>
                  </c:pt>
                  <c:pt idx="1">
                    <c:v>0.185667364436314</c:v>
                  </c:pt>
                  <c:pt idx="2">
                    <c:v>0.285839127978757</c:v>
                  </c:pt>
                  <c:pt idx="3">
                    <c:v>0.765366561229674</c:v>
                  </c:pt>
                  <c:pt idx="4">
                    <c:v>0.101007665007242</c:v>
                  </c:pt>
                  <c:pt idx="5">
                    <c:v>0.225303029699234</c:v>
                  </c:pt>
                  <c:pt idx="6">
                    <c:v>0.237499322699461</c:v>
                  </c:pt>
                  <c:pt idx="7">
                    <c:v>0.926886553929118</c:v>
                  </c:pt>
                  <c:pt idx="8">
                    <c:v>0.644066506948334</c:v>
                  </c:pt>
                  <c:pt idx="9">
                    <c:v>0.0869781703011403</c:v>
                  </c:pt>
                  <c:pt idx="10">
                    <c:v>0.0762216560177467</c:v>
                  </c:pt>
                  <c:pt idx="11">
                    <c:v>0.103752464894804</c:v>
                  </c:pt>
                  <c:pt idx="12">
                    <c:v>0.186420068276709</c:v>
                  </c:pt>
                  <c:pt idx="13">
                    <c:v>2.173949074303141</c:v>
                  </c:pt>
                </c:numCache>
              </c:numRef>
            </c:minus>
          </c:errBars>
          <c:xVal>
            <c:numRef>
              <c:f>Metabolites!$E$4:$E$17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Metabolites!$H$4:$H$17</c:f>
              <c:numCache>
                <c:formatCode>0</c:formatCode>
                <c:ptCount val="14"/>
                <c:pt idx="0">
                  <c:v>47.0116383136295</c:v>
                </c:pt>
                <c:pt idx="1">
                  <c:v>47.2302453959517</c:v>
                </c:pt>
                <c:pt idx="2">
                  <c:v>45.58024914838163</c:v>
                </c:pt>
                <c:pt idx="3">
                  <c:v>46.49237322635297</c:v>
                </c:pt>
                <c:pt idx="4">
                  <c:v>46.70172853462162</c:v>
                </c:pt>
                <c:pt idx="5">
                  <c:v>46.19972741632245</c:v>
                </c:pt>
                <c:pt idx="6">
                  <c:v>45.8287463554052</c:v>
                </c:pt>
                <c:pt idx="7">
                  <c:v>46.39071859858375</c:v>
                </c:pt>
                <c:pt idx="8">
                  <c:v>44.13837344079535</c:v>
                </c:pt>
                <c:pt idx="9">
                  <c:v>43.65637912115842</c:v>
                </c:pt>
                <c:pt idx="10">
                  <c:v>40.75242367004169</c:v>
                </c:pt>
                <c:pt idx="11">
                  <c:v>35.81361740539698</c:v>
                </c:pt>
                <c:pt idx="12">
                  <c:v>33.90442629822786</c:v>
                </c:pt>
                <c:pt idx="13">
                  <c:v>30.69745436882366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Metabolites!$J$19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Metabolites!$M$22:$M$35</c:f>
                <c:numCache>
                  <c:formatCode>General</c:formatCode>
                  <c:ptCount val="14"/>
                  <c:pt idx="0">
                    <c:v>0.266351179021293</c:v>
                  </c:pt>
                  <c:pt idx="1">
                    <c:v>0.250355252475025</c:v>
                  </c:pt>
                  <c:pt idx="2">
                    <c:v>0.159750957596496</c:v>
                  </c:pt>
                  <c:pt idx="3">
                    <c:v>0.35552046046765</c:v>
                  </c:pt>
                  <c:pt idx="4">
                    <c:v>0.0227614358133912</c:v>
                  </c:pt>
                  <c:pt idx="5">
                    <c:v>0.197273696048162</c:v>
                  </c:pt>
                  <c:pt idx="6">
                    <c:v>0.22003305093395</c:v>
                  </c:pt>
                  <c:pt idx="7">
                    <c:v>0.702334420712072</c:v>
                  </c:pt>
                  <c:pt idx="8">
                    <c:v>0.562346594723025</c:v>
                  </c:pt>
                  <c:pt idx="9">
                    <c:v>0.103245009715258</c:v>
                  </c:pt>
                  <c:pt idx="10">
                    <c:v>0.160273905333</c:v>
                  </c:pt>
                  <c:pt idx="11">
                    <c:v>0.192598473276968</c:v>
                  </c:pt>
                  <c:pt idx="12">
                    <c:v>0.231666218027363</c:v>
                  </c:pt>
                  <c:pt idx="13">
                    <c:v>3.550614577725606</c:v>
                  </c:pt>
                </c:numCache>
              </c:numRef>
            </c:plus>
            <c:minus>
              <c:numRef>
                <c:f>Metabolites!$M$22:$M$35</c:f>
                <c:numCache>
                  <c:formatCode>General</c:formatCode>
                  <c:ptCount val="14"/>
                  <c:pt idx="0">
                    <c:v>0.266351179021293</c:v>
                  </c:pt>
                  <c:pt idx="1">
                    <c:v>0.250355252475025</c:v>
                  </c:pt>
                  <c:pt idx="2">
                    <c:v>0.159750957596496</c:v>
                  </c:pt>
                  <c:pt idx="3">
                    <c:v>0.35552046046765</c:v>
                  </c:pt>
                  <c:pt idx="4">
                    <c:v>0.0227614358133912</c:v>
                  </c:pt>
                  <c:pt idx="5">
                    <c:v>0.197273696048162</c:v>
                  </c:pt>
                  <c:pt idx="6">
                    <c:v>0.22003305093395</c:v>
                  </c:pt>
                  <c:pt idx="7">
                    <c:v>0.702334420712072</c:v>
                  </c:pt>
                  <c:pt idx="8">
                    <c:v>0.562346594723025</c:v>
                  </c:pt>
                  <c:pt idx="9">
                    <c:v>0.103245009715258</c:v>
                  </c:pt>
                  <c:pt idx="10">
                    <c:v>0.160273905333</c:v>
                  </c:pt>
                  <c:pt idx="11">
                    <c:v>0.192598473276968</c:v>
                  </c:pt>
                  <c:pt idx="12">
                    <c:v>0.231666218027363</c:v>
                  </c:pt>
                  <c:pt idx="13">
                    <c:v>3.550614577725606</c:v>
                  </c:pt>
                </c:numCache>
              </c:numRef>
            </c:minus>
          </c:errBars>
          <c:xVal>
            <c:numRef>
              <c:f>Metabolites!$E$22:$E$35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Metabolites!$L$22:$L$35</c:f>
              <c:numCache>
                <c:formatCode>0</c:formatCode>
                <c:ptCount val="14"/>
                <c:pt idx="0">
                  <c:v>27.94821293257477</c:v>
                </c:pt>
                <c:pt idx="1">
                  <c:v>28.35732204028933</c:v>
                </c:pt>
                <c:pt idx="2">
                  <c:v>27.84664725210101</c:v>
                </c:pt>
                <c:pt idx="3">
                  <c:v>28.87772376347747</c:v>
                </c:pt>
                <c:pt idx="4">
                  <c:v>29.99957240204963</c:v>
                </c:pt>
                <c:pt idx="5">
                  <c:v>30.75192580970818</c:v>
                </c:pt>
                <c:pt idx="6">
                  <c:v>32.65021760846734</c:v>
                </c:pt>
                <c:pt idx="7">
                  <c:v>36.53753236679083</c:v>
                </c:pt>
                <c:pt idx="8">
                  <c:v>37.2104020259412</c:v>
                </c:pt>
                <c:pt idx="9">
                  <c:v>40.42718459756698</c:v>
                </c:pt>
                <c:pt idx="10">
                  <c:v>40.54929804924927</c:v>
                </c:pt>
                <c:pt idx="11">
                  <c:v>48.38024501273787</c:v>
                </c:pt>
                <c:pt idx="12">
                  <c:v>50.0011100259379</c:v>
                </c:pt>
                <c:pt idx="13">
                  <c:v>49.76661995491234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12008"/>
        <c:axId val="209813892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23662.0</c:v>
                </c:pt>
                <c:pt idx="1">
                  <c:v>5975.0</c:v>
                </c:pt>
                <c:pt idx="2">
                  <c:v>7098.0</c:v>
                </c:pt>
                <c:pt idx="3">
                  <c:v>9789.0</c:v>
                </c:pt>
                <c:pt idx="4">
                  <c:v>16796.0</c:v>
                </c:pt>
                <c:pt idx="5">
                  <c:v>20456.0</c:v>
                </c:pt>
                <c:pt idx="6">
                  <c:v>41180.0</c:v>
                </c:pt>
                <c:pt idx="7">
                  <c:v>5126.0</c:v>
                </c:pt>
                <c:pt idx="8">
                  <c:v>3576.0</c:v>
                </c:pt>
                <c:pt idx="9">
                  <c:v>3704.0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cytometer'!$X$4:$X$17</c:f>
                <c:numCache>
                  <c:formatCode>General</c:formatCode>
                  <c:ptCount val="14"/>
                  <c:pt idx="0">
                    <c:v>0.0167965154588953</c:v>
                  </c:pt>
                  <c:pt idx="1">
                    <c:v>0.0795864316892352</c:v>
                  </c:pt>
                  <c:pt idx="2">
                    <c:v>0.0218969897616335</c:v>
                  </c:pt>
                  <c:pt idx="3">
                    <c:v>0.0114044061389853</c:v>
                  </c:pt>
                  <c:pt idx="4">
                    <c:v>0.0281994930460348</c:v>
                  </c:pt>
                  <c:pt idx="5">
                    <c:v>0.0228527783911574</c:v>
                  </c:pt>
                  <c:pt idx="6">
                    <c:v>0.0375178520663181</c:v>
                  </c:pt>
                  <c:pt idx="7">
                    <c:v>0.0343476453862475</c:v>
                  </c:pt>
                  <c:pt idx="8">
                    <c:v>0.00755469480716473</c:v>
                  </c:pt>
                  <c:pt idx="9">
                    <c:v>0.030665446866114</c:v>
                  </c:pt>
                  <c:pt idx="10">
                    <c:v>0.0439379485167376</c:v>
                  </c:pt>
                  <c:pt idx="11">
                    <c:v>0.00807661076041195</c:v>
                  </c:pt>
                  <c:pt idx="12">
                    <c:v>0.0206700003323796</c:v>
                  </c:pt>
                  <c:pt idx="13">
                    <c:v>0.0789032704419137</c:v>
                  </c:pt>
                </c:numCache>
              </c:numRef>
            </c:plus>
            <c:minus>
              <c:numRef>
                <c:f>'Flow cytometer'!$X$4:$X$17</c:f>
                <c:numCache>
                  <c:formatCode>General</c:formatCode>
                  <c:ptCount val="14"/>
                  <c:pt idx="0">
                    <c:v>0.0167965154588953</c:v>
                  </c:pt>
                  <c:pt idx="1">
                    <c:v>0.0795864316892352</c:v>
                  </c:pt>
                  <c:pt idx="2">
                    <c:v>0.0218969897616335</c:v>
                  </c:pt>
                  <c:pt idx="3">
                    <c:v>0.0114044061389853</c:v>
                  </c:pt>
                  <c:pt idx="4">
                    <c:v>0.0281994930460348</c:v>
                  </c:pt>
                  <c:pt idx="5">
                    <c:v>0.0228527783911574</c:v>
                  </c:pt>
                  <c:pt idx="6">
                    <c:v>0.0375178520663181</c:v>
                  </c:pt>
                  <c:pt idx="7">
                    <c:v>0.0343476453862475</c:v>
                  </c:pt>
                  <c:pt idx="8">
                    <c:v>0.00755469480716473</c:v>
                  </c:pt>
                  <c:pt idx="9">
                    <c:v>0.030665446866114</c:v>
                  </c:pt>
                  <c:pt idx="10">
                    <c:v>0.0439379485167376</c:v>
                  </c:pt>
                  <c:pt idx="11">
                    <c:v>0.00807661076041195</c:v>
                  </c:pt>
                  <c:pt idx="12">
                    <c:v>0.0206700003323796</c:v>
                  </c:pt>
                  <c:pt idx="13">
                    <c:v>0.0789032704419137</c:v>
                  </c:pt>
                </c:numCache>
              </c:numRef>
            </c:minus>
          </c:errBars>
          <c:xVal>
            <c:numRef>
              <c:f>'Flow cytometer'!$D$4:$D$17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'Flow cytometer'!$S$4:$S$17</c:f>
              <c:numCache>
                <c:formatCode>0.00</c:formatCode>
                <c:ptCount val="14"/>
                <c:pt idx="0">
                  <c:v>7.554916693028927</c:v>
                </c:pt>
                <c:pt idx="1">
                  <c:v>7.881401562951918</c:v>
                </c:pt>
                <c:pt idx="2">
                  <c:v>7.992557690266246</c:v>
                </c:pt>
                <c:pt idx="3">
                  <c:v>8.149152841737356</c:v>
                </c:pt>
                <c:pt idx="4">
                  <c:v>8.36744860276299</c:v>
                </c:pt>
                <c:pt idx="5">
                  <c:v>8.474701534619352</c:v>
                </c:pt>
                <c:pt idx="6">
                  <c:v>8.740665888474075</c:v>
                </c:pt>
                <c:pt idx="7">
                  <c:v>8.887519415031048</c:v>
                </c:pt>
                <c:pt idx="8">
                  <c:v>8.71920682418166</c:v>
                </c:pt>
                <c:pt idx="9">
                  <c:v>8.704451342900345</c:v>
                </c:pt>
                <c:pt idx="10">
                  <c:v>8.66909702715463</c:v>
                </c:pt>
                <c:pt idx="11">
                  <c:v>8.473978275465844</c:v>
                </c:pt>
                <c:pt idx="12">
                  <c:v>8.48185167642444</c:v>
                </c:pt>
                <c:pt idx="13">
                  <c:v>8.45329973323225</c:v>
                </c:pt>
              </c:numCache>
            </c:numRef>
          </c:yVal>
          <c:smooth val="0"/>
        </c:ser>
        <c:ser>
          <c:idx val="12"/>
          <c:order val="9"/>
          <c:tx>
            <c:v>qPCR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count'!$AE$4:$AE$17</c:f>
                <c:numCache>
                  <c:formatCode>General</c:formatCode>
                  <c:ptCount val="14"/>
                  <c:pt idx="0">
                    <c:v>0.414404241363841</c:v>
                  </c:pt>
                  <c:pt idx="1">
                    <c:v>0.229031568578168</c:v>
                  </c:pt>
                  <c:pt idx="2">
                    <c:v>0.142813921908864</c:v>
                  </c:pt>
                  <c:pt idx="3">
                    <c:v>0.69037453161408</c:v>
                  </c:pt>
                  <c:pt idx="4">
                    <c:v>0.386519495047774</c:v>
                  </c:pt>
                  <c:pt idx="5">
                    <c:v>0.884673688801396</c:v>
                  </c:pt>
                  <c:pt idx="6">
                    <c:v>0.386689518674443</c:v>
                  </c:pt>
                  <c:pt idx="7">
                    <c:v>0.618045556143408</c:v>
                  </c:pt>
                  <c:pt idx="8">
                    <c:v>0.339243313235278</c:v>
                  </c:pt>
                  <c:pt idx="9">
                    <c:v>0.453657183770886</c:v>
                  </c:pt>
                  <c:pt idx="10">
                    <c:v>0.277384943820175</c:v>
                  </c:pt>
                  <c:pt idx="11">
                    <c:v>0.200365780395617</c:v>
                  </c:pt>
                  <c:pt idx="12">
                    <c:v>0.12092747652187</c:v>
                  </c:pt>
                  <c:pt idx="13">
                    <c:v>0.429314522676849</c:v>
                  </c:pt>
                </c:numCache>
              </c:numRef>
            </c:plus>
            <c:minus>
              <c:numRef>
                <c:f>'Determination cell count'!$AE$4:$AE$17</c:f>
                <c:numCache>
                  <c:formatCode>General</c:formatCode>
                  <c:ptCount val="14"/>
                  <c:pt idx="0">
                    <c:v>0.414404241363841</c:v>
                  </c:pt>
                  <c:pt idx="1">
                    <c:v>0.229031568578168</c:v>
                  </c:pt>
                  <c:pt idx="2">
                    <c:v>0.142813921908864</c:v>
                  </c:pt>
                  <c:pt idx="3">
                    <c:v>0.69037453161408</c:v>
                  </c:pt>
                  <c:pt idx="4">
                    <c:v>0.386519495047774</c:v>
                  </c:pt>
                  <c:pt idx="5">
                    <c:v>0.884673688801396</c:v>
                  </c:pt>
                  <c:pt idx="6">
                    <c:v>0.386689518674443</c:v>
                  </c:pt>
                  <c:pt idx="7">
                    <c:v>0.618045556143408</c:v>
                  </c:pt>
                  <c:pt idx="8">
                    <c:v>0.339243313235278</c:v>
                  </c:pt>
                  <c:pt idx="9">
                    <c:v>0.453657183770886</c:v>
                  </c:pt>
                  <c:pt idx="10">
                    <c:v>0.277384943820175</c:v>
                  </c:pt>
                  <c:pt idx="11">
                    <c:v>0.200365780395617</c:v>
                  </c:pt>
                  <c:pt idx="12">
                    <c:v>0.12092747652187</c:v>
                  </c:pt>
                  <c:pt idx="13">
                    <c:v>0.429314522676849</c:v>
                  </c:pt>
                </c:numCache>
              </c:numRef>
            </c:minus>
          </c:errBars>
          <c:xVal>
            <c:numRef>
              <c:f>'Determination cell count'!$D$4:$D$17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'Determination cell count'!$X$4:$X$17</c:f>
              <c:numCache>
                <c:formatCode>0.00</c:formatCode>
                <c:ptCount val="14"/>
                <c:pt idx="0">
                  <c:v>6.403996466978413</c:v>
                </c:pt>
                <c:pt idx="1">
                  <c:v>6.637538061092568</c:v>
                </c:pt>
                <c:pt idx="2">
                  <c:v>7.215634461638529</c:v>
                </c:pt>
                <c:pt idx="3">
                  <c:v>7.160205890651688</c:v>
                </c:pt>
                <c:pt idx="4">
                  <c:v>6.834314452242432</c:v>
                </c:pt>
                <c:pt idx="5">
                  <c:v>7.232713777989723</c:v>
                </c:pt>
                <c:pt idx="6">
                  <c:v>7.63534829977427</c:v>
                </c:pt>
                <c:pt idx="7">
                  <c:v>7.999129460583946</c:v>
                </c:pt>
                <c:pt idx="8">
                  <c:v>7.725210385882296</c:v>
                </c:pt>
                <c:pt idx="9">
                  <c:v>8.731095059681288</c:v>
                </c:pt>
                <c:pt idx="10">
                  <c:v>8.85518470016251</c:v>
                </c:pt>
                <c:pt idx="11">
                  <c:v>9.250581169189496</c:v>
                </c:pt>
                <c:pt idx="12">
                  <c:v>9.241821249810872</c:v>
                </c:pt>
                <c:pt idx="13">
                  <c:v>8.101553525038735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9704"/>
        <c:axId val="2097384136"/>
      </c:scatterChart>
      <c:valAx>
        <c:axId val="209741200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98138920"/>
        <c:crosses val="autoZero"/>
        <c:crossBetween val="midCat"/>
        <c:majorUnit val="6.0"/>
      </c:valAx>
      <c:valAx>
        <c:axId val="2098138920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97412008"/>
        <c:crosses val="autoZero"/>
        <c:crossBetween val="midCat"/>
      </c:valAx>
      <c:valAx>
        <c:axId val="2097384136"/>
        <c:scaling>
          <c:orientation val="minMax"/>
          <c:max val="12.0"/>
          <c:min val="4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98179704"/>
        <c:crosses val="max"/>
        <c:crossBetween val="midCat"/>
        <c:majorUnit val="1.0"/>
        <c:minorUnit val="0.2"/>
      </c:valAx>
      <c:valAx>
        <c:axId val="2098179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9738413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Metabolites!$M$4:$M$17</c:f>
                <c:numCache>
                  <c:formatCode>General</c:formatCode>
                  <c:ptCount val="14"/>
                  <c:pt idx="0">
                    <c:v>0.0256704117611154</c:v>
                  </c:pt>
                  <c:pt idx="1">
                    <c:v>0.0256704117611154</c:v>
                  </c:pt>
                  <c:pt idx="2">
                    <c:v>0.0339827449633784</c:v>
                  </c:pt>
                  <c:pt idx="3">
                    <c:v>0.0256885405829805</c:v>
                  </c:pt>
                  <c:pt idx="4">
                    <c:v>0.0222636557450922</c:v>
                  </c:pt>
                  <c:pt idx="5">
                    <c:v>0.0128639619292506</c:v>
                  </c:pt>
                  <c:pt idx="6">
                    <c:v>0.0128849471852526</c:v>
                  </c:pt>
                  <c:pt idx="7">
                    <c:v>0.0223551772220306</c:v>
                  </c:pt>
                  <c:pt idx="8">
                    <c:v>0.0341783435864605</c:v>
                  </c:pt>
                  <c:pt idx="9">
                    <c:v>0.0223955433248077</c:v>
                  </c:pt>
                  <c:pt idx="10">
                    <c:v>0.0129300729672256</c:v>
                  </c:pt>
                  <c:pt idx="11">
                    <c:v>0.0224630675760383</c:v>
                  </c:pt>
                  <c:pt idx="12">
                    <c:v>0.0259927803253314</c:v>
                  </c:pt>
                  <c:pt idx="13">
                    <c:v>0.143279043833446</c:v>
                  </c:pt>
                </c:numCache>
              </c:numRef>
            </c:plus>
            <c:minus>
              <c:numRef>
                <c:f>Metabolites!$M$4:$M$17</c:f>
                <c:numCache>
                  <c:formatCode>General</c:formatCode>
                  <c:ptCount val="14"/>
                  <c:pt idx="0">
                    <c:v>0.0256704117611154</c:v>
                  </c:pt>
                  <c:pt idx="1">
                    <c:v>0.0256704117611154</c:v>
                  </c:pt>
                  <c:pt idx="2">
                    <c:v>0.0339827449633784</c:v>
                  </c:pt>
                  <c:pt idx="3">
                    <c:v>0.0256885405829805</c:v>
                  </c:pt>
                  <c:pt idx="4">
                    <c:v>0.0222636557450922</c:v>
                  </c:pt>
                  <c:pt idx="5">
                    <c:v>0.0128639619292506</c:v>
                  </c:pt>
                  <c:pt idx="6">
                    <c:v>0.0128849471852526</c:v>
                  </c:pt>
                  <c:pt idx="7">
                    <c:v>0.0223551772220306</c:v>
                  </c:pt>
                  <c:pt idx="8">
                    <c:v>0.0341783435864605</c:v>
                  </c:pt>
                  <c:pt idx="9">
                    <c:v>0.0223955433248077</c:v>
                  </c:pt>
                  <c:pt idx="10">
                    <c:v>0.0129300729672256</c:v>
                  </c:pt>
                  <c:pt idx="11">
                    <c:v>0.0224630675760383</c:v>
                  </c:pt>
                  <c:pt idx="12">
                    <c:v>0.0259927803253314</c:v>
                  </c:pt>
                  <c:pt idx="13">
                    <c:v>0.143279043833446</c:v>
                  </c:pt>
                </c:numCache>
              </c:numRef>
            </c:minus>
          </c:errBars>
          <c:xVal>
            <c:numRef>
              <c:f>Metabolites!$E$4:$E$17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Metabolites!$L$4:$L$17</c:f>
              <c:numCache>
                <c:formatCode>0</c:formatCode>
                <c:ptCount val="14"/>
                <c:pt idx="0">
                  <c:v>0.741040957024424</c:v>
                </c:pt>
                <c:pt idx="1">
                  <c:v>0.748451366594669</c:v>
                </c:pt>
                <c:pt idx="2">
                  <c:v>0.748979933943959</c:v>
                </c:pt>
                <c:pt idx="3">
                  <c:v>0.771226862674968</c:v>
                </c:pt>
                <c:pt idx="4">
                  <c:v>0.823755262568409</c:v>
                </c:pt>
                <c:pt idx="5">
                  <c:v>0.839252342744866</c:v>
                </c:pt>
                <c:pt idx="6">
                  <c:v>0.833182305300768</c:v>
                </c:pt>
                <c:pt idx="7">
                  <c:v>0.871851911659192</c:v>
                </c:pt>
                <c:pt idx="8">
                  <c:v>0.857707493357801</c:v>
                </c:pt>
                <c:pt idx="9">
                  <c:v>0.873426189667499</c:v>
                </c:pt>
                <c:pt idx="10">
                  <c:v>0.843565465234422</c:v>
                </c:pt>
                <c:pt idx="11">
                  <c:v>1.078227243649836</c:v>
                </c:pt>
                <c:pt idx="12">
                  <c:v>1.320610607167888</c:v>
                </c:pt>
                <c:pt idx="13">
                  <c:v>2.015413466644963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Metabolites!$Q$4:$Q$17</c:f>
                <c:numCache>
                  <c:formatCode>General</c:formatCode>
                  <c:ptCount val="14"/>
                  <c:pt idx="0">
                    <c:v>0.0962693876536729</c:v>
                  </c:pt>
                  <c:pt idx="1">
                    <c:v>0.309861834035515</c:v>
                  </c:pt>
                  <c:pt idx="2">
                    <c:v>0.218836448045481</c:v>
                  </c:pt>
                  <c:pt idx="3">
                    <c:v>0.864034009555532</c:v>
                  </c:pt>
                  <c:pt idx="4">
                    <c:v>0.0840481225929587</c:v>
                  </c:pt>
                  <c:pt idx="5">
                    <c:v>0.261045166803681</c:v>
                  </c:pt>
                  <c:pt idx="6">
                    <c:v>0.204553549443922</c:v>
                  </c:pt>
                  <c:pt idx="7">
                    <c:v>1.023218357925528</c:v>
                  </c:pt>
                  <c:pt idx="8">
                    <c:v>0.679902101523983</c:v>
                  </c:pt>
                  <c:pt idx="9">
                    <c:v>0.0335951797285375</c:v>
                  </c:pt>
                  <c:pt idx="10">
                    <c:v>0.0888844908122272</c:v>
                  </c:pt>
                  <c:pt idx="11">
                    <c:v>0.261735776084938</c:v>
                  </c:pt>
                  <c:pt idx="12">
                    <c:v>0.210877885107008</c:v>
                  </c:pt>
                  <c:pt idx="13">
                    <c:v>2.357443517709794</c:v>
                  </c:pt>
                </c:numCache>
              </c:numRef>
            </c:plus>
            <c:minus>
              <c:numRef>
                <c:f>Metabolites!$Q$4:$Q$17</c:f>
                <c:numCache>
                  <c:formatCode>General</c:formatCode>
                  <c:ptCount val="14"/>
                  <c:pt idx="0">
                    <c:v>0.0962693876536729</c:v>
                  </c:pt>
                  <c:pt idx="1">
                    <c:v>0.309861834035515</c:v>
                  </c:pt>
                  <c:pt idx="2">
                    <c:v>0.218836448045481</c:v>
                  </c:pt>
                  <c:pt idx="3">
                    <c:v>0.864034009555532</c:v>
                  </c:pt>
                  <c:pt idx="4">
                    <c:v>0.0840481225929587</c:v>
                  </c:pt>
                  <c:pt idx="5">
                    <c:v>0.261045166803681</c:v>
                  </c:pt>
                  <c:pt idx="6">
                    <c:v>0.204553549443922</c:v>
                  </c:pt>
                  <c:pt idx="7">
                    <c:v>1.023218357925528</c:v>
                  </c:pt>
                  <c:pt idx="8">
                    <c:v>0.679902101523983</c:v>
                  </c:pt>
                  <c:pt idx="9">
                    <c:v>0.0335951797285375</c:v>
                  </c:pt>
                  <c:pt idx="10">
                    <c:v>0.0888844908122272</c:v>
                  </c:pt>
                  <c:pt idx="11">
                    <c:v>0.261735776084938</c:v>
                  </c:pt>
                  <c:pt idx="12">
                    <c:v>0.210877885107008</c:v>
                  </c:pt>
                  <c:pt idx="13">
                    <c:v>2.357443517709794</c:v>
                  </c:pt>
                </c:numCache>
              </c:numRef>
            </c:minus>
          </c:errBars>
          <c:xVal>
            <c:numRef>
              <c:f>Metabolites!$E$4:$E$17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Metabolites!$P$4:$P$17</c:f>
              <c:numCache>
                <c:formatCode>0</c:formatCode>
                <c:ptCount val="14"/>
                <c:pt idx="0">
                  <c:v>48.63351226699845</c:v>
                </c:pt>
                <c:pt idx="1">
                  <c:v>49.03369659650975</c:v>
                </c:pt>
                <c:pt idx="2">
                  <c:v>47.38858855831394</c:v>
                </c:pt>
                <c:pt idx="3">
                  <c:v>48.13390204033437</c:v>
                </c:pt>
                <c:pt idx="4">
                  <c:v>48.41500675155898</c:v>
                </c:pt>
                <c:pt idx="5">
                  <c:v>47.92916804583734</c:v>
                </c:pt>
                <c:pt idx="6">
                  <c:v>47.28200070693272</c:v>
                </c:pt>
                <c:pt idx="7">
                  <c:v>47.45149750686304</c:v>
                </c:pt>
                <c:pt idx="8">
                  <c:v>44.83075698420802</c:v>
                </c:pt>
                <c:pt idx="9">
                  <c:v>44.1104709835697</c:v>
                </c:pt>
                <c:pt idx="10">
                  <c:v>40.88533372963008</c:v>
                </c:pt>
                <c:pt idx="11">
                  <c:v>37.05488674324832</c:v>
                </c:pt>
                <c:pt idx="12">
                  <c:v>37.04293260329574</c:v>
                </c:pt>
                <c:pt idx="13">
                  <c:v>35.44466765424576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Metabolites!$U$4:$U$17</c:f>
                <c:numCache>
                  <c:formatCode>General</c:formatCode>
                  <c:ptCount val="14"/>
                  <c:pt idx="0">
                    <c:v>0.156863732778251</c:v>
                  </c:pt>
                  <c:pt idx="1">
                    <c:v>0.0251182999287559</c:v>
                  </c:pt>
                  <c:pt idx="2">
                    <c:v>0.025136038841135</c:v>
                  </c:pt>
                  <c:pt idx="3">
                    <c:v>0.025136038841135</c:v>
                  </c:pt>
                  <c:pt idx="4">
                    <c:v>0.0</c:v>
                  </c:pt>
                  <c:pt idx="5">
                    <c:v>0.0251745750724939</c:v>
                  </c:pt>
                  <c:pt idx="6">
                    <c:v>0.0252156428947981</c:v>
                  </c:pt>
                  <c:pt idx="7">
                    <c:v>0.110098573703496</c:v>
                  </c:pt>
                  <c:pt idx="8">
                    <c:v>0.0911509228682822</c:v>
                  </c:pt>
                  <c:pt idx="9">
                    <c:v>0.0759118600621998</c:v>
                  </c:pt>
                  <c:pt idx="10">
                    <c:v>0.110297375542443</c:v>
                  </c:pt>
                  <c:pt idx="11">
                    <c:v>0.110629930443576</c:v>
                  </c:pt>
                  <c:pt idx="12">
                    <c:v>0.0672913379401073</c:v>
                  </c:pt>
                  <c:pt idx="13">
                    <c:v>0.809697829655668</c:v>
                  </c:pt>
                </c:numCache>
              </c:numRef>
            </c:plus>
            <c:minus>
              <c:numRef>
                <c:f>Metabolites!$U$4:$U$17</c:f>
                <c:numCache>
                  <c:formatCode>General</c:formatCode>
                  <c:ptCount val="14"/>
                  <c:pt idx="0">
                    <c:v>0.156863732778251</c:v>
                  </c:pt>
                  <c:pt idx="1">
                    <c:v>0.0251182999287559</c:v>
                  </c:pt>
                  <c:pt idx="2">
                    <c:v>0.025136038841135</c:v>
                  </c:pt>
                  <c:pt idx="3">
                    <c:v>0.025136038841135</c:v>
                  </c:pt>
                  <c:pt idx="4">
                    <c:v>0.0</c:v>
                  </c:pt>
                  <c:pt idx="5">
                    <c:v>0.0251745750724939</c:v>
                  </c:pt>
                  <c:pt idx="6">
                    <c:v>0.0252156428947981</c:v>
                  </c:pt>
                  <c:pt idx="7">
                    <c:v>0.110098573703496</c:v>
                  </c:pt>
                  <c:pt idx="8">
                    <c:v>0.0911509228682822</c:v>
                  </c:pt>
                  <c:pt idx="9">
                    <c:v>0.0759118600621998</c:v>
                  </c:pt>
                  <c:pt idx="10">
                    <c:v>0.110297375542443</c:v>
                  </c:pt>
                  <c:pt idx="11">
                    <c:v>0.110629930443576</c:v>
                  </c:pt>
                  <c:pt idx="12">
                    <c:v>0.0672913379401073</c:v>
                  </c:pt>
                  <c:pt idx="13">
                    <c:v>0.809697829655668</c:v>
                  </c:pt>
                </c:numCache>
              </c:numRef>
            </c:minus>
          </c:errBars>
          <c:xVal>
            <c:numRef>
              <c:f>Metabolites!$E$4:$E$17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Metabolites!$T$4:$T$17</c:f>
              <c:numCache>
                <c:formatCode>0</c:formatCode>
                <c:ptCount val="14"/>
                <c:pt idx="0">
                  <c:v>0.217530858381795</c:v>
                </c:pt>
                <c:pt idx="1">
                  <c:v>0.101514400578171</c:v>
                </c:pt>
                <c:pt idx="2">
                  <c:v>0.188659884286772</c:v>
                </c:pt>
                <c:pt idx="3">
                  <c:v>0.319270573408384</c:v>
                </c:pt>
                <c:pt idx="4">
                  <c:v>0.697114094118757</c:v>
                </c:pt>
                <c:pt idx="5">
                  <c:v>1.162763815587103</c:v>
                </c:pt>
                <c:pt idx="6">
                  <c:v>2.081830924473467</c:v>
                </c:pt>
                <c:pt idx="7">
                  <c:v>3.70405973275958</c:v>
                </c:pt>
                <c:pt idx="8">
                  <c:v>4.189002922003513</c:v>
                </c:pt>
                <c:pt idx="9">
                  <c:v>4.908706078258778</c:v>
                </c:pt>
                <c:pt idx="10">
                  <c:v>5.025580032503036</c:v>
                </c:pt>
                <c:pt idx="11">
                  <c:v>8.205843661812834</c:v>
                </c:pt>
                <c:pt idx="12">
                  <c:v>10.20550078853094</c:v>
                </c:pt>
                <c:pt idx="13">
                  <c:v>10.7139137044688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0.017285887889713</c:v>
                </c:pt>
                <c:pt idx="2">
                  <c:v>0.0539760338578647</c:v>
                </c:pt>
                <c:pt idx="3">
                  <c:v>0.0924613652392101</c:v>
                </c:pt>
                <c:pt idx="4">
                  <c:v>0.130922963742531</c:v>
                </c:pt>
                <c:pt idx="5">
                  <c:v>0.169731745345003</c:v>
                </c:pt>
                <c:pt idx="6">
                  <c:v>0.210758039023802</c:v>
                </c:pt>
                <c:pt idx="7">
                  <c:v>0.256550642777028</c:v>
                </c:pt>
                <c:pt idx="8">
                  <c:v>0.308278683805861</c:v>
                </c:pt>
                <c:pt idx="9">
                  <c:v>0.366026841150198</c:v>
                </c:pt>
                <c:pt idx="10">
                  <c:v>0.432565026212197</c:v>
                </c:pt>
                <c:pt idx="11">
                  <c:v>0.510455941512966</c:v>
                </c:pt>
                <c:pt idx="12">
                  <c:v>0.600544399593122</c:v>
                </c:pt>
                <c:pt idx="13">
                  <c:v>0.706813758925679</c:v>
                </c:pt>
                <c:pt idx="14">
                  <c:v>0.833582575461186</c:v>
                </c:pt>
                <c:pt idx="15">
                  <c:v>0.988149486396578</c:v>
                </c:pt>
                <c:pt idx="16">
                  <c:v>1.175642519709114</c:v>
                </c:pt>
                <c:pt idx="17">
                  <c:v>1.399390762173546</c:v>
                </c:pt>
                <c:pt idx="18">
                  <c:v>1.675175089445889</c:v>
                </c:pt>
                <c:pt idx="19">
                  <c:v>2.042407316416786</c:v>
                </c:pt>
                <c:pt idx="20">
                  <c:v>2.49596626680583</c:v>
                </c:pt>
                <c:pt idx="21">
                  <c:v>2.979174926088249</c:v>
                </c:pt>
                <c:pt idx="22">
                  <c:v>3.485851839044116</c:v>
                </c:pt>
                <c:pt idx="23">
                  <c:v>4.044934270952328</c:v>
                </c:pt>
                <c:pt idx="24">
                  <c:v>4.657283767277105</c:v>
                </c:pt>
                <c:pt idx="25">
                  <c:v>5.315324571659927</c:v>
                </c:pt>
                <c:pt idx="26">
                  <c:v>6.029076629611836</c:v>
                </c:pt>
                <c:pt idx="27">
                  <c:v>6.783420286692481</c:v>
                </c:pt>
                <c:pt idx="28">
                  <c:v>7.568165920106095</c:v>
                </c:pt>
                <c:pt idx="29">
                  <c:v>8.360035743493062</c:v>
                </c:pt>
                <c:pt idx="30">
                  <c:v>9.124492593834334</c:v>
                </c:pt>
                <c:pt idx="31">
                  <c:v>9.8570068464472</c:v>
                </c:pt>
                <c:pt idx="32">
                  <c:v>10.55678206291703</c:v>
                </c:pt>
                <c:pt idx="33">
                  <c:v>11.22130680110702</c:v>
                </c:pt>
                <c:pt idx="34">
                  <c:v>11.837508256252</c:v>
                </c:pt>
                <c:pt idx="35">
                  <c:v>12.40754099384836</c:v>
                </c:pt>
                <c:pt idx="36">
                  <c:v>12.94528946353725</c:v>
                </c:pt>
                <c:pt idx="37">
                  <c:v>13.45133816367784</c:v>
                </c:pt>
                <c:pt idx="38">
                  <c:v>13.92687842547866</c:v>
                </c:pt>
                <c:pt idx="39">
                  <c:v>14.38644002278555</c:v>
                </c:pt>
                <c:pt idx="40">
                  <c:v>14.8354478606948</c:v>
                </c:pt>
                <c:pt idx="41">
                  <c:v>15.26170160516275</c:v>
                </c:pt>
                <c:pt idx="42">
                  <c:v>15.6586762586529</c:v>
                </c:pt>
                <c:pt idx="43">
                  <c:v>16.03026372487393</c:v>
                </c:pt>
                <c:pt idx="44">
                  <c:v>16.38164608074203</c:v>
                </c:pt>
                <c:pt idx="45">
                  <c:v>16.71311177382143</c:v>
                </c:pt>
                <c:pt idx="46">
                  <c:v>17.01823417337264</c:v>
                </c:pt>
                <c:pt idx="47">
                  <c:v>17.29963116676211</c:v>
                </c:pt>
                <c:pt idx="48">
                  <c:v>17.56691008943006</c:v>
                </c:pt>
                <c:pt idx="49">
                  <c:v>17.81842530711955</c:v>
                </c:pt>
                <c:pt idx="50">
                  <c:v>18.04456731919215</c:v>
                </c:pt>
                <c:pt idx="51">
                  <c:v>18.24475343095285</c:v>
                </c:pt>
                <c:pt idx="52">
                  <c:v>18.42294956444242</c:v>
                </c:pt>
                <c:pt idx="53">
                  <c:v>18.58328055843663</c:v>
                </c:pt>
                <c:pt idx="54">
                  <c:v>18.72865838719599</c:v>
                </c:pt>
                <c:pt idx="55">
                  <c:v>18.86008902363735</c:v>
                </c:pt>
                <c:pt idx="56">
                  <c:v>18.97999819679119</c:v>
                </c:pt>
                <c:pt idx="57">
                  <c:v>19.09160921779194</c:v>
                </c:pt>
                <c:pt idx="58">
                  <c:v>19.19760318187004</c:v>
                </c:pt>
                <c:pt idx="59">
                  <c:v>19.29790013091982</c:v>
                </c:pt>
                <c:pt idx="60">
                  <c:v>19.39684823653379</c:v>
                </c:pt>
                <c:pt idx="61">
                  <c:v>19.49515472514806</c:v>
                </c:pt>
                <c:pt idx="62">
                  <c:v>19.58828431584887</c:v>
                </c:pt>
                <c:pt idx="63">
                  <c:v>19.6769554482607</c:v>
                </c:pt>
                <c:pt idx="64">
                  <c:v>19.76083857264428</c:v>
                </c:pt>
                <c:pt idx="65">
                  <c:v>19.8402552913979</c:v>
                </c:pt>
                <c:pt idx="66">
                  <c:v>19.91644062130962</c:v>
                </c:pt>
                <c:pt idx="67">
                  <c:v>19.98888699220228</c:v>
                </c:pt>
                <c:pt idx="68">
                  <c:v>20.05716259854937</c:v>
                </c:pt>
                <c:pt idx="69">
                  <c:v>20.1222322475457</c:v>
                </c:pt>
                <c:pt idx="70">
                  <c:v>20.18353750603184</c:v>
                </c:pt>
                <c:pt idx="71">
                  <c:v>20.24088339924243</c:v>
                </c:pt>
                <c:pt idx="72">
                  <c:v>20.29537831633265</c:v>
                </c:pt>
                <c:pt idx="73">
                  <c:v>20.34660793592612</c:v>
                </c:pt>
                <c:pt idx="74">
                  <c:v>20.39443715322622</c:v>
                </c:pt>
                <c:pt idx="75">
                  <c:v>20.43968666364468</c:v>
                </c:pt>
                <c:pt idx="76">
                  <c:v>20.48207672077903</c:v>
                </c:pt>
                <c:pt idx="77">
                  <c:v>20.52134506237699</c:v>
                </c:pt>
                <c:pt idx="78">
                  <c:v>20.55826205069075</c:v>
                </c:pt>
                <c:pt idx="79">
                  <c:v>20.59435834359278</c:v>
                </c:pt>
                <c:pt idx="80">
                  <c:v>20.62913484806964</c:v>
                </c:pt>
                <c:pt idx="81">
                  <c:v>20.66164424107668</c:v>
                </c:pt>
                <c:pt idx="82">
                  <c:v>20.69251224326026</c:v>
                </c:pt>
                <c:pt idx="83">
                  <c:v>20.72119790561113</c:v>
                </c:pt>
                <c:pt idx="84">
                  <c:v>20.74835238026679</c:v>
                </c:pt>
                <c:pt idx="85">
                  <c:v>20.77453410038666</c:v>
                </c:pt>
                <c:pt idx="86">
                  <c:v>20.79888899172693</c:v>
                </c:pt>
                <c:pt idx="87">
                  <c:v>20.82245709631031</c:v>
                </c:pt>
                <c:pt idx="88">
                  <c:v>20.84538199609716</c:v>
                </c:pt>
                <c:pt idx="89">
                  <c:v>20.86672484520654</c:v>
                </c:pt>
                <c:pt idx="90">
                  <c:v>20.88650259796587</c:v>
                </c:pt>
                <c:pt idx="91">
                  <c:v>20.90470677721143</c:v>
                </c:pt>
                <c:pt idx="92">
                  <c:v>20.92227675864691</c:v>
                </c:pt>
                <c:pt idx="93">
                  <c:v>20.94046451338778</c:v>
                </c:pt>
                <c:pt idx="94">
                  <c:v>20.9590581123413</c:v>
                </c:pt>
                <c:pt idx="95">
                  <c:v>20.97677167573712</c:v>
                </c:pt>
                <c:pt idx="96">
                  <c:v>20.99692881270116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Metabolites!$I$4:$I$17</c:f>
                <c:numCache>
                  <c:formatCode>General</c:formatCode>
                  <c:ptCount val="14"/>
                  <c:pt idx="0">
                    <c:v>0.129787987298985</c:v>
                  </c:pt>
                  <c:pt idx="1">
                    <c:v>0.185667364436314</c:v>
                  </c:pt>
                  <c:pt idx="2">
                    <c:v>0.285839127978757</c:v>
                  </c:pt>
                  <c:pt idx="3">
                    <c:v>0.765366561229674</c:v>
                  </c:pt>
                  <c:pt idx="4">
                    <c:v>0.101007665007242</c:v>
                  </c:pt>
                  <c:pt idx="5">
                    <c:v>0.225303029699234</c:v>
                  </c:pt>
                  <c:pt idx="6">
                    <c:v>0.237499322699461</c:v>
                  </c:pt>
                  <c:pt idx="7">
                    <c:v>0.926886553929118</c:v>
                  </c:pt>
                  <c:pt idx="8">
                    <c:v>0.644066506948334</c:v>
                  </c:pt>
                  <c:pt idx="9">
                    <c:v>0.0869781703011403</c:v>
                  </c:pt>
                  <c:pt idx="10">
                    <c:v>0.0762216560177467</c:v>
                  </c:pt>
                  <c:pt idx="11">
                    <c:v>0.103752464894804</c:v>
                  </c:pt>
                  <c:pt idx="12">
                    <c:v>0.186420068276709</c:v>
                  </c:pt>
                  <c:pt idx="13">
                    <c:v>2.173949074303141</c:v>
                  </c:pt>
                </c:numCache>
              </c:numRef>
            </c:plus>
            <c:minus>
              <c:numRef>
                <c:f>Metabolites!$I$4:$I$17</c:f>
                <c:numCache>
                  <c:formatCode>General</c:formatCode>
                  <c:ptCount val="14"/>
                  <c:pt idx="0">
                    <c:v>0.129787987298985</c:v>
                  </c:pt>
                  <c:pt idx="1">
                    <c:v>0.185667364436314</c:v>
                  </c:pt>
                  <c:pt idx="2">
                    <c:v>0.285839127978757</c:v>
                  </c:pt>
                  <c:pt idx="3">
                    <c:v>0.765366561229674</c:v>
                  </c:pt>
                  <c:pt idx="4">
                    <c:v>0.101007665007242</c:v>
                  </c:pt>
                  <c:pt idx="5">
                    <c:v>0.225303029699234</c:v>
                  </c:pt>
                  <c:pt idx="6">
                    <c:v>0.237499322699461</c:v>
                  </c:pt>
                  <c:pt idx="7">
                    <c:v>0.926886553929118</c:v>
                  </c:pt>
                  <c:pt idx="8">
                    <c:v>0.644066506948334</c:v>
                  </c:pt>
                  <c:pt idx="9">
                    <c:v>0.0869781703011403</c:v>
                  </c:pt>
                  <c:pt idx="10">
                    <c:v>0.0762216560177467</c:v>
                  </c:pt>
                  <c:pt idx="11">
                    <c:v>0.103752464894804</c:v>
                  </c:pt>
                  <c:pt idx="12">
                    <c:v>0.186420068276709</c:v>
                  </c:pt>
                  <c:pt idx="13">
                    <c:v>2.173949074303141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Metabolites!$H$4:$H$17</c:f>
              <c:numCache>
                <c:formatCode>0</c:formatCode>
                <c:ptCount val="14"/>
                <c:pt idx="0">
                  <c:v>47.0116383136295</c:v>
                </c:pt>
                <c:pt idx="1">
                  <c:v>47.2302453959517</c:v>
                </c:pt>
                <c:pt idx="2">
                  <c:v>45.58024914838163</c:v>
                </c:pt>
                <c:pt idx="3">
                  <c:v>46.49237322635297</c:v>
                </c:pt>
                <c:pt idx="4">
                  <c:v>46.70172853462162</c:v>
                </c:pt>
                <c:pt idx="5">
                  <c:v>46.19972741632245</c:v>
                </c:pt>
                <c:pt idx="6">
                  <c:v>45.8287463554052</c:v>
                </c:pt>
                <c:pt idx="7">
                  <c:v>46.39071859858375</c:v>
                </c:pt>
                <c:pt idx="8">
                  <c:v>44.13837344079535</c:v>
                </c:pt>
                <c:pt idx="9">
                  <c:v>43.65637912115842</c:v>
                </c:pt>
                <c:pt idx="10">
                  <c:v>40.75242367004169</c:v>
                </c:pt>
                <c:pt idx="11">
                  <c:v>35.81361740539698</c:v>
                </c:pt>
                <c:pt idx="12">
                  <c:v>33.90442629822786</c:v>
                </c:pt>
                <c:pt idx="13">
                  <c:v>30.69745436882366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Metabolites!$J$19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Metabolites!$M$22:$M$35</c:f>
                <c:numCache>
                  <c:formatCode>General</c:formatCode>
                  <c:ptCount val="14"/>
                  <c:pt idx="0">
                    <c:v>0.266351179021293</c:v>
                  </c:pt>
                  <c:pt idx="1">
                    <c:v>0.250355252475025</c:v>
                  </c:pt>
                  <c:pt idx="2">
                    <c:v>0.159750957596496</c:v>
                  </c:pt>
                  <c:pt idx="3">
                    <c:v>0.35552046046765</c:v>
                  </c:pt>
                  <c:pt idx="4">
                    <c:v>0.0227614358133912</c:v>
                  </c:pt>
                  <c:pt idx="5">
                    <c:v>0.197273696048162</c:v>
                  </c:pt>
                  <c:pt idx="6">
                    <c:v>0.22003305093395</c:v>
                  </c:pt>
                  <c:pt idx="7">
                    <c:v>0.702334420712072</c:v>
                  </c:pt>
                  <c:pt idx="8">
                    <c:v>0.562346594723025</c:v>
                  </c:pt>
                  <c:pt idx="9">
                    <c:v>0.103245009715258</c:v>
                  </c:pt>
                  <c:pt idx="10">
                    <c:v>0.160273905333</c:v>
                  </c:pt>
                  <c:pt idx="11">
                    <c:v>0.192598473276968</c:v>
                  </c:pt>
                  <c:pt idx="12">
                    <c:v>0.231666218027363</c:v>
                  </c:pt>
                  <c:pt idx="13">
                    <c:v>3.550614577725606</c:v>
                  </c:pt>
                </c:numCache>
              </c:numRef>
            </c:plus>
            <c:minus>
              <c:numRef>
                <c:f>Metabolites!$M$22:$M$35</c:f>
                <c:numCache>
                  <c:formatCode>General</c:formatCode>
                  <c:ptCount val="14"/>
                  <c:pt idx="0">
                    <c:v>0.266351179021293</c:v>
                  </c:pt>
                  <c:pt idx="1">
                    <c:v>0.250355252475025</c:v>
                  </c:pt>
                  <c:pt idx="2">
                    <c:v>0.159750957596496</c:v>
                  </c:pt>
                  <c:pt idx="3">
                    <c:v>0.35552046046765</c:v>
                  </c:pt>
                  <c:pt idx="4">
                    <c:v>0.0227614358133912</c:v>
                  </c:pt>
                  <c:pt idx="5">
                    <c:v>0.197273696048162</c:v>
                  </c:pt>
                  <c:pt idx="6">
                    <c:v>0.22003305093395</c:v>
                  </c:pt>
                  <c:pt idx="7">
                    <c:v>0.702334420712072</c:v>
                  </c:pt>
                  <c:pt idx="8">
                    <c:v>0.562346594723025</c:v>
                  </c:pt>
                  <c:pt idx="9">
                    <c:v>0.103245009715258</c:v>
                  </c:pt>
                  <c:pt idx="10">
                    <c:v>0.160273905333</c:v>
                  </c:pt>
                  <c:pt idx="11">
                    <c:v>0.192598473276968</c:v>
                  </c:pt>
                  <c:pt idx="12">
                    <c:v>0.231666218027363</c:v>
                  </c:pt>
                  <c:pt idx="13">
                    <c:v>3.550614577725606</c:v>
                  </c:pt>
                </c:numCache>
              </c:numRef>
            </c:minus>
          </c:errBars>
          <c:xVal>
            <c:numRef>
              <c:f>Metabolites!$E$4:$E$17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Metabolites!$L$22:$L$35</c:f>
              <c:numCache>
                <c:formatCode>0</c:formatCode>
                <c:ptCount val="14"/>
                <c:pt idx="0">
                  <c:v>27.94821293257477</c:v>
                </c:pt>
                <c:pt idx="1">
                  <c:v>28.35732204028933</c:v>
                </c:pt>
                <c:pt idx="2">
                  <c:v>27.84664725210101</c:v>
                </c:pt>
                <c:pt idx="3">
                  <c:v>28.87772376347747</c:v>
                </c:pt>
                <c:pt idx="4">
                  <c:v>29.99957240204963</c:v>
                </c:pt>
                <c:pt idx="5">
                  <c:v>30.75192580970818</c:v>
                </c:pt>
                <c:pt idx="6">
                  <c:v>32.65021760846734</c:v>
                </c:pt>
                <c:pt idx="7">
                  <c:v>36.53753236679083</c:v>
                </c:pt>
                <c:pt idx="8">
                  <c:v>37.2104020259412</c:v>
                </c:pt>
                <c:pt idx="9">
                  <c:v>40.42718459756698</c:v>
                </c:pt>
                <c:pt idx="10">
                  <c:v>40.54929804924927</c:v>
                </c:pt>
                <c:pt idx="11">
                  <c:v>48.38024501273787</c:v>
                </c:pt>
                <c:pt idx="12">
                  <c:v>50.0011100259379</c:v>
                </c:pt>
                <c:pt idx="13">
                  <c:v>49.76661995491234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92472"/>
        <c:axId val="213989812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23662.0</c:v>
                </c:pt>
                <c:pt idx="1">
                  <c:v>5975.0</c:v>
                </c:pt>
                <c:pt idx="2">
                  <c:v>7098.0</c:v>
                </c:pt>
                <c:pt idx="3">
                  <c:v>9789.0</c:v>
                </c:pt>
                <c:pt idx="4">
                  <c:v>16796.0</c:v>
                </c:pt>
                <c:pt idx="5">
                  <c:v>20456.0</c:v>
                </c:pt>
                <c:pt idx="6">
                  <c:v>41180.0</c:v>
                </c:pt>
                <c:pt idx="7">
                  <c:v>5126.0</c:v>
                </c:pt>
                <c:pt idx="8">
                  <c:v>3576.0</c:v>
                </c:pt>
                <c:pt idx="9">
                  <c:v>3704.0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OD600nm!$J$4:$J$17</c:f>
                <c:numCache>
                  <c:formatCode>General</c:formatCode>
                  <c:ptCount val="14"/>
                  <c:pt idx="0">
                    <c:v>0.0</c:v>
                  </c:pt>
                  <c:pt idx="1">
                    <c:v>5.44133936696422E-17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0.00924164575891835</c:v>
                  </c:pt>
                  <c:pt idx="6">
                    <c:v>0.048021</c:v>
                  </c:pt>
                  <c:pt idx="7">
                    <c:v>0.00924164575891835</c:v>
                  </c:pt>
                  <c:pt idx="8">
                    <c:v>0.0739331660713468</c:v>
                  </c:pt>
                  <c:pt idx="9">
                    <c:v>0.0244510963830527</c:v>
                  </c:pt>
                  <c:pt idx="10">
                    <c:v>0.0462082287945917</c:v>
                  </c:pt>
                  <c:pt idx="11">
                    <c:v>0.0402833999351261</c:v>
                  </c:pt>
                  <c:pt idx="12">
                    <c:v>0.0244510963830527</c:v>
                  </c:pt>
                  <c:pt idx="13">
                    <c:v>0.0402833999351263</c:v>
                  </c:pt>
                </c:numCache>
              </c:numRef>
            </c:plus>
            <c:minus>
              <c:numRef>
                <c:f>OD600nm!$J$4:$J$17</c:f>
                <c:numCache>
                  <c:formatCode>General</c:formatCode>
                  <c:ptCount val="14"/>
                  <c:pt idx="0">
                    <c:v>0.0</c:v>
                  </c:pt>
                  <c:pt idx="1">
                    <c:v>5.44133936696422E-17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0.00924164575891835</c:v>
                  </c:pt>
                  <c:pt idx="6">
                    <c:v>0.048021</c:v>
                  </c:pt>
                  <c:pt idx="7">
                    <c:v>0.00924164575891835</c:v>
                  </c:pt>
                  <c:pt idx="8">
                    <c:v>0.0739331660713468</c:v>
                  </c:pt>
                  <c:pt idx="9">
                    <c:v>0.0244510963830527</c:v>
                  </c:pt>
                  <c:pt idx="10">
                    <c:v>0.0462082287945917</c:v>
                  </c:pt>
                  <c:pt idx="11">
                    <c:v>0.0402833999351261</c:v>
                  </c:pt>
                  <c:pt idx="12">
                    <c:v>0.0244510963830527</c:v>
                  </c:pt>
                  <c:pt idx="13">
                    <c:v>0.0402833999351263</c:v>
                  </c:pt>
                </c:numCache>
              </c:numRef>
            </c:minus>
          </c:errBars>
          <c:xVal>
            <c:numRef>
              <c:f>OD600nm!$D$4:$D$17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24.0</c:v>
                </c:pt>
                <c:pt idx="12">
                  <c:v>30.0</c:v>
                </c:pt>
                <c:pt idx="13">
                  <c:v>48.0</c:v>
                </c:pt>
              </c:numCache>
            </c:numRef>
          </c:xVal>
          <c:yVal>
            <c:numRef>
              <c:f>OD600nm!$I$4:$I$17</c:f>
              <c:numCache>
                <c:formatCode>0.000</c:formatCode>
                <c:ptCount val="14"/>
                <c:pt idx="0">
                  <c:v>0.2138987</c:v>
                </c:pt>
                <c:pt idx="1">
                  <c:v>0.2795274</c:v>
                </c:pt>
                <c:pt idx="2">
                  <c:v>0.3547603</c:v>
                </c:pt>
                <c:pt idx="3">
                  <c:v>0.4347953</c:v>
                </c:pt>
                <c:pt idx="4">
                  <c:v>0.5756569</c:v>
                </c:pt>
                <c:pt idx="5">
                  <c:v>0.725035333333333</c:v>
                </c:pt>
                <c:pt idx="6">
                  <c:v>1.130546</c:v>
                </c:pt>
                <c:pt idx="7">
                  <c:v>1.648105666666666</c:v>
                </c:pt>
                <c:pt idx="8">
                  <c:v>1.957574333333333</c:v>
                </c:pt>
                <c:pt idx="9">
                  <c:v>2.421777333333333</c:v>
                </c:pt>
                <c:pt idx="10">
                  <c:v>2.565840333333333</c:v>
                </c:pt>
                <c:pt idx="11">
                  <c:v>2.624532666666667</c:v>
                </c:pt>
                <c:pt idx="12">
                  <c:v>2.208350666666666</c:v>
                </c:pt>
                <c:pt idx="13">
                  <c:v>1.424007666666667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09560"/>
        <c:axId val="2139903848"/>
      </c:scatterChart>
      <c:valAx>
        <c:axId val="213989247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9898120"/>
        <c:crosses val="autoZero"/>
        <c:crossBetween val="midCat"/>
        <c:majorUnit val="6.0"/>
      </c:valAx>
      <c:valAx>
        <c:axId val="2139898120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9892472"/>
        <c:crosses val="autoZero"/>
        <c:crossBetween val="midCat"/>
      </c:valAx>
      <c:valAx>
        <c:axId val="2139903848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39909560"/>
        <c:crosses val="max"/>
        <c:crossBetween val="midCat"/>
        <c:majorUnit val="1.0"/>
        <c:minorUnit val="0.2"/>
      </c:valAx>
      <c:valAx>
        <c:axId val="213990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3990384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21" sqref="B21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114" t="s">
        <v>0</v>
      </c>
      <c r="B1" s="115"/>
      <c r="C1" s="34">
        <v>41962</v>
      </c>
    </row>
    <row r="2" spans="1:3" ht="16">
      <c r="A2" s="114" t="s">
        <v>1</v>
      </c>
      <c r="B2" s="116"/>
      <c r="C2" s="32" t="s">
        <v>130</v>
      </c>
    </row>
    <row r="3" spans="1:3">
      <c r="A3" s="11"/>
      <c r="B3" s="11"/>
      <c r="C3" s="10"/>
    </row>
    <row r="4" spans="1:3">
      <c r="A4" s="117" t="s">
        <v>49</v>
      </c>
      <c r="B4" s="117"/>
      <c r="C4" s="7" t="s">
        <v>108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7" t="s">
        <v>85</v>
      </c>
      <c r="B7" s="37" t="s">
        <v>86</v>
      </c>
      <c r="C7" s="37" t="s">
        <v>102</v>
      </c>
    </row>
    <row r="8" spans="1:3">
      <c r="A8" s="37" t="s">
        <v>87</v>
      </c>
      <c r="B8" s="37" t="s">
        <v>88</v>
      </c>
      <c r="C8" s="37" t="s">
        <v>102</v>
      </c>
    </row>
    <row r="9" spans="1:3">
      <c r="A9" s="37" t="s">
        <v>89</v>
      </c>
      <c r="B9" s="37" t="s">
        <v>90</v>
      </c>
      <c r="C9" s="37" t="s">
        <v>102</v>
      </c>
    </row>
    <row r="10" spans="1:3">
      <c r="A10" s="37" t="s">
        <v>91</v>
      </c>
      <c r="B10" s="37" t="s">
        <v>92</v>
      </c>
      <c r="C10" s="37" t="s">
        <v>102</v>
      </c>
    </row>
    <row r="11" spans="1:3">
      <c r="A11" s="30" t="s">
        <v>93</v>
      </c>
      <c r="B11" s="30" t="s">
        <v>146</v>
      </c>
      <c r="C11" s="30" t="s">
        <v>102</v>
      </c>
    </row>
    <row r="12" spans="1:3">
      <c r="A12" s="37" t="s">
        <v>73</v>
      </c>
      <c r="B12" s="37" t="s">
        <v>94</v>
      </c>
      <c r="C12" s="37" t="s">
        <v>102</v>
      </c>
    </row>
    <row r="13" spans="1:3" ht="16">
      <c r="A13" s="10" t="s">
        <v>77</v>
      </c>
      <c r="B13" s="37" t="s">
        <v>95</v>
      </c>
      <c r="C13" s="37" t="s">
        <v>102</v>
      </c>
    </row>
    <row r="14" spans="1:3" ht="16">
      <c r="A14" s="40" t="s">
        <v>76</v>
      </c>
      <c r="B14" s="37" t="s">
        <v>95</v>
      </c>
      <c r="C14" s="37" t="s">
        <v>102</v>
      </c>
    </row>
    <row r="15" spans="1:3" ht="16">
      <c r="A15" s="37" t="s">
        <v>110</v>
      </c>
      <c r="B15" s="37" t="s">
        <v>96</v>
      </c>
      <c r="C15" s="37" t="s">
        <v>102</v>
      </c>
    </row>
    <row r="16" spans="1:3" ht="16">
      <c r="A16" s="37" t="s">
        <v>109</v>
      </c>
      <c r="B16" s="37" t="s">
        <v>95</v>
      </c>
      <c r="C16" s="37" t="s">
        <v>102</v>
      </c>
    </row>
    <row r="17" spans="1:3" ht="16">
      <c r="A17" s="37" t="s">
        <v>111</v>
      </c>
      <c r="B17" s="37" t="s">
        <v>95</v>
      </c>
      <c r="C17" s="37" t="s">
        <v>102</v>
      </c>
    </row>
    <row r="18" spans="1:3" ht="16">
      <c r="A18" s="37" t="s">
        <v>112</v>
      </c>
      <c r="B18" s="37" t="s">
        <v>155</v>
      </c>
      <c r="C18" s="37" t="s">
        <v>102</v>
      </c>
    </row>
    <row r="19" spans="1:3" ht="16">
      <c r="A19" s="37" t="s">
        <v>75</v>
      </c>
      <c r="B19" s="37" t="s">
        <v>154</v>
      </c>
      <c r="C19" s="37" t="s">
        <v>102</v>
      </c>
    </row>
    <row r="20" spans="1:3" ht="16">
      <c r="A20" s="37" t="s">
        <v>113</v>
      </c>
      <c r="B20" s="37" t="s">
        <v>97</v>
      </c>
      <c r="C20" s="37" t="s">
        <v>102</v>
      </c>
    </row>
    <row r="21" spans="1:3" ht="16">
      <c r="A21" s="37" t="s">
        <v>114</v>
      </c>
      <c r="B21" s="37" t="s">
        <v>98</v>
      </c>
      <c r="C21" s="37" t="s">
        <v>102</v>
      </c>
    </row>
    <row r="22" spans="1:3" ht="16">
      <c r="A22" s="37" t="s">
        <v>115</v>
      </c>
      <c r="B22" s="37" t="s">
        <v>99</v>
      </c>
      <c r="C22" s="37" t="s">
        <v>102</v>
      </c>
    </row>
    <row r="23" spans="1:3" ht="16">
      <c r="A23" s="37" t="s">
        <v>116</v>
      </c>
      <c r="B23" s="37" t="s">
        <v>99</v>
      </c>
      <c r="C23" s="37" t="s">
        <v>102</v>
      </c>
    </row>
    <row r="24" spans="1:3">
      <c r="A24" s="37" t="s">
        <v>100</v>
      </c>
      <c r="B24" s="37" t="s">
        <v>99</v>
      </c>
      <c r="C24" s="37" t="s">
        <v>102</v>
      </c>
    </row>
    <row r="25" spans="1:3">
      <c r="A25" s="37" t="s">
        <v>101</v>
      </c>
      <c r="B25" s="37" t="s">
        <v>99</v>
      </c>
      <c r="C25" s="37" t="s">
        <v>102</v>
      </c>
    </row>
    <row r="26" spans="1:3">
      <c r="A26" s="37" t="s">
        <v>74</v>
      </c>
      <c r="B26" s="37" t="s">
        <v>103</v>
      </c>
      <c r="C26" s="37" t="s">
        <v>104</v>
      </c>
    </row>
    <row r="27" spans="1:3">
      <c r="A27" s="37" t="s">
        <v>105</v>
      </c>
      <c r="B27" s="37" t="s">
        <v>102</v>
      </c>
      <c r="C27" s="37" t="s">
        <v>107</v>
      </c>
    </row>
    <row r="28" spans="1:3">
      <c r="A28" s="37" t="s">
        <v>106</v>
      </c>
      <c r="B28" s="37" t="s">
        <v>102</v>
      </c>
      <c r="C28" s="37" t="s">
        <v>107</v>
      </c>
    </row>
    <row r="29" spans="1:3" ht="16">
      <c r="A29" s="30" t="s">
        <v>147</v>
      </c>
      <c r="B29" s="30" t="s">
        <v>148</v>
      </c>
      <c r="C29" s="30" t="s">
        <v>149</v>
      </c>
    </row>
    <row r="30" spans="1:3">
      <c r="A30" s="30" t="s">
        <v>150</v>
      </c>
      <c r="B30" s="30" t="s">
        <v>102</v>
      </c>
      <c r="C30" s="30" t="s">
        <v>151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201"/>
  <sheetViews>
    <sheetView topLeftCell="A97" zoomScale="98" zoomScaleNormal="98" zoomScalePageLayoutView="98" workbookViewId="0">
      <selection activeCell="G101" sqref="G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7">
      <c r="A1" s="8" t="s">
        <v>50</v>
      </c>
      <c r="B1" s="12">
        <v>70</v>
      </c>
      <c r="C1" s="9" t="s">
        <v>51</v>
      </c>
    </row>
    <row r="3" spans="1:7">
      <c r="A3" s="117" t="s">
        <v>5</v>
      </c>
      <c r="B3" s="117" t="s">
        <v>36</v>
      </c>
      <c r="C3" s="117"/>
      <c r="D3" s="117" t="s">
        <v>52</v>
      </c>
      <c r="E3" s="117"/>
      <c r="F3" s="117"/>
      <c r="G3" s="8" t="s">
        <v>53</v>
      </c>
    </row>
    <row r="4" spans="1:7">
      <c r="A4" s="117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7">
      <c r="A5" s="35">
        <v>0</v>
      </c>
      <c r="B5" s="12">
        <v>0</v>
      </c>
      <c r="C5" s="36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7">
      <c r="A6" s="35">
        <v>0.5</v>
      </c>
      <c r="B6" s="12">
        <v>538.07000000000005</v>
      </c>
      <c r="C6" s="36">
        <f>B6/1000</f>
        <v>0.53807000000000005</v>
      </c>
      <c r="D6" s="12">
        <f>C6/1000*$B$1</f>
        <v>3.7664900000000008E-2</v>
      </c>
      <c r="E6" s="12">
        <f t="shared" ref="E6:E69" si="0">D6/22.4</f>
        <v>1.6814687500000005E-3</v>
      </c>
      <c r="F6" s="12">
        <f>E6/Calculation!K$4*1000</f>
        <v>1.1523925259808647E-3</v>
      </c>
      <c r="G6" s="12">
        <f>G5+(F6+F5)/2*30</f>
        <v>1.728588788971297E-2</v>
      </c>
    </row>
    <row r="7" spans="1:7">
      <c r="A7" s="35">
        <v>1</v>
      </c>
      <c r="B7" s="12">
        <v>604.01</v>
      </c>
      <c r="C7" s="36">
        <f t="shared" ref="C7:C69" si="1">B7/1000</f>
        <v>0.60400999999999994</v>
      </c>
      <c r="D7" s="12">
        <f t="shared" ref="D7:D69" si="2">C7/1000*$B$1</f>
        <v>4.2280699999999997E-2</v>
      </c>
      <c r="E7" s="12">
        <f t="shared" si="0"/>
        <v>1.8875312500000001E-3</v>
      </c>
      <c r="F7" s="12">
        <f>E7/Calculation!K$4*1000</f>
        <v>1.2936172052292489E-3</v>
      </c>
      <c r="G7" s="12">
        <f>G6+(F7+F6)/2*30</f>
        <v>5.3976033857864675E-2</v>
      </c>
    </row>
    <row r="8" spans="1:7">
      <c r="A8" s="35">
        <v>1.5</v>
      </c>
      <c r="B8" s="12">
        <v>593.95000000000005</v>
      </c>
      <c r="C8" s="36">
        <f t="shared" si="1"/>
        <v>0.59395000000000009</v>
      </c>
      <c r="D8" s="12">
        <f t="shared" si="2"/>
        <v>4.1576500000000009E-2</v>
      </c>
      <c r="E8" s="12">
        <f t="shared" si="0"/>
        <v>1.8560937500000005E-3</v>
      </c>
      <c r="F8" s="12">
        <f>E8/Calculation!K$4*1000</f>
        <v>1.2720715535271146E-3</v>
      </c>
      <c r="G8" s="12">
        <f t="shared" ref="G8:G70" si="3">G7+(F8+F7)/2*30</f>
        <v>9.2461365239210128E-2</v>
      </c>
    </row>
    <row r="9" spans="1:7">
      <c r="A9" s="35">
        <v>2</v>
      </c>
      <c r="B9" s="12">
        <v>584.69000000000005</v>
      </c>
      <c r="C9" s="36">
        <f t="shared" si="1"/>
        <v>0.58469000000000004</v>
      </c>
      <c r="D9" s="12">
        <f t="shared" si="2"/>
        <v>4.0928300000000001E-2</v>
      </c>
      <c r="E9" s="12">
        <f t="shared" si="0"/>
        <v>1.8271562500000002E-3</v>
      </c>
      <c r="F9" s="12">
        <f>E9/Calculation!K$5*1000</f>
        <v>1.2920350133609636E-3</v>
      </c>
      <c r="G9" s="12">
        <f t="shared" si="3"/>
        <v>0.13092296374253132</v>
      </c>
    </row>
    <row r="10" spans="1:7">
      <c r="A10" s="35">
        <v>2.5</v>
      </c>
      <c r="B10" s="12">
        <v>586.13</v>
      </c>
      <c r="C10" s="36">
        <f t="shared" si="1"/>
        <v>0.58613000000000004</v>
      </c>
      <c r="D10" s="12">
        <f t="shared" si="2"/>
        <v>4.1029099999999999E-2</v>
      </c>
      <c r="E10" s="12">
        <f t="shared" si="0"/>
        <v>1.8316562500000002E-3</v>
      </c>
      <c r="F10" s="12">
        <f>E10/Calculation!K$5*1000</f>
        <v>1.2952170934704911E-3</v>
      </c>
      <c r="G10" s="12">
        <f t="shared" si="3"/>
        <v>0.16973174534500313</v>
      </c>
    </row>
    <row r="11" spans="1:7">
      <c r="A11" s="35">
        <v>3</v>
      </c>
      <c r="B11" s="12">
        <v>651.59</v>
      </c>
      <c r="C11" s="36">
        <f t="shared" si="1"/>
        <v>0.65159</v>
      </c>
      <c r="D11" s="12">
        <f t="shared" si="2"/>
        <v>4.56113E-2</v>
      </c>
      <c r="E11" s="12">
        <f t="shared" si="0"/>
        <v>2.0362187500000003E-3</v>
      </c>
      <c r="F11" s="12">
        <f>E11/Calculation!K$5*1000</f>
        <v>1.4398691517827742E-3</v>
      </c>
      <c r="G11" s="12">
        <f t="shared" si="3"/>
        <v>0.21075803902380211</v>
      </c>
    </row>
    <row r="12" spans="1:7">
      <c r="A12" s="35">
        <v>3.5</v>
      </c>
      <c r="B12" s="12">
        <v>710.35</v>
      </c>
      <c r="C12" s="36">
        <f t="shared" si="1"/>
        <v>0.71035000000000004</v>
      </c>
      <c r="D12" s="12">
        <f t="shared" si="2"/>
        <v>4.9724499999999998E-2</v>
      </c>
      <c r="E12" s="12">
        <f t="shared" si="0"/>
        <v>2.21984375E-3</v>
      </c>
      <c r="F12" s="12">
        <f>E12/Calculation!K$6*1000</f>
        <v>1.6129710984322961E-3</v>
      </c>
      <c r="G12" s="12">
        <f t="shared" si="3"/>
        <v>0.25655064277702816</v>
      </c>
    </row>
    <row r="13" spans="1:7">
      <c r="A13" s="35">
        <v>4</v>
      </c>
      <c r="B13" s="12">
        <v>808.38</v>
      </c>
      <c r="C13" s="36">
        <f t="shared" si="1"/>
        <v>0.80837999999999999</v>
      </c>
      <c r="D13" s="12">
        <f t="shared" si="2"/>
        <v>5.6586600000000001E-2</v>
      </c>
      <c r="E13" s="12">
        <f t="shared" si="0"/>
        <v>2.5261875000000002E-3</v>
      </c>
      <c r="F13" s="12">
        <f>E13/Calculation!K$6*1000</f>
        <v>1.8355649701565419E-3</v>
      </c>
      <c r="G13" s="12">
        <f t="shared" si="3"/>
        <v>0.30827868380586071</v>
      </c>
    </row>
    <row r="14" spans="1:7">
      <c r="A14" s="35">
        <v>4.5</v>
      </c>
      <c r="B14" s="12">
        <v>887.1</v>
      </c>
      <c r="C14" s="36">
        <f t="shared" si="1"/>
        <v>0.8871</v>
      </c>
      <c r="D14" s="12">
        <f t="shared" si="2"/>
        <v>6.2096999999999999E-2</v>
      </c>
      <c r="E14" s="12">
        <f t="shared" si="0"/>
        <v>2.7721875000000003E-3</v>
      </c>
      <c r="F14" s="12">
        <f>E14/Calculation!K$6*1000</f>
        <v>2.0143121861325966E-3</v>
      </c>
      <c r="G14" s="12">
        <f t="shared" si="3"/>
        <v>0.36602684115019779</v>
      </c>
    </row>
    <row r="15" spans="1:7">
      <c r="A15" s="35">
        <v>5</v>
      </c>
      <c r="B15" s="12">
        <v>1028.56</v>
      </c>
      <c r="C15" s="36">
        <f t="shared" si="1"/>
        <v>1.0285599999999999</v>
      </c>
      <c r="D15" s="12">
        <f t="shared" si="2"/>
        <v>7.1999199999999999E-2</v>
      </c>
      <c r="E15" s="12">
        <f t="shared" si="0"/>
        <v>3.2142500000000001E-3</v>
      </c>
      <c r="F15" s="12">
        <f>E15/Calculation!K$7*1000</f>
        <v>2.4215668180007184E-3</v>
      </c>
      <c r="G15" s="12">
        <f t="shared" si="3"/>
        <v>0.4325650262121975</v>
      </c>
    </row>
    <row r="16" spans="1:7">
      <c r="A16" s="35">
        <v>5.5</v>
      </c>
      <c r="B16" s="12">
        <v>1177.05</v>
      </c>
      <c r="C16" s="36">
        <f t="shared" si="1"/>
        <v>1.1770499999999999</v>
      </c>
      <c r="D16" s="12">
        <f t="shared" si="2"/>
        <v>8.2393499999999995E-2</v>
      </c>
      <c r="E16" s="12">
        <f t="shared" si="0"/>
        <v>3.6782812500000001E-3</v>
      </c>
      <c r="F16" s="12">
        <f>E16/Calculation!K$7*1000</f>
        <v>2.7711608687171823E-3</v>
      </c>
      <c r="G16" s="12">
        <f t="shared" si="3"/>
        <v>0.51045594151296603</v>
      </c>
    </row>
    <row r="17" spans="1:7">
      <c r="A17" s="35">
        <v>6</v>
      </c>
      <c r="B17" s="12">
        <v>1322.34</v>
      </c>
      <c r="C17" s="36">
        <f t="shared" si="1"/>
        <v>1.3223399999999998</v>
      </c>
      <c r="D17" s="12">
        <f t="shared" si="2"/>
        <v>9.2563799999999988E-2</v>
      </c>
      <c r="E17" s="12">
        <f t="shared" si="0"/>
        <v>4.1323124999999997E-3</v>
      </c>
      <c r="F17" s="12">
        <f>E17/Calculation!K$8*1000</f>
        <v>3.2347363366265372E-3</v>
      </c>
      <c r="G17" s="12">
        <f t="shared" si="3"/>
        <v>0.60054439959312178</v>
      </c>
    </row>
    <row r="18" spans="1:7">
      <c r="A18" s="35">
        <v>6.5</v>
      </c>
      <c r="B18" s="12">
        <v>1573.81</v>
      </c>
      <c r="C18" s="36">
        <f t="shared" si="1"/>
        <v>1.5738099999999999</v>
      </c>
      <c r="D18" s="12">
        <f t="shared" si="2"/>
        <v>0.11016669999999999</v>
      </c>
      <c r="E18" s="12">
        <f t="shared" si="0"/>
        <v>4.9181562499999998E-3</v>
      </c>
      <c r="F18" s="12">
        <f>E18/Calculation!K$8*1000</f>
        <v>3.8498876188773016E-3</v>
      </c>
      <c r="G18" s="12">
        <f t="shared" si="3"/>
        <v>0.70681375892567933</v>
      </c>
    </row>
    <row r="19" spans="1:7">
      <c r="A19" s="35">
        <v>7</v>
      </c>
      <c r="B19" s="12">
        <v>1881.01</v>
      </c>
      <c r="C19" s="36">
        <f t="shared" si="1"/>
        <v>1.8810100000000001</v>
      </c>
      <c r="D19" s="12">
        <f t="shared" si="2"/>
        <v>0.1316707</v>
      </c>
      <c r="E19" s="12">
        <f t="shared" si="0"/>
        <v>5.8781562500000006E-3</v>
      </c>
      <c r="F19" s="12">
        <f>E19/Calculation!K$8*1000</f>
        <v>4.6013668168231195E-3</v>
      </c>
      <c r="G19" s="12">
        <f t="shared" si="3"/>
        <v>0.83358257546118564</v>
      </c>
    </row>
    <row r="20" spans="1:7">
      <c r="A20" s="35">
        <v>7.5</v>
      </c>
      <c r="B20" s="12">
        <v>2229.5500000000002</v>
      </c>
      <c r="C20" s="36">
        <f t="shared" si="1"/>
        <v>2.2295500000000001</v>
      </c>
      <c r="D20" s="12">
        <f t="shared" si="2"/>
        <v>0.15606850000000003</v>
      </c>
      <c r="E20" s="12">
        <f t="shared" si="0"/>
        <v>6.9673437500000013E-3</v>
      </c>
      <c r="F20" s="12">
        <f>E20/Calculation!K$9*1000</f>
        <v>5.7030939122030633E-3</v>
      </c>
      <c r="G20" s="12">
        <f t="shared" si="3"/>
        <v>0.9881494863965784</v>
      </c>
    </row>
    <row r="21" spans="1:7">
      <c r="A21" s="35">
        <v>8</v>
      </c>
      <c r="B21" s="12">
        <v>2656.98</v>
      </c>
      <c r="C21" s="36">
        <f t="shared" si="1"/>
        <v>2.6569799999999999</v>
      </c>
      <c r="D21" s="12">
        <f t="shared" si="2"/>
        <v>0.18598859999999998</v>
      </c>
      <c r="E21" s="12">
        <f t="shared" si="0"/>
        <v>8.3030624999999997E-3</v>
      </c>
      <c r="F21" s="12">
        <f>E21/Calculation!K$9*1000</f>
        <v>6.7964416419659971E-3</v>
      </c>
      <c r="G21" s="12">
        <f t="shared" si="3"/>
        <v>1.1756425197091143</v>
      </c>
    </row>
    <row r="22" spans="1:7">
      <c r="A22" s="35">
        <v>8.5</v>
      </c>
      <c r="B22" s="12">
        <v>3174.45</v>
      </c>
      <c r="C22" s="36">
        <f t="shared" si="1"/>
        <v>3.1744499999999998</v>
      </c>
      <c r="D22" s="12">
        <f t="shared" si="2"/>
        <v>0.22221149999999998</v>
      </c>
      <c r="E22" s="12">
        <f t="shared" si="0"/>
        <v>9.9201562499999993E-3</v>
      </c>
      <c r="F22" s="12">
        <f>E22/Calculation!K$9*1000</f>
        <v>8.1201078556628042E-3</v>
      </c>
      <c r="G22" s="12">
        <f t="shared" si="3"/>
        <v>1.3993907621735462</v>
      </c>
    </row>
    <row r="23" spans="1:7">
      <c r="A23" s="35">
        <v>9</v>
      </c>
      <c r="B23" s="12">
        <v>3859.57</v>
      </c>
      <c r="C23" s="36">
        <f t="shared" si="1"/>
        <v>3.8595700000000002</v>
      </c>
      <c r="D23" s="12">
        <f t="shared" si="2"/>
        <v>0.27016990000000002</v>
      </c>
      <c r="E23" s="12">
        <f t="shared" si="0"/>
        <v>1.2061156250000002E-2</v>
      </c>
      <c r="F23" s="12">
        <f>E23/Calculation!K$10*1000</f>
        <v>1.0265513962493386E-2</v>
      </c>
      <c r="G23" s="12">
        <f t="shared" si="3"/>
        <v>1.675175089445889</v>
      </c>
    </row>
    <row r="24" spans="1:7">
      <c r="A24" s="35">
        <v>9.5</v>
      </c>
      <c r="B24" s="12">
        <v>5345.09</v>
      </c>
      <c r="C24" s="36">
        <f t="shared" si="1"/>
        <v>5.3450899999999999</v>
      </c>
      <c r="D24" s="12">
        <f t="shared" si="2"/>
        <v>0.3741563</v>
      </c>
      <c r="E24" s="12">
        <f t="shared" si="0"/>
        <v>1.670340625E-2</v>
      </c>
      <c r="F24" s="12">
        <f>E24/Calculation!K$10*1000</f>
        <v>1.4216634502233091E-2</v>
      </c>
      <c r="G24" s="12">
        <f t="shared" si="3"/>
        <v>2.042407316416786</v>
      </c>
    </row>
    <row r="25" spans="1:7">
      <c r="A25" s="35">
        <v>10</v>
      </c>
      <c r="B25" s="12">
        <v>5748.4</v>
      </c>
      <c r="C25" s="36">
        <f t="shared" si="1"/>
        <v>5.7483999999999993</v>
      </c>
      <c r="D25" s="12">
        <f t="shared" si="2"/>
        <v>0.40238799999999991</v>
      </c>
      <c r="E25" s="12">
        <f t="shared" si="0"/>
        <v>1.7963749999999997E-2</v>
      </c>
      <c r="F25" s="12">
        <f>E25/Calculation!K$11*1000</f>
        <v>1.6020628857036499E-2</v>
      </c>
      <c r="G25" s="12">
        <f t="shared" si="3"/>
        <v>2.49596626680583</v>
      </c>
    </row>
    <row r="26" spans="1:7">
      <c r="A26" s="35">
        <v>10.5</v>
      </c>
      <c r="B26" s="12">
        <v>5810.35</v>
      </c>
      <c r="C26" s="36">
        <f t="shared" si="1"/>
        <v>5.8103500000000006</v>
      </c>
      <c r="D26" s="12">
        <f t="shared" si="2"/>
        <v>0.40672450000000004</v>
      </c>
      <c r="E26" s="12">
        <f t="shared" si="0"/>
        <v>1.8157343750000002E-2</v>
      </c>
      <c r="F26" s="12">
        <f>E26/Calculation!K$11*1000</f>
        <v>1.6193281761791464E-2</v>
      </c>
      <c r="G26" s="12">
        <f t="shared" si="3"/>
        <v>2.9791749260882492</v>
      </c>
    </row>
    <row r="27" spans="1:7">
      <c r="A27" s="35">
        <v>11</v>
      </c>
      <c r="B27" s="12">
        <v>6309.78</v>
      </c>
      <c r="C27" s="36">
        <f t="shared" si="1"/>
        <v>6.3097799999999999</v>
      </c>
      <c r="D27" s="12">
        <f t="shared" si="2"/>
        <v>0.44168459999999998</v>
      </c>
      <c r="E27" s="12">
        <f t="shared" si="0"/>
        <v>1.9718062500000001E-2</v>
      </c>
      <c r="F27" s="12">
        <f>E27/Calculation!K$11*1000</f>
        <v>1.758517910193302E-2</v>
      </c>
      <c r="G27" s="12">
        <f t="shared" si="3"/>
        <v>3.4858518390441162</v>
      </c>
    </row>
    <row r="28" spans="1:7">
      <c r="A28" s="35">
        <v>11.5</v>
      </c>
      <c r="B28" s="12">
        <v>6801.38</v>
      </c>
      <c r="C28" s="36">
        <f t="shared" si="1"/>
        <v>6.80138</v>
      </c>
      <c r="D28" s="12">
        <f t="shared" si="2"/>
        <v>0.47609659999999998</v>
      </c>
      <c r="E28" s="12">
        <f t="shared" si="0"/>
        <v>2.1254312500000001E-2</v>
      </c>
      <c r="F28" s="12">
        <f>E28/Calculation!K$12*1000</f>
        <v>1.9686983025281098E-2</v>
      </c>
      <c r="G28" s="12">
        <f t="shared" si="3"/>
        <v>4.0449342709523277</v>
      </c>
    </row>
    <row r="29" spans="1:7">
      <c r="A29" s="35">
        <v>12</v>
      </c>
      <c r="B29" s="12">
        <v>7302.09</v>
      </c>
      <c r="C29" s="36">
        <f t="shared" si="1"/>
        <v>7.3020899999999997</v>
      </c>
      <c r="D29" s="12">
        <f t="shared" si="2"/>
        <v>0.51114629999999994</v>
      </c>
      <c r="E29" s="12">
        <f t="shared" si="0"/>
        <v>2.281903125E-2</v>
      </c>
      <c r="F29" s="12">
        <f>E29/Calculation!K$12*1000</f>
        <v>2.1136316729704095E-2</v>
      </c>
      <c r="G29" s="12">
        <f t="shared" si="3"/>
        <v>4.6572837672771055</v>
      </c>
    </row>
    <row r="30" spans="1:7">
      <c r="A30" s="35">
        <v>12.5</v>
      </c>
      <c r="B30" s="12">
        <v>7853.73</v>
      </c>
      <c r="C30" s="36">
        <f t="shared" si="1"/>
        <v>7.8537299999999997</v>
      </c>
      <c r="D30" s="12">
        <f t="shared" si="2"/>
        <v>0.5497611</v>
      </c>
      <c r="E30" s="12">
        <f t="shared" si="0"/>
        <v>2.4542906250000003E-2</v>
      </c>
      <c r="F30" s="12">
        <f>E30/Calculation!K$12*1000</f>
        <v>2.2733070229150693E-2</v>
      </c>
      <c r="G30" s="12">
        <f t="shared" si="3"/>
        <v>5.3153245716599269</v>
      </c>
    </row>
    <row r="31" spans="1:7">
      <c r="A31" s="35">
        <v>13</v>
      </c>
      <c r="B31" s="12">
        <v>8261.99</v>
      </c>
      <c r="C31" s="36">
        <f t="shared" si="1"/>
        <v>8.2619899999999991</v>
      </c>
      <c r="D31" s="12">
        <f t="shared" si="2"/>
        <v>0.57833929999999989</v>
      </c>
      <c r="E31" s="12">
        <f t="shared" si="0"/>
        <v>2.5818718749999997E-2</v>
      </c>
      <c r="F31" s="12">
        <f>E31/Calculation!K$13*1000</f>
        <v>2.4850400300976596E-2</v>
      </c>
      <c r="G31" s="12">
        <f t="shared" si="3"/>
        <v>6.0290766296118363</v>
      </c>
    </row>
    <row r="32" spans="1:7">
      <c r="A32" s="35">
        <v>13.5</v>
      </c>
      <c r="B32" s="12">
        <v>8457.74</v>
      </c>
      <c r="C32" s="36">
        <f t="shared" si="1"/>
        <v>8.4577399999999994</v>
      </c>
      <c r="D32" s="12">
        <f t="shared" si="2"/>
        <v>0.59204179999999995</v>
      </c>
      <c r="E32" s="12">
        <f t="shared" si="0"/>
        <v>2.6430437500000001E-2</v>
      </c>
      <c r="F32" s="12">
        <f>E32/Calculation!K$13*1000</f>
        <v>2.5439176837733019E-2</v>
      </c>
      <c r="G32" s="12">
        <f t="shared" si="3"/>
        <v>6.7834202866924809</v>
      </c>
    </row>
    <row r="33" spans="1:7">
      <c r="A33" s="35">
        <v>14</v>
      </c>
      <c r="B33" s="12">
        <v>8483.93</v>
      </c>
      <c r="C33" s="36">
        <f t="shared" si="1"/>
        <v>8.4839300000000009</v>
      </c>
      <c r="D33" s="12">
        <f t="shared" si="2"/>
        <v>0.59387509999999999</v>
      </c>
      <c r="E33" s="12">
        <f t="shared" si="0"/>
        <v>2.6512281250000002E-2</v>
      </c>
      <c r="F33" s="12">
        <f>E33/Calculation!K$14*1000</f>
        <v>2.6877198723174577E-2</v>
      </c>
      <c r="G33" s="12">
        <f t="shared" si="3"/>
        <v>7.5681659201060949</v>
      </c>
    </row>
    <row r="34" spans="1:7">
      <c r="A34" s="35">
        <v>14.5</v>
      </c>
      <c r="B34" s="12">
        <v>8179.93</v>
      </c>
      <c r="C34" s="36">
        <f t="shared" si="1"/>
        <v>8.1799300000000006</v>
      </c>
      <c r="D34" s="12">
        <f t="shared" si="2"/>
        <v>0.57259510000000002</v>
      </c>
      <c r="E34" s="12">
        <f t="shared" si="0"/>
        <v>2.5562281250000003E-2</v>
      </c>
      <c r="F34" s="12">
        <f>E34/Calculation!K$14*1000</f>
        <v>2.5914122835956614E-2</v>
      </c>
      <c r="G34" s="12">
        <f t="shared" si="3"/>
        <v>8.3600357434930626</v>
      </c>
    </row>
    <row r="35" spans="1:7">
      <c r="A35" s="35">
        <v>15</v>
      </c>
      <c r="B35" s="12">
        <v>7907.06</v>
      </c>
      <c r="C35" s="36">
        <f t="shared" si="1"/>
        <v>7.9070600000000004</v>
      </c>
      <c r="D35" s="12">
        <f t="shared" si="2"/>
        <v>0.55349420000000005</v>
      </c>
      <c r="E35" s="12">
        <f t="shared" si="0"/>
        <v>2.4709562500000004E-2</v>
      </c>
      <c r="F35" s="12">
        <f>E35/Calculation!K$14*1000</f>
        <v>2.504966718679489E-2</v>
      </c>
      <c r="G35" s="12">
        <f t="shared" si="3"/>
        <v>9.1244925938343346</v>
      </c>
    </row>
    <row r="36" spans="1:7">
      <c r="A36" s="35">
        <v>15.5</v>
      </c>
      <c r="B36" s="12">
        <v>7507.74</v>
      </c>
      <c r="C36" s="36">
        <f t="shared" si="1"/>
        <v>7.5077400000000001</v>
      </c>
      <c r="D36" s="12">
        <f t="shared" si="2"/>
        <v>0.52554179999999995</v>
      </c>
      <c r="E36" s="12">
        <f t="shared" si="0"/>
        <v>2.3461687499999998E-2</v>
      </c>
      <c r="F36" s="12">
        <f>E36/Calculation!K$14*1000</f>
        <v>2.3784616320729503E-2</v>
      </c>
      <c r="G36" s="12">
        <f t="shared" si="3"/>
        <v>9.8570068464472005</v>
      </c>
    </row>
    <row r="37" spans="1:7">
      <c r="A37" s="35">
        <v>16</v>
      </c>
      <c r="B37" s="12">
        <v>7218.11</v>
      </c>
      <c r="C37" s="36">
        <f t="shared" si="1"/>
        <v>7.2181099999999994</v>
      </c>
      <c r="D37" s="12">
        <f t="shared" si="2"/>
        <v>0.50526769999999988</v>
      </c>
      <c r="E37" s="12">
        <f t="shared" si="0"/>
        <v>2.2556593749999996E-2</v>
      </c>
      <c r="F37" s="12">
        <f>E37/Calculation!K$14*1000</f>
        <v>2.2867064777259312E-2</v>
      </c>
      <c r="G37" s="12">
        <f t="shared" si="3"/>
        <v>10.556782062917033</v>
      </c>
    </row>
    <row r="38" spans="1:7">
      <c r="A38" s="35">
        <v>16.5</v>
      </c>
      <c r="B38" s="12">
        <v>6765.94</v>
      </c>
      <c r="C38" s="36">
        <f t="shared" si="1"/>
        <v>6.7659399999999996</v>
      </c>
      <c r="D38" s="12">
        <f t="shared" si="2"/>
        <v>0.47361579999999998</v>
      </c>
      <c r="E38" s="12">
        <f t="shared" si="0"/>
        <v>2.1143562500000001E-2</v>
      </c>
      <c r="F38" s="12">
        <f>E38/Calculation!K$14*1000</f>
        <v>2.1434584435406207E-2</v>
      </c>
      <c r="G38" s="12">
        <f t="shared" si="3"/>
        <v>11.221306801107016</v>
      </c>
    </row>
    <row r="39" spans="1:7">
      <c r="A39" s="35">
        <v>17</v>
      </c>
      <c r="B39" s="12">
        <v>6201.21</v>
      </c>
      <c r="C39" s="36">
        <f t="shared" si="1"/>
        <v>6.2012099999999997</v>
      </c>
      <c r="D39" s="12">
        <f t="shared" si="2"/>
        <v>0.43408469999999999</v>
      </c>
      <c r="E39" s="12">
        <f t="shared" si="0"/>
        <v>1.9378781250000001E-2</v>
      </c>
      <c r="F39" s="12">
        <f>E39/Calculation!K$14*1000</f>
        <v>1.9645512574259501E-2</v>
      </c>
      <c r="G39" s="12">
        <f>G38+(F39+F38)/2*30</f>
        <v>11.837508256252001</v>
      </c>
    </row>
    <row r="40" spans="1:7">
      <c r="A40" s="35">
        <v>17.5</v>
      </c>
      <c r="B40" s="12">
        <v>5794.38</v>
      </c>
      <c r="C40" s="36">
        <f t="shared" si="1"/>
        <v>5.7943800000000003</v>
      </c>
      <c r="D40" s="12">
        <f t="shared" si="2"/>
        <v>0.40560659999999998</v>
      </c>
      <c r="E40" s="12">
        <f t="shared" si="0"/>
        <v>1.81074375E-2</v>
      </c>
      <c r="F40" s="12">
        <f>E40/Calculation!K$14*1000</f>
        <v>1.835666993216449E-2</v>
      </c>
      <c r="G40" s="12">
        <f t="shared" si="3"/>
        <v>12.407540993848361</v>
      </c>
    </row>
    <row r="41" spans="1:7">
      <c r="A41" s="35">
        <v>18</v>
      </c>
      <c r="B41" s="12">
        <v>5521.83</v>
      </c>
      <c r="C41" s="36">
        <f t="shared" si="1"/>
        <v>5.5218299999999996</v>
      </c>
      <c r="D41" s="12">
        <f t="shared" si="2"/>
        <v>0.38652809999999993</v>
      </c>
      <c r="E41" s="12">
        <f t="shared" si="0"/>
        <v>1.7255718749999999E-2</v>
      </c>
      <c r="F41" s="12">
        <f>E41/Calculation!K$14*1000</f>
        <v>1.7493228047094571E-2</v>
      </c>
      <c r="G41" s="12">
        <f t="shared" si="3"/>
        <v>12.945289463537247</v>
      </c>
    </row>
    <row r="42" spans="1:7">
      <c r="A42" s="35">
        <v>18.5</v>
      </c>
      <c r="B42" s="12">
        <v>5127.3</v>
      </c>
      <c r="C42" s="36">
        <f t="shared" si="1"/>
        <v>5.1273</v>
      </c>
      <c r="D42" s="12">
        <f t="shared" si="2"/>
        <v>0.35891099999999998</v>
      </c>
      <c r="E42" s="12">
        <f t="shared" si="0"/>
        <v>1.6022812500000001E-2</v>
      </c>
      <c r="F42" s="12">
        <f>E42/Calculation!K$14*1000</f>
        <v>1.6243351962278448E-2</v>
      </c>
      <c r="G42" s="12">
        <f t="shared" si="3"/>
        <v>13.451338163677843</v>
      </c>
    </row>
    <row r="43" spans="1:7">
      <c r="A43" s="35">
        <v>19</v>
      </c>
      <c r="B43" s="12">
        <v>4879.82</v>
      </c>
      <c r="C43" s="36">
        <f t="shared" si="1"/>
        <v>4.8798199999999996</v>
      </c>
      <c r="D43" s="12">
        <f t="shared" si="2"/>
        <v>0.34158739999999999</v>
      </c>
      <c r="E43" s="12">
        <f t="shared" si="0"/>
        <v>1.5249437500000001E-2</v>
      </c>
      <c r="F43" s="12">
        <f>E43/Calculation!K$14*1000</f>
        <v>1.5459332157776144E-2</v>
      </c>
      <c r="G43" s="12">
        <f t="shared" si="3"/>
        <v>13.926878425478662</v>
      </c>
    </row>
    <row r="44" spans="1:7">
      <c r="A44" s="35">
        <v>19.5</v>
      </c>
      <c r="B44" s="12">
        <v>4791.05</v>
      </c>
      <c r="C44" s="36">
        <f t="shared" si="1"/>
        <v>4.7910500000000003</v>
      </c>
      <c r="D44" s="12">
        <f t="shared" si="2"/>
        <v>0.33537349999999999</v>
      </c>
      <c r="E44" s="12">
        <f t="shared" si="0"/>
        <v>1.497203125E-2</v>
      </c>
      <c r="F44" s="12">
        <f>E44/Calculation!K$14*1000</f>
        <v>1.5178107662682926E-2</v>
      </c>
      <c r="G44" s="12">
        <f t="shared" si="3"/>
        <v>14.386440022785548</v>
      </c>
    </row>
    <row r="45" spans="1:7">
      <c r="A45" s="35">
        <v>20</v>
      </c>
      <c r="B45" s="12">
        <v>4657.7299999999996</v>
      </c>
      <c r="C45" s="36">
        <f t="shared" si="1"/>
        <v>4.6577299999999999</v>
      </c>
      <c r="D45" s="12">
        <f t="shared" si="2"/>
        <v>0.32604109999999997</v>
      </c>
      <c r="E45" s="12">
        <f t="shared" si="0"/>
        <v>1.455540625E-2</v>
      </c>
      <c r="F45" s="12">
        <f>E45/Calculation!K$14*1000</f>
        <v>1.4755748197933257E-2</v>
      </c>
      <c r="G45" s="12">
        <f t="shared" si="3"/>
        <v>14.83544786069479</v>
      </c>
    </row>
    <row r="46" spans="1:7">
      <c r="A46" s="35">
        <v>20.5</v>
      </c>
      <c r="B46" s="12">
        <v>4312.22</v>
      </c>
      <c r="C46" s="36">
        <f t="shared" si="1"/>
        <v>4.3122199999999999</v>
      </c>
      <c r="D46" s="12">
        <f t="shared" si="2"/>
        <v>0.3018554</v>
      </c>
      <c r="E46" s="12">
        <f t="shared" si="0"/>
        <v>1.34756875E-2</v>
      </c>
      <c r="F46" s="12">
        <f>E46/Calculation!K$14*1000</f>
        <v>1.3661168099931028E-2</v>
      </c>
      <c r="G46" s="12">
        <f t="shared" si="3"/>
        <v>15.261701605162754</v>
      </c>
    </row>
    <row r="47" spans="1:7">
      <c r="A47" s="35">
        <v>21</v>
      </c>
      <c r="B47" s="12">
        <v>4041.59</v>
      </c>
      <c r="C47" s="36">
        <f t="shared" si="1"/>
        <v>4.0415900000000002</v>
      </c>
      <c r="D47" s="12">
        <f t="shared" si="2"/>
        <v>0.28291130000000003</v>
      </c>
      <c r="E47" s="12">
        <f t="shared" si="0"/>
        <v>1.2629968750000001E-2</v>
      </c>
      <c r="F47" s="12">
        <f>E47/Calculation!K$14*1000</f>
        <v>1.2803808799411964E-2</v>
      </c>
      <c r="G47" s="12">
        <f t="shared" si="3"/>
        <v>15.6586762586529</v>
      </c>
    </row>
    <row r="48" spans="1:7">
      <c r="A48" s="35">
        <v>21.5</v>
      </c>
      <c r="B48" s="12">
        <v>3777.98</v>
      </c>
      <c r="C48" s="36">
        <f t="shared" si="1"/>
        <v>3.7779799999999999</v>
      </c>
      <c r="D48" s="12">
        <f t="shared" si="2"/>
        <v>0.26445859999999999</v>
      </c>
      <c r="E48" s="12">
        <f t="shared" si="0"/>
        <v>1.1806187500000001E-2</v>
      </c>
      <c r="F48" s="12">
        <f>E48/Calculation!K$14*1000</f>
        <v>1.1968688948656941E-2</v>
      </c>
      <c r="G48" s="12">
        <f t="shared" si="3"/>
        <v>16.030263724873933</v>
      </c>
    </row>
    <row r="49" spans="1:7">
      <c r="A49" s="35">
        <v>22</v>
      </c>
      <c r="B49" s="12">
        <v>3616.4</v>
      </c>
      <c r="C49" s="36">
        <f t="shared" si="1"/>
        <v>3.6164000000000001</v>
      </c>
      <c r="D49" s="12">
        <f t="shared" si="2"/>
        <v>0.25314799999999998</v>
      </c>
      <c r="E49" s="12">
        <f t="shared" si="0"/>
        <v>1.1301250000000001E-2</v>
      </c>
      <c r="F49" s="12">
        <f>E49/Calculation!K$14*1000</f>
        <v>1.1456801442549448E-2</v>
      </c>
      <c r="G49" s="12">
        <f t="shared" si="3"/>
        <v>16.38164608074203</v>
      </c>
    </row>
    <row r="50" spans="1:7">
      <c r="A50" s="35">
        <v>22.5</v>
      </c>
      <c r="B50" s="12">
        <v>3358.86</v>
      </c>
      <c r="C50" s="36">
        <f t="shared" si="1"/>
        <v>3.35886</v>
      </c>
      <c r="D50" s="12">
        <f t="shared" si="2"/>
        <v>0.2351202</v>
      </c>
      <c r="E50" s="12">
        <f t="shared" si="0"/>
        <v>1.0496437500000001E-2</v>
      </c>
      <c r="F50" s="12">
        <f>E50/Calculation!K$14*1000</f>
        <v>1.0640911429410916E-2</v>
      </c>
      <c r="G50" s="12">
        <f t="shared" si="3"/>
        <v>16.713111773821435</v>
      </c>
    </row>
    <row r="51" spans="1:7">
      <c r="A51" s="35">
        <v>23</v>
      </c>
      <c r="B51" s="12">
        <v>3062.04</v>
      </c>
      <c r="C51" s="36">
        <f t="shared" si="1"/>
        <v>3.0620400000000001</v>
      </c>
      <c r="D51" s="12">
        <f t="shared" si="2"/>
        <v>0.21434280000000003</v>
      </c>
      <c r="E51" s="12">
        <f t="shared" si="0"/>
        <v>9.568875000000001E-3</v>
      </c>
      <c r="F51" s="12">
        <f>E51/Calculation!K$14*1000</f>
        <v>9.7005818740029063E-3</v>
      </c>
      <c r="G51" s="12">
        <f t="shared" si="3"/>
        <v>17.018234173372644</v>
      </c>
    </row>
    <row r="52" spans="1:7">
      <c r="A52" s="35">
        <v>23.5</v>
      </c>
      <c r="B52" s="12">
        <v>2859.59</v>
      </c>
      <c r="C52" s="36">
        <f t="shared" si="1"/>
        <v>2.8595900000000003</v>
      </c>
      <c r="D52" s="12">
        <f t="shared" si="2"/>
        <v>0.20017130000000002</v>
      </c>
      <c r="E52" s="12">
        <f t="shared" si="0"/>
        <v>8.9362187500000023E-3</v>
      </c>
      <c r="F52" s="12">
        <f>E52/Calculation!K$14*1000</f>
        <v>9.0592176852947633E-3</v>
      </c>
      <c r="G52" s="12">
        <f t="shared" si="3"/>
        <v>17.299631166762108</v>
      </c>
    </row>
    <row r="53" spans="1:7">
      <c r="A53" s="35">
        <v>24</v>
      </c>
      <c r="B53" s="12">
        <v>2629.19</v>
      </c>
      <c r="C53" s="36">
        <f t="shared" si="1"/>
        <v>2.6291899999999999</v>
      </c>
      <c r="D53" s="12">
        <f t="shared" si="2"/>
        <v>0.18404329999999999</v>
      </c>
      <c r="E53" s="12">
        <f t="shared" si="0"/>
        <v>8.2162187500000004E-3</v>
      </c>
      <c r="F53" s="12">
        <f>E53/Calculation!K$15*1000</f>
        <v>8.7593771592353441E-3</v>
      </c>
      <c r="G53" s="12">
        <f t="shared" si="3"/>
        <v>17.56691008943006</v>
      </c>
    </row>
    <row r="54" spans="1:7">
      <c r="A54" s="35">
        <v>24.5</v>
      </c>
      <c r="B54" s="12">
        <v>2403.75</v>
      </c>
      <c r="C54" s="36">
        <f t="shared" si="1"/>
        <v>2.4037500000000001</v>
      </c>
      <c r="D54" s="12">
        <f t="shared" si="2"/>
        <v>0.16826250000000001</v>
      </c>
      <c r="E54" s="12">
        <f t="shared" si="0"/>
        <v>7.511718750000001E-3</v>
      </c>
      <c r="F54" s="12">
        <f>E54/Calculation!K$15*1000</f>
        <v>8.00830402006396E-3</v>
      </c>
      <c r="G54" s="12">
        <f t="shared" si="3"/>
        <v>17.818425307119551</v>
      </c>
    </row>
    <row r="55" spans="1:7">
      <c r="A55" s="35">
        <v>25</v>
      </c>
      <c r="B55" s="12">
        <v>2121.46</v>
      </c>
      <c r="C55" s="36">
        <f t="shared" si="1"/>
        <v>2.1214599999999999</v>
      </c>
      <c r="D55" s="12">
        <f t="shared" si="2"/>
        <v>0.1485022</v>
      </c>
      <c r="E55" s="12">
        <f t="shared" si="0"/>
        <v>6.6295625E-3</v>
      </c>
      <c r="F55" s="12">
        <f>E55/Calculation!K$15*1000</f>
        <v>7.0678301181091568E-3</v>
      </c>
      <c r="G55" s="12">
        <f t="shared" si="3"/>
        <v>18.044567319192147</v>
      </c>
    </row>
    <row r="56" spans="1:7">
      <c r="A56" s="35">
        <v>25.5</v>
      </c>
      <c r="B56" s="12">
        <v>1884.36</v>
      </c>
      <c r="C56" s="36">
        <f t="shared" si="1"/>
        <v>1.8843599999999998</v>
      </c>
      <c r="D56" s="12">
        <f t="shared" si="2"/>
        <v>0.1319052</v>
      </c>
      <c r="E56" s="12">
        <f t="shared" si="0"/>
        <v>5.8886250000000006E-3</v>
      </c>
      <c r="F56" s="12">
        <f>E56/Calculation!K$15*1000</f>
        <v>6.2779106659376907E-3</v>
      </c>
      <c r="G56" s="12">
        <f t="shared" si="3"/>
        <v>18.244753430952851</v>
      </c>
    </row>
    <row r="57" spans="1:7">
      <c r="A57" s="35">
        <v>26</v>
      </c>
      <c r="B57" s="12">
        <v>1681.43</v>
      </c>
      <c r="C57" s="36">
        <f t="shared" si="1"/>
        <v>1.68143</v>
      </c>
      <c r="D57" s="12">
        <f t="shared" si="2"/>
        <v>0.1177001</v>
      </c>
      <c r="E57" s="12">
        <f t="shared" si="0"/>
        <v>5.2544687500000005E-3</v>
      </c>
      <c r="F57" s="12">
        <f>E57/Calculation!K$15*1000</f>
        <v>5.6018315667004243E-3</v>
      </c>
      <c r="G57" s="12">
        <f t="shared" si="3"/>
        <v>18.422949564442423</v>
      </c>
    </row>
    <row r="58" spans="1:7">
      <c r="A58" s="35">
        <v>26.5</v>
      </c>
      <c r="B58" s="12">
        <v>1526.87</v>
      </c>
      <c r="C58" s="36">
        <f t="shared" si="1"/>
        <v>1.5268699999999999</v>
      </c>
      <c r="D58" s="12">
        <f t="shared" si="2"/>
        <v>0.1068809</v>
      </c>
      <c r="E58" s="12">
        <f t="shared" si="0"/>
        <v>4.7714687500000005E-3</v>
      </c>
      <c r="F58" s="12">
        <f>E58/Calculation!K$15*1000</f>
        <v>5.0869013662465145E-3</v>
      </c>
      <c r="G58" s="12">
        <f t="shared" si="3"/>
        <v>18.583280558436627</v>
      </c>
    </row>
    <row r="59" spans="1:7">
      <c r="A59" s="35">
        <v>27</v>
      </c>
      <c r="B59" s="12">
        <v>1382.21</v>
      </c>
      <c r="C59" s="36">
        <f t="shared" si="1"/>
        <v>1.3822099999999999</v>
      </c>
      <c r="D59" s="12">
        <f t="shared" si="2"/>
        <v>9.6754699999999999E-2</v>
      </c>
      <c r="E59" s="12">
        <f t="shared" si="0"/>
        <v>4.3194062500000003E-3</v>
      </c>
      <c r="F59" s="12">
        <f>E59/Calculation!K$15*1000</f>
        <v>4.6049538843775792E-3</v>
      </c>
      <c r="G59" s="12">
        <f t="shared" si="3"/>
        <v>18.728658387195988</v>
      </c>
    </row>
    <row r="60" spans="1:7">
      <c r="A60" s="35">
        <v>27.5</v>
      </c>
      <c r="B60" s="12">
        <v>1247.78</v>
      </c>
      <c r="C60" s="36">
        <f t="shared" si="1"/>
        <v>1.2477799999999999</v>
      </c>
      <c r="D60" s="12">
        <f t="shared" si="2"/>
        <v>8.7344599999999994E-2</v>
      </c>
      <c r="E60" s="12">
        <f t="shared" si="0"/>
        <v>3.8993125E-3</v>
      </c>
      <c r="F60" s="12">
        <f>E60/Calculation!K$15*1000</f>
        <v>4.1570885450464513E-3</v>
      </c>
      <c r="G60" s="12">
        <f t="shared" si="3"/>
        <v>18.86008902363735</v>
      </c>
    </row>
    <row r="61" spans="1:7">
      <c r="A61" s="35">
        <v>28</v>
      </c>
      <c r="B61" s="12">
        <v>1151.6600000000001</v>
      </c>
      <c r="C61" s="36">
        <f t="shared" si="1"/>
        <v>1.1516600000000001</v>
      </c>
      <c r="D61" s="12">
        <f t="shared" si="2"/>
        <v>8.0616200000000013E-2</v>
      </c>
      <c r="E61" s="12">
        <f t="shared" si="0"/>
        <v>3.598937500000001E-3</v>
      </c>
      <c r="F61" s="12">
        <f>E61/Calculation!K$15*1000</f>
        <v>3.836856331875969E-3</v>
      </c>
      <c r="G61" s="12">
        <f t="shared" si="3"/>
        <v>18.979998196791186</v>
      </c>
    </row>
    <row r="62" spans="1:7">
      <c r="A62" s="35">
        <v>28.5</v>
      </c>
      <c r="B62" s="12">
        <v>1081.73</v>
      </c>
      <c r="C62" s="36">
        <f t="shared" si="1"/>
        <v>1.0817300000000001</v>
      </c>
      <c r="D62" s="12">
        <f t="shared" si="2"/>
        <v>7.5721100000000013E-2</v>
      </c>
      <c r="E62" s="12">
        <f t="shared" si="0"/>
        <v>3.3804062500000006E-3</v>
      </c>
      <c r="F62" s="12">
        <f>E62/Calculation!K$15*1000</f>
        <v>3.603878401507556E-3</v>
      </c>
      <c r="G62" s="12">
        <f t="shared" si="3"/>
        <v>19.091609217791937</v>
      </c>
    </row>
    <row r="63" spans="1:7">
      <c r="A63" s="35">
        <v>29</v>
      </c>
      <c r="B63" s="12">
        <v>1039.26</v>
      </c>
      <c r="C63" s="36">
        <f t="shared" si="1"/>
        <v>1.0392600000000001</v>
      </c>
      <c r="D63" s="12">
        <f t="shared" si="2"/>
        <v>7.2748199999999999E-2</v>
      </c>
      <c r="E63" s="12">
        <f t="shared" si="0"/>
        <v>3.2476875000000001E-3</v>
      </c>
      <c r="F63" s="12">
        <f>E63/Calculation!K$15*1000</f>
        <v>3.4623858703657496E-3</v>
      </c>
      <c r="G63" s="12">
        <f t="shared" si="3"/>
        <v>19.197603181870036</v>
      </c>
    </row>
    <row r="64" spans="1:7">
      <c r="A64" s="35">
        <v>29.5</v>
      </c>
      <c r="B64" s="12">
        <v>967.73</v>
      </c>
      <c r="C64" s="36">
        <f t="shared" si="1"/>
        <v>0.96772999999999998</v>
      </c>
      <c r="D64" s="12">
        <f t="shared" si="2"/>
        <v>6.7741099999999999E-2</v>
      </c>
      <c r="E64" s="12">
        <f t="shared" si="0"/>
        <v>3.0241562499999999E-3</v>
      </c>
      <c r="F64" s="12">
        <f>E64/Calculation!K$15*1000</f>
        <v>3.2240773996199666E-3</v>
      </c>
      <c r="G64" s="12">
        <f t="shared" si="3"/>
        <v>19.297900130919821</v>
      </c>
    </row>
    <row r="65" spans="1:7">
      <c r="A65" s="35">
        <v>30</v>
      </c>
      <c r="B65" s="12">
        <v>954.79</v>
      </c>
      <c r="C65" s="36">
        <f t="shared" si="1"/>
        <v>0.95478999999999992</v>
      </c>
      <c r="D65" s="12">
        <f t="shared" si="2"/>
        <v>6.68353E-2</v>
      </c>
      <c r="E65" s="12">
        <f t="shared" si="0"/>
        <v>2.9837187500000003E-3</v>
      </c>
      <c r="F65" s="12">
        <f>E65/Calculation!K$16*1000</f>
        <v>3.372462974644825E-3</v>
      </c>
      <c r="G65" s="12">
        <f t="shared" si="3"/>
        <v>19.396848236533792</v>
      </c>
    </row>
    <row r="66" spans="1:7">
      <c r="A66" s="35">
        <v>30.5</v>
      </c>
      <c r="B66" s="12">
        <v>900.67</v>
      </c>
      <c r="C66" s="36">
        <f t="shared" si="1"/>
        <v>0.90066999999999997</v>
      </c>
      <c r="D66" s="12">
        <f t="shared" si="2"/>
        <v>6.3046900000000003E-2</v>
      </c>
      <c r="E66" s="12">
        <f t="shared" si="0"/>
        <v>2.8145937500000003E-3</v>
      </c>
      <c r="F66" s="12">
        <f>E66/Calculation!K$16*1000</f>
        <v>3.1813029329730673E-3</v>
      </c>
      <c r="G66" s="12">
        <f t="shared" si="3"/>
        <v>19.495154725148062</v>
      </c>
    </row>
    <row r="67" spans="1:7">
      <c r="A67" s="35">
        <v>31</v>
      </c>
      <c r="B67" s="12">
        <v>857.08</v>
      </c>
      <c r="C67" s="36">
        <f t="shared" si="1"/>
        <v>0.85708000000000006</v>
      </c>
      <c r="D67" s="12">
        <f t="shared" si="2"/>
        <v>5.9995600000000003E-2</v>
      </c>
      <c r="E67" s="12">
        <f t="shared" si="0"/>
        <v>2.6783750000000002E-3</v>
      </c>
      <c r="F67" s="12">
        <f>E67/Calculation!K$16*1000</f>
        <v>3.0273364470811246E-3</v>
      </c>
      <c r="G67" s="12">
        <f t="shared" si="3"/>
        <v>19.588284315848874</v>
      </c>
    </row>
    <row r="68" spans="1:7">
      <c r="A68" s="35">
        <v>31.5</v>
      </c>
      <c r="B68" s="12">
        <v>816.52</v>
      </c>
      <c r="C68" s="36">
        <f t="shared" si="1"/>
        <v>0.81652000000000002</v>
      </c>
      <c r="D68" s="12">
        <f t="shared" si="2"/>
        <v>5.7156400000000003E-2</v>
      </c>
      <c r="E68" s="12">
        <f t="shared" si="0"/>
        <v>2.5516250000000005E-3</v>
      </c>
      <c r="F68" s="12">
        <f>E68/Calculation!K$16*1000</f>
        <v>2.8840723803736875E-3</v>
      </c>
      <c r="G68" s="12">
        <f t="shared" si="3"/>
        <v>19.676955448260696</v>
      </c>
    </row>
    <row r="69" spans="1:7">
      <c r="A69" s="35">
        <v>32</v>
      </c>
      <c r="B69" s="12">
        <v>766.71</v>
      </c>
      <c r="C69" s="36">
        <f t="shared" si="1"/>
        <v>0.76671</v>
      </c>
      <c r="D69" s="12">
        <f t="shared" si="2"/>
        <v>5.3669700000000001E-2</v>
      </c>
      <c r="E69" s="12">
        <f t="shared" si="0"/>
        <v>2.3959687500000001E-3</v>
      </c>
      <c r="F69" s="12">
        <f>E69/Calculation!K$16*1000</f>
        <v>2.708135911865367E-3</v>
      </c>
      <c r="G69" s="12">
        <f t="shared" si="3"/>
        <v>19.760838572644282</v>
      </c>
    </row>
    <row r="70" spans="1:7">
      <c r="A70" s="35">
        <v>32.5</v>
      </c>
      <c r="B70" s="12">
        <v>732.22</v>
      </c>
      <c r="C70" s="36">
        <f t="shared" ref="C70:C101" si="4">B70/1000</f>
        <v>0.73221999999999998</v>
      </c>
      <c r="D70" s="12">
        <f t="shared" ref="D70:D101" si="5">C70/1000*$B$1</f>
        <v>5.12554E-2</v>
      </c>
      <c r="E70" s="12">
        <f t="shared" ref="E70:E101" si="6">D70/22.4</f>
        <v>2.2881875000000003E-3</v>
      </c>
      <c r="F70" s="12">
        <f>E70/Calculation!K$16*1000</f>
        <v>2.5863120050424009E-3</v>
      </c>
      <c r="G70" s="12">
        <f t="shared" si="3"/>
        <v>19.840255291397899</v>
      </c>
    </row>
    <row r="71" spans="1:7">
      <c r="A71" s="35">
        <v>33</v>
      </c>
      <c r="B71" s="12">
        <v>705.72</v>
      </c>
      <c r="C71" s="36">
        <f t="shared" si="4"/>
        <v>0.70572000000000001</v>
      </c>
      <c r="D71" s="12">
        <f t="shared" si="5"/>
        <v>4.9400400000000004E-2</v>
      </c>
      <c r="E71" s="12">
        <f t="shared" si="6"/>
        <v>2.2053750000000003E-3</v>
      </c>
      <c r="F71" s="12">
        <f>E71/Calculation!K$16*1000</f>
        <v>2.492709989072305E-3</v>
      </c>
      <c r="G71" s="12">
        <f t="shared" ref="G71:G101" si="7">G70+(F71+F70)/2*30</f>
        <v>19.916440621309619</v>
      </c>
    </row>
    <row r="72" spans="1:7">
      <c r="A72" s="35">
        <v>33.5</v>
      </c>
      <c r="B72" s="12">
        <v>661.65</v>
      </c>
      <c r="C72" s="36">
        <f t="shared" si="4"/>
        <v>0.66164999999999996</v>
      </c>
      <c r="D72" s="12">
        <f t="shared" si="5"/>
        <v>4.6315499999999996E-2</v>
      </c>
      <c r="E72" s="12">
        <f t="shared" si="6"/>
        <v>2.06765625E-3</v>
      </c>
      <c r="F72" s="12">
        <f>E72/Calculation!K$16*1000</f>
        <v>2.3370480704382624E-3</v>
      </c>
      <c r="G72" s="12">
        <f t="shared" si="7"/>
        <v>19.988886992202278</v>
      </c>
    </row>
    <row r="73" spans="1:7">
      <c r="A73" s="35">
        <v>34</v>
      </c>
      <c r="B73" s="12">
        <v>627</v>
      </c>
      <c r="C73" s="36">
        <f t="shared" si="4"/>
        <v>0.627</v>
      </c>
      <c r="D73" s="12">
        <f t="shared" si="5"/>
        <v>4.3889999999999998E-2</v>
      </c>
      <c r="E73" s="12">
        <f t="shared" si="6"/>
        <v>1.9593750000000002E-3</v>
      </c>
      <c r="F73" s="12">
        <f>E73/Calculation!K$16*1000</f>
        <v>2.2146590193679295E-3</v>
      </c>
      <c r="G73" s="12">
        <f t="shared" si="7"/>
        <v>20.057162598549372</v>
      </c>
    </row>
    <row r="74" spans="1:7">
      <c r="A74" s="35">
        <v>34.5</v>
      </c>
      <c r="B74" s="12">
        <v>601.14</v>
      </c>
      <c r="C74" s="36">
        <f t="shared" si="4"/>
        <v>0.60114000000000001</v>
      </c>
      <c r="D74" s="12">
        <f t="shared" si="5"/>
        <v>4.2079800000000001E-2</v>
      </c>
      <c r="E74" s="12">
        <f t="shared" si="6"/>
        <v>1.8785625000000002E-3</v>
      </c>
      <c r="F74" s="12">
        <f>E74/Calculation!K$16*1000</f>
        <v>2.1233175803873003E-3</v>
      </c>
      <c r="G74" s="12">
        <f t="shared" si="7"/>
        <v>20.1222322475457</v>
      </c>
    </row>
    <row r="75" spans="1:7">
      <c r="A75" s="35">
        <v>35</v>
      </c>
      <c r="B75" s="12">
        <v>555.95000000000005</v>
      </c>
      <c r="C75" s="36">
        <f t="shared" si="4"/>
        <v>0.55595000000000006</v>
      </c>
      <c r="D75" s="12">
        <f t="shared" si="5"/>
        <v>3.89165E-2</v>
      </c>
      <c r="E75" s="12">
        <f t="shared" si="6"/>
        <v>1.7373437500000002E-3</v>
      </c>
      <c r="F75" s="12">
        <f>E75/Calculation!K$16*1000</f>
        <v>1.9636996520216912E-3</v>
      </c>
      <c r="G75" s="12">
        <f t="shared" si="7"/>
        <v>20.183537506031836</v>
      </c>
    </row>
    <row r="76" spans="1:7">
      <c r="A76" s="35">
        <v>35.5</v>
      </c>
      <c r="B76" s="12">
        <v>526.41</v>
      </c>
      <c r="C76" s="36">
        <f t="shared" si="4"/>
        <v>0.52640999999999993</v>
      </c>
      <c r="D76" s="12">
        <f t="shared" si="5"/>
        <v>3.6848699999999998E-2</v>
      </c>
      <c r="E76" s="12">
        <f t="shared" si="6"/>
        <v>1.64503125E-3</v>
      </c>
      <c r="F76" s="12">
        <f>E76/Calculation!K$16*1000</f>
        <v>1.8593598953516295E-3</v>
      </c>
      <c r="G76" s="12">
        <f t="shared" si="7"/>
        <v>20.240883399242435</v>
      </c>
    </row>
    <row r="77" spans="1:7">
      <c r="A77" s="35">
        <v>36</v>
      </c>
      <c r="B77" s="12">
        <v>502.14</v>
      </c>
      <c r="C77" s="36">
        <f t="shared" si="4"/>
        <v>0.50214000000000003</v>
      </c>
      <c r="D77" s="12">
        <f t="shared" si="5"/>
        <v>3.5149800000000002E-2</v>
      </c>
      <c r="E77" s="12">
        <f t="shared" si="6"/>
        <v>1.5691875000000003E-3</v>
      </c>
      <c r="F77" s="12">
        <f>E77/Calculation!K$16*1000</f>
        <v>1.7736345773292062E-3</v>
      </c>
      <c r="G77" s="12">
        <f t="shared" si="7"/>
        <v>20.295378316332648</v>
      </c>
    </row>
    <row r="78" spans="1:7">
      <c r="A78" s="35">
        <v>36.5</v>
      </c>
      <c r="B78" s="12">
        <v>464.78</v>
      </c>
      <c r="C78" s="36">
        <f t="shared" si="4"/>
        <v>0.46477999999999997</v>
      </c>
      <c r="D78" s="12">
        <f t="shared" si="5"/>
        <v>3.2534599999999997E-2</v>
      </c>
      <c r="E78" s="12">
        <f t="shared" si="6"/>
        <v>1.4524375E-3</v>
      </c>
      <c r="F78" s="12">
        <f>E78/Calculation!K$16*1000</f>
        <v>1.6416733955691007E-3</v>
      </c>
      <c r="G78" s="12">
        <f t="shared" si="7"/>
        <v>20.346607935926123</v>
      </c>
    </row>
    <row r="79" spans="1:7">
      <c r="A79" s="35">
        <v>37</v>
      </c>
      <c r="B79" s="12">
        <v>437.96</v>
      </c>
      <c r="C79" s="36">
        <f t="shared" si="4"/>
        <v>0.43795999999999996</v>
      </c>
      <c r="D79" s="12">
        <f t="shared" si="5"/>
        <v>3.0657199999999996E-2</v>
      </c>
      <c r="E79" s="12">
        <f t="shared" si="6"/>
        <v>1.3686249999999998E-3</v>
      </c>
      <c r="F79" s="12">
        <f>E79/Calculation!K$16*1000</f>
        <v>1.5469410911042715E-3</v>
      </c>
      <c r="G79" s="12">
        <f t="shared" si="7"/>
        <v>20.394437153226225</v>
      </c>
    </row>
    <row r="80" spans="1:7">
      <c r="A80" s="35">
        <v>37.5</v>
      </c>
      <c r="B80" s="12">
        <v>416.09</v>
      </c>
      <c r="C80" s="36">
        <f t="shared" si="4"/>
        <v>0.41608999999999996</v>
      </c>
      <c r="D80" s="12">
        <f t="shared" si="5"/>
        <v>2.9126299999999997E-2</v>
      </c>
      <c r="E80" s="12">
        <f t="shared" si="6"/>
        <v>1.30028125E-3</v>
      </c>
      <c r="F80" s="12">
        <f>E80/Calculation!K$16*1000</f>
        <v>1.4696929367923471E-3</v>
      </c>
      <c r="G80" s="12">
        <f t="shared" si="7"/>
        <v>20.439686663644675</v>
      </c>
    </row>
    <row r="81" spans="1:7">
      <c r="A81" s="35">
        <v>38</v>
      </c>
      <c r="B81" s="12">
        <v>383.99</v>
      </c>
      <c r="C81" s="36">
        <f t="shared" si="4"/>
        <v>0.38399</v>
      </c>
      <c r="D81" s="12">
        <f t="shared" si="5"/>
        <v>2.6879300000000002E-2</v>
      </c>
      <c r="E81" s="12">
        <f t="shared" si="6"/>
        <v>1.1999687500000001E-3</v>
      </c>
      <c r="F81" s="12">
        <f>E81/Calculation!K$16*1000</f>
        <v>1.3563108721644198E-3</v>
      </c>
      <c r="G81" s="12">
        <f t="shared" si="7"/>
        <v>20.482076720779027</v>
      </c>
    </row>
    <row r="82" spans="1:7">
      <c r="A82" s="35">
        <v>38.5</v>
      </c>
      <c r="B82" s="12">
        <v>357.17</v>
      </c>
      <c r="C82" s="36">
        <f t="shared" si="4"/>
        <v>0.35717000000000004</v>
      </c>
      <c r="D82" s="12">
        <f t="shared" si="5"/>
        <v>2.5001900000000001E-2</v>
      </c>
      <c r="E82" s="12">
        <f t="shared" si="6"/>
        <v>1.1161562500000002E-3</v>
      </c>
      <c r="F82" s="12">
        <f>E82/Calculation!K$16*1000</f>
        <v>1.2615785676995909E-3</v>
      </c>
      <c r="G82" s="12">
        <f t="shared" si="7"/>
        <v>20.521345062376987</v>
      </c>
    </row>
    <row r="83" spans="1:7">
      <c r="A83" s="35">
        <v>39</v>
      </c>
      <c r="B83" s="12">
        <v>339.61</v>
      </c>
      <c r="C83" s="36">
        <f t="shared" si="4"/>
        <v>0.33961000000000002</v>
      </c>
      <c r="D83" s="12">
        <f t="shared" si="5"/>
        <v>2.3772700000000001E-2</v>
      </c>
      <c r="E83" s="12">
        <f t="shared" si="6"/>
        <v>1.0612812500000002E-3</v>
      </c>
      <c r="F83" s="12">
        <f>E83/Calculation!K$16*1000</f>
        <v>1.1995539865511044E-3</v>
      </c>
      <c r="G83" s="12">
        <f t="shared" si="7"/>
        <v>20.558262050690747</v>
      </c>
    </row>
    <row r="84" spans="1:7">
      <c r="A84" s="35">
        <v>39.5</v>
      </c>
      <c r="B84" s="12">
        <v>341.68</v>
      </c>
      <c r="C84" s="36">
        <f t="shared" si="4"/>
        <v>0.34167999999999998</v>
      </c>
      <c r="D84" s="12">
        <f t="shared" si="5"/>
        <v>2.3917599999999997E-2</v>
      </c>
      <c r="E84" s="12">
        <f t="shared" si="6"/>
        <v>1.0677499999999999E-3</v>
      </c>
      <c r="F84" s="12">
        <f>E84/Calculation!K$16*1000</f>
        <v>1.2068655402514099E-3</v>
      </c>
      <c r="G84" s="12">
        <f t="shared" si="7"/>
        <v>20.594358343592784</v>
      </c>
    </row>
    <row r="85" spans="1:7">
      <c r="A85" s="35">
        <v>40</v>
      </c>
      <c r="B85" s="12">
        <v>314.7</v>
      </c>
      <c r="C85" s="36">
        <f t="shared" si="4"/>
        <v>0.31469999999999998</v>
      </c>
      <c r="D85" s="12">
        <f t="shared" si="5"/>
        <v>2.2029E-2</v>
      </c>
      <c r="E85" s="12">
        <f t="shared" si="6"/>
        <v>9.8343750000000015E-4</v>
      </c>
      <c r="F85" s="12">
        <f>E85/Calculation!K$16*1000</f>
        <v>1.1115680915392144E-3</v>
      </c>
      <c r="G85" s="12">
        <f t="shared" si="7"/>
        <v>20.629134848069643</v>
      </c>
    </row>
    <row r="86" spans="1:7">
      <c r="A86" s="35">
        <v>40.5</v>
      </c>
      <c r="B86" s="12">
        <v>298.89</v>
      </c>
      <c r="C86" s="36">
        <f t="shared" si="4"/>
        <v>0.29888999999999999</v>
      </c>
      <c r="D86" s="12">
        <f t="shared" si="5"/>
        <v>2.0922300000000001E-2</v>
      </c>
      <c r="E86" s="12">
        <f t="shared" si="6"/>
        <v>9.3403125000000007E-4</v>
      </c>
      <c r="F86" s="12">
        <f>E86/Calculation!K$16*1000</f>
        <v>1.0557247755963006E-3</v>
      </c>
      <c r="G86" s="12">
        <f t="shared" si="7"/>
        <v>20.661644241076676</v>
      </c>
    </row>
    <row r="87" spans="1:7">
      <c r="A87" s="35">
        <v>41</v>
      </c>
      <c r="B87" s="12">
        <v>283.72000000000003</v>
      </c>
      <c r="C87" s="36">
        <f t="shared" si="4"/>
        <v>0.28372000000000003</v>
      </c>
      <c r="D87" s="12">
        <f t="shared" si="5"/>
        <v>1.98604E-2</v>
      </c>
      <c r="E87" s="12">
        <f t="shared" si="6"/>
        <v>8.8662500000000004E-4</v>
      </c>
      <c r="F87" s="12">
        <f>E87/Calculation!K$16*1000</f>
        <v>1.0021420366428532E-3</v>
      </c>
      <c r="G87" s="12">
        <f t="shared" si="7"/>
        <v>20.692512243260264</v>
      </c>
    </row>
    <row r="88" spans="1:7">
      <c r="A88" s="35">
        <v>41.5</v>
      </c>
      <c r="B88" s="12">
        <v>257.7</v>
      </c>
      <c r="C88" s="36">
        <f t="shared" si="4"/>
        <v>0.25769999999999998</v>
      </c>
      <c r="D88" s="12">
        <f t="shared" si="5"/>
        <v>1.8038999999999999E-2</v>
      </c>
      <c r="E88" s="12">
        <f t="shared" si="6"/>
        <v>8.0531250000000004E-4</v>
      </c>
      <c r="F88" s="12">
        <f>E88/Calculation!K$16*1000</f>
        <v>9.1023545341485711E-4</v>
      </c>
      <c r="G88" s="12">
        <f t="shared" si="7"/>
        <v>20.721197905611131</v>
      </c>
    </row>
    <row r="89" spans="1:7">
      <c r="A89" s="35">
        <v>42</v>
      </c>
      <c r="B89" s="12">
        <v>254.82</v>
      </c>
      <c r="C89" s="36">
        <f t="shared" si="4"/>
        <v>0.25481999999999999</v>
      </c>
      <c r="D89" s="12">
        <f t="shared" si="5"/>
        <v>1.78374E-2</v>
      </c>
      <c r="E89" s="12">
        <f t="shared" si="6"/>
        <v>7.9631250000000004E-4</v>
      </c>
      <c r="F89" s="12">
        <f>E89/Calculation!K$16*1000</f>
        <v>9.0006285696225808E-4</v>
      </c>
      <c r="G89" s="12">
        <f t="shared" si="7"/>
        <v>20.748352380266788</v>
      </c>
    </row>
    <row r="90" spans="1:7">
      <c r="A90" s="35">
        <v>42.5</v>
      </c>
      <c r="B90" s="12">
        <v>239.34</v>
      </c>
      <c r="C90" s="36">
        <f t="shared" si="4"/>
        <v>0.23934</v>
      </c>
      <c r="D90" s="12">
        <f t="shared" si="5"/>
        <v>1.6753799999999999E-2</v>
      </c>
      <c r="E90" s="12">
        <f t="shared" si="6"/>
        <v>7.4793750000000001E-4</v>
      </c>
      <c r="F90" s="12">
        <f>E90/Calculation!K$16*1000</f>
        <v>8.4538515102953787E-4</v>
      </c>
      <c r="G90" s="12">
        <f t="shared" si="7"/>
        <v>20.774534100386663</v>
      </c>
    </row>
    <row r="91" spans="1:7">
      <c r="A91" s="35">
        <v>43</v>
      </c>
      <c r="B91" s="12">
        <v>220.34</v>
      </c>
      <c r="C91" s="36">
        <f t="shared" si="4"/>
        <v>0.22034000000000001</v>
      </c>
      <c r="D91" s="12">
        <f t="shared" si="5"/>
        <v>1.5423800000000001E-2</v>
      </c>
      <c r="E91" s="12">
        <f t="shared" si="6"/>
        <v>6.8856250000000016E-4</v>
      </c>
      <c r="F91" s="12">
        <f>E91/Calculation!K$16*1000</f>
        <v>7.7827427165475221E-4</v>
      </c>
      <c r="G91" s="12">
        <f t="shared" si="7"/>
        <v>20.798888991726926</v>
      </c>
    </row>
    <row r="92" spans="1:7">
      <c r="A92" s="35">
        <v>43.5</v>
      </c>
      <c r="B92" s="12">
        <v>224.49</v>
      </c>
      <c r="C92" s="36">
        <f t="shared" si="4"/>
        <v>0.22449000000000002</v>
      </c>
      <c r="D92" s="12">
        <f t="shared" si="5"/>
        <v>1.57143E-2</v>
      </c>
      <c r="E92" s="12">
        <f t="shared" si="6"/>
        <v>7.0153125000000011E-4</v>
      </c>
      <c r="F92" s="12">
        <f>E92/Calculation!K$16*1000</f>
        <v>7.9293270057082378E-4</v>
      </c>
      <c r="G92" s="12">
        <f t="shared" si="7"/>
        <v>20.822457096310309</v>
      </c>
    </row>
    <row r="93" spans="1:7">
      <c r="A93" s="35">
        <v>44</v>
      </c>
      <c r="B93" s="12">
        <v>208.2</v>
      </c>
      <c r="C93" s="36">
        <f t="shared" si="4"/>
        <v>0.2082</v>
      </c>
      <c r="D93" s="12">
        <f t="shared" si="5"/>
        <v>1.4574E-2</v>
      </c>
      <c r="E93" s="12">
        <f t="shared" si="6"/>
        <v>6.5062500000000005E-4</v>
      </c>
      <c r="F93" s="12">
        <f>E93/Calculation!K$16*1000</f>
        <v>7.3539395188581007E-4</v>
      </c>
      <c r="G93" s="12">
        <f t="shared" si="7"/>
        <v>20.84538199609716</v>
      </c>
    </row>
    <row r="94" spans="1:7">
      <c r="A94" s="35">
        <v>44.5</v>
      </c>
      <c r="B94" s="12">
        <v>194.63</v>
      </c>
      <c r="C94" s="36">
        <f t="shared" si="4"/>
        <v>0.19463</v>
      </c>
      <c r="D94" s="12">
        <f t="shared" si="5"/>
        <v>1.36241E-2</v>
      </c>
      <c r="E94" s="12">
        <f t="shared" si="6"/>
        <v>6.0821875000000004E-4</v>
      </c>
      <c r="F94" s="12">
        <f>E94/Calculation!K$16*1000</f>
        <v>6.8746265540602883E-4</v>
      </c>
      <c r="G94" s="12">
        <f t="shared" si="7"/>
        <v>20.866724845206537</v>
      </c>
    </row>
    <row r="95" spans="1:7">
      <c r="A95" s="35">
        <v>45</v>
      </c>
      <c r="B95" s="12">
        <v>178.66</v>
      </c>
      <c r="C95" s="36">
        <f t="shared" si="4"/>
        <v>0.17865999999999999</v>
      </c>
      <c r="D95" s="12">
        <f t="shared" si="5"/>
        <v>1.2506199999999999E-2</v>
      </c>
      <c r="E95" s="12">
        <f t="shared" si="6"/>
        <v>5.583125E-4</v>
      </c>
      <c r="F95" s="12">
        <f>E95/Calculation!K$16*1000</f>
        <v>6.3105419521574833E-4</v>
      </c>
      <c r="G95" s="12">
        <f t="shared" si="7"/>
        <v>20.886502597965865</v>
      </c>
    </row>
    <row r="96" spans="1:7">
      <c r="A96" s="35">
        <v>45.5</v>
      </c>
      <c r="B96" s="12">
        <v>164.93</v>
      </c>
      <c r="C96" s="36">
        <f t="shared" si="4"/>
        <v>0.16492999999999999</v>
      </c>
      <c r="D96" s="12">
        <f t="shared" si="5"/>
        <v>1.1545099999999999E-2</v>
      </c>
      <c r="E96" s="12">
        <f t="shared" si="6"/>
        <v>5.1540625000000002E-4</v>
      </c>
      <c r="F96" s="12">
        <f>E96/Calculation!K$16*1000</f>
        <v>5.8255775448860054E-4</v>
      </c>
      <c r="G96" s="12">
        <f t="shared" si="7"/>
        <v>20.90470677721143</v>
      </c>
    </row>
    <row r="97" spans="1:7">
      <c r="A97" s="35">
        <v>46</v>
      </c>
      <c r="B97" s="12">
        <v>166.69</v>
      </c>
      <c r="C97" s="36">
        <f t="shared" si="4"/>
        <v>0.16669</v>
      </c>
      <c r="D97" s="12">
        <f t="shared" si="5"/>
        <v>1.16683E-2</v>
      </c>
      <c r="E97" s="12">
        <f t="shared" si="6"/>
        <v>5.2090624999999999E-4</v>
      </c>
      <c r="F97" s="12">
        <f>E97/Calculation!K$16*1000</f>
        <v>5.8877434120963338E-4</v>
      </c>
      <c r="G97" s="12">
        <f t="shared" si="7"/>
        <v>20.922276758646905</v>
      </c>
    </row>
    <row r="98" spans="1:7">
      <c r="A98" s="35">
        <v>46.5</v>
      </c>
      <c r="B98" s="12">
        <v>176.59</v>
      </c>
      <c r="C98" s="36">
        <f t="shared" si="4"/>
        <v>0.17659</v>
      </c>
      <c r="D98" s="12">
        <f t="shared" si="5"/>
        <v>1.2361299999999999E-2</v>
      </c>
      <c r="E98" s="12">
        <f t="shared" si="6"/>
        <v>5.5184374999999993E-4</v>
      </c>
      <c r="F98" s="12">
        <f>E98/Calculation!K$16*1000</f>
        <v>6.237426415154427E-4</v>
      </c>
      <c r="G98" s="12">
        <f t="shared" si="7"/>
        <v>20.940464513387781</v>
      </c>
    </row>
    <row r="99" spans="1:7">
      <c r="A99" s="35">
        <v>47</v>
      </c>
      <c r="B99" s="12">
        <v>174.35</v>
      </c>
      <c r="C99" s="36">
        <f t="shared" si="4"/>
        <v>0.17435</v>
      </c>
      <c r="D99" s="12">
        <f t="shared" si="5"/>
        <v>1.22045E-2</v>
      </c>
      <c r="E99" s="12">
        <f t="shared" si="6"/>
        <v>5.4484375000000008E-4</v>
      </c>
      <c r="F99" s="12">
        <f>E99/Calculation!K$16*1000</f>
        <v>6.1583062205231021E-4</v>
      </c>
      <c r="G99" s="12">
        <f t="shared" si="7"/>
        <v>20.959058112341296</v>
      </c>
    </row>
    <row r="100" spans="1:7">
      <c r="A100" s="35">
        <v>47.5</v>
      </c>
      <c r="B100" s="12">
        <v>159.97999999999999</v>
      </c>
      <c r="C100" s="36">
        <f t="shared" si="4"/>
        <v>0.15997999999999998</v>
      </c>
      <c r="D100" s="12">
        <f t="shared" si="5"/>
        <v>1.11986E-2</v>
      </c>
      <c r="E100" s="12">
        <f t="shared" si="6"/>
        <v>4.9993750000000006E-4</v>
      </c>
      <c r="F100" s="12">
        <f>E100/Calculation!K$16*1000</f>
        <v>5.6507360433569599E-4</v>
      </c>
      <c r="G100" s="12">
        <f t="shared" si="7"/>
        <v>20.976771675737115</v>
      </c>
    </row>
    <row r="101" spans="1:7">
      <c r="A101" s="35">
        <v>48</v>
      </c>
      <c r="B101" s="12">
        <v>204.53</v>
      </c>
      <c r="C101" s="36">
        <f t="shared" si="4"/>
        <v>0.20452999999999999</v>
      </c>
      <c r="D101" s="12">
        <f t="shared" si="5"/>
        <v>1.4317099999999999E-2</v>
      </c>
      <c r="E101" s="12">
        <f t="shared" si="6"/>
        <v>6.3915624999999997E-4</v>
      </c>
      <c r="F101" s="12">
        <f>E101/Calculation!K$17*1000</f>
        <v>7.7873552660065058E-4</v>
      </c>
      <c r="G101" s="12">
        <f t="shared" si="7"/>
        <v>20.99692881270116</v>
      </c>
    </row>
    <row r="102" spans="1:7">
      <c r="B102" s="10"/>
    </row>
    <row r="103" spans="1:7">
      <c r="A103" s="117" t="s">
        <v>5</v>
      </c>
      <c r="B103" s="117" t="s">
        <v>36</v>
      </c>
      <c r="C103" s="117"/>
      <c r="D103" s="117" t="s">
        <v>52</v>
      </c>
      <c r="E103" s="117"/>
      <c r="F103" s="117"/>
      <c r="G103" s="74" t="s">
        <v>53</v>
      </c>
    </row>
    <row r="104" spans="1:7">
      <c r="A104" s="117"/>
      <c r="B104" s="74" t="s">
        <v>54</v>
      </c>
      <c r="C104" s="74" t="s">
        <v>55</v>
      </c>
      <c r="D104" s="74" t="s">
        <v>56</v>
      </c>
      <c r="E104" s="74" t="s">
        <v>57</v>
      </c>
      <c r="F104" s="74" t="s">
        <v>58</v>
      </c>
      <c r="G104" s="74" t="s">
        <v>59</v>
      </c>
    </row>
    <row r="105" spans="1:7">
      <c r="A105" s="35">
        <v>0</v>
      </c>
      <c r="B105" s="12">
        <v>0</v>
      </c>
      <c r="C105" s="36">
        <f>B105/1000</f>
        <v>0</v>
      </c>
      <c r="D105" s="12">
        <f>C105/1000*$B$1</f>
        <v>0</v>
      </c>
      <c r="E105" s="12">
        <f>D105/22.4</f>
        <v>0</v>
      </c>
      <c r="F105" s="12">
        <f>E105/Calculation!K$4*1000</f>
        <v>0</v>
      </c>
      <c r="G105" s="12">
        <f>(0+F105)/2*30</f>
        <v>0</v>
      </c>
    </row>
    <row r="106" spans="1:7">
      <c r="A106" s="35">
        <v>0.5</v>
      </c>
      <c r="B106" s="12">
        <v>563.6</v>
      </c>
      <c r="C106" s="36">
        <f t="shared" ref="C106:C169" si="8">B106/1000</f>
        <v>0.56359999999999999</v>
      </c>
      <c r="D106" s="12">
        <f>C106/1000*$B$1</f>
        <v>3.9452000000000001E-2</v>
      </c>
      <c r="E106" s="12">
        <f t="shared" ref="E106:E169" si="9">D106/22.4</f>
        <v>1.7612500000000002E-3</v>
      </c>
      <c r="F106" s="12">
        <f>E106/Calculation!K$4*1000</f>
        <v>1.2070705068909532E-3</v>
      </c>
      <c r="G106" s="12">
        <f>G105+(F106+F105)/2*30</f>
        <v>1.8106057603364298E-2</v>
      </c>
    </row>
    <row r="107" spans="1:7">
      <c r="A107" s="35">
        <v>1</v>
      </c>
      <c r="B107" s="12">
        <v>632.66999999999996</v>
      </c>
      <c r="C107" s="36">
        <f t="shared" si="8"/>
        <v>0.63266999999999995</v>
      </c>
      <c r="D107" s="12">
        <f t="shared" ref="D107:D170" si="10">C107/1000*$B$1</f>
        <v>4.4286899999999997E-2</v>
      </c>
      <c r="E107" s="12">
        <f t="shared" si="9"/>
        <v>1.9770937500000001E-3</v>
      </c>
      <c r="F107" s="12">
        <f>E107/Calculation!K$4*1000</f>
        <v>1.3549987537166419E-3</v>
      </c>
      <c r="G107" s="12">
        <f>G106+(F107+F106)/2*30</f>
        <v>5.6537096512478222E-2</v>
      </c>
    </row>
    <row r="108" spans="1:7">
      <c r="A108" s="35">
        <v>1.5</v>
      </c>
      <c r="B108" s="12">
        <v>622.13</v>
      </c>
      <c r="C108" s="36">
        <f t="shared" si="8"/>
        <v>0.62212999999999996</v>
      </c>
      <c r="D108" s="12">
        <f t="shared" si="10"/>
        <v>4.3549099999999993E-2</v>
      </c>
      <c r="E108" s="12">
        <f t="shared" si="9"/>
        <v>1.9441562499999999E-3</v>
      </c>
      <c r="F108" s="12">
        <f>E108/Calculation!K$4*1000</f>
        <v>1.332425078871662E-3</v>
      </c>
      <c r="G108" s="12">
        <f t="shared" ref="G108:G138" si="11">G107+(F108+F107)/2*30</f>
        <v>9.6848454001302778E-2</v>
      </c>
    </row>
    <row r="109" spans="1:7">
      <c r="A109" s="35">
        <v>2</v>
      </c>
      <c r="B109" s="12">
        <v>612.42999999999995</v>
      </c>
      <c r="C109" s="36">
        <f t="shared" si="8"/>
        <v>0.61242999999999992</v>
      </c>
      <c r="D109" s="12">
        <f t="shared" si="10"/>
        <v>4.2870099999999994E-2</v>
      </c>
      <c r="E109" s="12">
        <f t="shared" si="9"/>
        <v>1.91384375E-3</v>
      </c>
      <c r="F109" s="12">
        <f>E109/Calculation!K$5*1000</f>
        <v>1.3533342510264495E-3</v>
      </c>
      <c r="G109" s="12">
        <f t="shared" si="11"/>
        <v>0.13713484394977446</v>
      </c>
    </row>
    <row r="110" spans="1:7">
      <c r="A110" s="35">
        <v>2.5</v>
      </c>
      <c r="B110" s="12">
        <v>613.94000000000005</v>
      </c>
      <c r="C110" s="36">
        <f t="shared" si="8"/>
        <v>0.61394000000000004</v>
      </c>
      <c r="D110" s="12">
        <f t="shared" si="10"/>
        <v>4.2975800000000001E-2</v>
      </c>
      <c r="E110" s="12">
        <f t="shared" si="9"/>
        <v>1.9185625000000001E-3</v>
      </c>
      <c r="F110" s="12">
        <f>E110/Calculation!K$5*1000</f>
        <v>1.3566710155857463E-3</v>
      </c>
      <c r="G110" s="12">
        <f t="shared" si="11"/>
        <v>0.1777849229489574</v>
      </c>
    </row>
    <row r="111" spans="1:7">
      <c r="A111" s="35">
        <v>3</v>
      </c>
      <c r="B111" s="12">
        <v>682.51</v>
      </c>
      <c r="C111" s="36">
        <f t="shared" si="8"/>
        <v>0.68250999999999995</v>
      </c>
      <c r="D111" s="12">
        <f t="shared" si="10"/>
        <v>4.7775699999999997E-2</v>
      </c>
      <c r="E111" s="12">
        <f t="shared" si="9"/>
        <v>2.1328437500000002E-3</v>
      </c>
      <c r="F111" s="12">
        <f>E111/Calculation!K$5*1000</f>
        <v>1.5081954830234675E-3</v>
      </c>
      <c r="G111" s="12">
        <f t="shared" si="11"/>
        <v>0.22075792042809561</v>
      </c>
    </row>
    <row r="112" spans="1:7">
      <c r="A112" s="35">
        <v>3.5</v>
      </c>
      <c r="B112" s="12">
        <v>744.05</v>
      </c>
      <c r="C112" s="36">
        <f t="shared" si="8"/>
        <v>0.74404999999999999</v>
      </c>
      <c r="D112" s="12">
        <f t="shared" si="10"/>
        <v>5.2083499999999998E-2</v>
      </c>
      <c r="E112" s="12">
        <f t="shared" si="9"/>
        <v>2.32515625E-3</v>
      </c>
      <c r="F112" s="12">
        <f>E112/Calculation!K$6*1000</f>
        <v>1.6894927089301751E-3</v>
      </c>
      <c r="G112" s="12">
        <f t="shared" si="11"/>
        <v>0.26872324330740027</v>
      </c>
    </row>
    <row r="113" spans="1:7">
      <c r="A113" s="35">
        <v>4</v>
      </c>
      <c r="B113" s="12">
        <v>846.74</v>
      </c>
      <c r="C113" s="36">
        <f t="shared" si="8"/>
        <v>0.84674000000000005</v>
      </c>
      <c r="D113" s="12">
        <f t="shared" si="10"/>
        <v>5.9271799999999999E-2</v>
      </c>
      <c r="E113" s="12">
        <f t="shared" si="9"/>
        <v>2.6460625E-3</v>
      </c>
      <c r="F113" s="12">
        <f>E113/Calculation!K$6*1000</f>
        <v>1.9226679072099138E-3</v>
      </c>
      <c r="G113" s="12">
        <f t="shared" si="11"/>
        <v>0.3229056525495016</v>
      </c>
    </row>
    <row r="114" spans="1:7">
      <c r="A114" s="35">
        <v>4.5</v>
      </c>
      <c r="B114" s="12">
        <v>929.18</v>
      </c>
      <c r="C114" s="36">
        <f t="shared" si="8"/>
        <v>0.92917999999999989</v>
      </c>
      <c r="D114" s="12">
        <f t="shared" si="10"/>
        <v>6.5042599999999992E-2</v>
      </c>
      <c r="E114" s="12">
        <f t="shared" si="9"/>
        <v>2.9036875E-3</v>
      </c>
      <c r="F114" s="12">
        <f>E114/Calculation!K$6*1000</f>
        <v>2.1098620190628859E-3</v>
      </c>
      <c r="G114" s="12">
        <f t="shared" si="11"/>
        <v>0.38339360144359358</v>
      </c>
    </row>
    <row r="115" spans="1:7">
      <c r="A115" s="35">
        <v>5</v>
      </c>
      <c r="B115" s="12">
        <v>1077.3599999999999</v>
      </c>
      <c r="C115" s="36">
        <f t="shared" si="8"/>
        <v>1.0773599999999999</v>
      </c>
      <c r="D115" s="12">
        <f t="shared" si="10"/>
        <v>7.5415199999999988E-2</v>
      </c>
      <c r="E115" s="12">
        <f t="shared" si="9"/>
        <v>3.3667499999999995E-3</v>
      </c>
      <c r="F115" s="12">
        <f>E115/Calculation!K$7*1000</f>
        <v>2.5364579869344064E-3</v>
      </c>
      <c r="G115" s="12">
        <f t="shared" si="11"/>
        <v>0.45308840153355295</v>
      </c>
    </row>
    <row r="116" spans="1:7">
      <c r="A116" s="35">
        <v>5.5</v>
      </c>
      <c r="B116" s="12">
        <v>1232.8900000000001</v>
      </c>
      <c r="C116" s="36">
        <f t="shared" si="8"/>
        <v>1.23289</v>
      </c>
      <c r="D116" s="12">
        <f t="shared" si="10"/>
        <v>8.6302299999999998E-2</v>
      </c>
      <c r="E116" s="12">
        <f t="shared" si="9"/>
        <v>3.8527812500000003E-3</v>
      </c>
      <c r="F116" s="12">
        <f>E116/Calculation!K$7*1000</f>
        <v>2.9026265013658956E-3</v>
      </c>
      <c r="G116" s="12">
        <f t="shared" si="11"/>
        <v>0.53467466885805748</v>
      </c>
    </row>
    <row r="117" spans="1:7">
      <c r="A117" s="35">
        <v>6</v>
      </c>
      <c r="B117" s="12">
        <v>1385.08</v>
      </c>
      <c r="C117" s="36">
        <f t="shared" si="8"/>
        <v>1.3850799999999999</v>
      </c>
      <c r="D117" s="12">
        <f t="shared" si="10"/>
        <v>9.6955599999999989E-2</v>
      </c>
      <c r="E117" s="12">
        <f t="shared" si="9"/>
        <v>4.3283749999999998E-3</v>
      </c>
      <c r="F117" s="12">
        <f>E117/Calculation!K$8*1000</f>
        <v>3.388212263967425E-3</v>
      </c>
      <c r="G117" s="12">
        <f t="shared" si="11"/>
        <v>0.62903725033805724</v>
      </c>
    </row>
    <row r="118" spans="1:7">
      <c r="A118" s="35">
        <v>6.5</v>
      </c>
      <c r="B118" s="12">
        <v>1648.48</v>
      </c>
      <c r="C118" s="36">
        <f t="shared" si="8"/>
        <v>1.6484799999999999</v>
      </c>
      <c r="D118" s="12">
        <f t="shared" si="10"/>
        <v>0.1153936</v>
      </c>
      <c r="E118" s="12">
        <f t="shared" si="9"/>
        <v>5.1515000000000007E-3</v>
      </c>
      <c r="F118" s="12">
        <f>E118/Calculation!K$8*1000</f>
        <v>4.0325469668936239E-3</v>
      </c>
      <c r="G118" s="12">
        <f t="shared" si="11"/>
        <v>0.74034863880097301</v>
      </c>
    </row>
    <row r="119" spans="1:7">
      <c r="A119" s="35">
        <v>7</v>
      </c>
      <c r="B119" s="12">
        <v>1970.25</v>
      </c>
      <c r="C119" s="36">
        <f t="shared" si="8"/>
        <v>1.9702500000000001</v>
      </c>
      <c r="D119" s="12">
        <f t="shared" si="10"/>
        <v>0.13791750000000003</v>
      </c>
      <c r="E119" s="12">
        <f t="shared" si="9"/>
        <v>6.1570312500000019E-3</v>
      </c>
      <c r="F119" s="12">
        <f>E119/Calculation!K$8*1000</f>
        <v>4.8196676098722245E-3</v>
      </c>
      <c r="G119" s="12">
        <f t="shared" si="11"/>
        <v>0.87313185745246069</v>
      </c>
    </row>
    <row r="120" spans="1:7">
      <c r="A120" s="35">
        <v>7.5</v>
      </c>
      <c r="B120" s="12">
        <v>2335.34</v>
      </c>
      <c r="C120" s="36">
        <f t="shared" si="8"/>
        <v>2.33534</v>
      </c>
      <c r="D120" s="12">
        <f t="shared" si="10"/>
        <v>0.1634738</v>
      </c>
      <c r="E120" s="12">
        <f t="shared" si="9"/>
        <v>7.2979375000000006E-3</v>
      </c>
      <c r="F120" s="12">
        <f>E120/Calculation!K$9*1000</f>
        <v>5.9737002251235892E-3</v>
      </c>
      <c r="G120" s="12">
        <f t="shared" si="11"/>
        <v>1.035032374977398</v>
      </c>
    </row>
    <row r="121" spans="1:7">
      <c r="A121" s="35">
        <v>8</v>
      </c>
      <c r="B121" s="12">
        <v>2783.04</v>
      </c>
      <c r="C121" s="36">
        <f t="shared" si="8"/>
        <v>2.7830400000000002</v>
      </c>
      <c r="D121" s="12">
        <f t="shared" si="10"/>
        <v>0.19481280000000001</v>
      </c>
      <c r="E121" s="12">
        <f t="shared" si="9"/>
        <v>8.6970000000000016E-3</v>
      </c>
      <c r="F121" s="12">
        <f>E121/Calculation!K$9*1000</f>
        <v>7.1188977513030041E-3</v>
      </c>
      <c r="G121" s="12">
        <f t="shared" si="11"/>
        <v>1.2314213446237969</v>
      </c>
    </row>
    <row r="122" spans="1:7">
      <c r="A122" s="35">
        <v>8.5</v>
      </c>
      <c r="B122" s="12">
        <v>3325.06</v>
      </c>
      <c r="C122" s="36">
        <f t="shared" si="8"/>
        <v>3.3250600000000001</v>
      </c>
      <c r="D122" s="12">
        <f t="shared" si="10"/>
        <v>0.23275420000000002</v>
      </c>
      <c r="E122" s="12">
        <f t="shared" si="9"/>
        <v>1.0390812500000002E-2</v>
      </c>
      <c r="F122" s="12">
        <f>E122/Calculation!K$9*1000</f>
        <v>8.5053618190710743E-3</v>
      </c>
      <c r="G122" s="12">
        <f t="shared" si="11"/>
        <v>1.4657852381794081</v>
      </c>
    </row>
    <row r="123" spans="1:7">
      <c r="A123" s="35">
        <v>9</v>
      </c>
      <c r="B123" s="12">
        <v>4042.69</v>
      </c>
      <c r="C123" s="36">
        <f t="shared" si="8"/>
        <v>4.0426900000000003</v>
      </c>
      <c r="D123" s="12">
        <f t="shared" si="10"/>
        <v>0.28298830000000003</v>
      </c>
      <c r="E123" s="12">
        <f t="shared" si="9"/>
        <v>1.2633406250000001E-2</v>
      </c>
      <c r="F123" s="12">
        <f>E123/Calculation!K$10*1000</f>
        <v>1.0752568457375405E-2</v>
      </c>
      <c r="G123" s="12">
        <f t="shared" si="11"/>
        <v>1.7546541923261052</v>
      </c>
    </row>
    <row r="124" spans="1:7">
      <c r="A124" s="35">
        <v>9.5</v>
      </c>
      <c r="B124" s="12">
        <v>5598.69</v>
      </c>
      <c r="C124" s="36">
        <f t="shared" si="8"/>
        <v>5.5986899999999995</v>
      </c>
      <c r="D124" s="12">
        <f t="shared" si="10"/>
        <v>0.39190829999999999</v>
      </c>
      <c r="E124" s="12">
        <f t="shared" si="9"/>
        <v>1.7495906250000002E-2</v>
      </c>
      <c r="F124" s="12">
        <f>E124/Calculation!K$10*1000</f>
        <v>1.4891148590820247E-2</v>
      </c>
      <c r="G124" s="12">
        <f t="shared" si="11"/>
        <v>2.1393099480490401</v>
      </c>
    </row>
    <row r="125" spans="1:7">
      <c r="A125" s="35">
        <v>10</v>
      </c>
      <c r="B125" s="12">
        <v>6021.14</v>
      </c>
      <c r="C125" s="36">
        <f t="shared" si="8"/>
        <v>6.0211399999999999</v>
      </c>
      <c r="D125" s="12">
        <f t="shared" si="10"/>
        <v>0.42147980000000002</v>
      </c>
      <c r="E125" s="12">
        <f t="shared" si="9"/>
        <v>1.8816062500000001E-2</v>
      </c>
      <c r="F125" s="12">
        <f>E125/Calculation!K$11*1000</f>
        <v>1.6780747553450832E-2</v>
      </c>
      <c r="G125" s="12">
        <f t="shared" si="11"/>
        <v>2.6143883902131062</v>
      </c>
    </row>
    <row r="126" spans="1:7">
      <c r="A126" s="35">
        <v>10.5</v>
      </c>
      <c r="B126" s="12">
        <v>6086.02</v>
      </c>
      <c r="C126" s="36">
        <f t="shared" si="8"/>
        <v>6.0860200000000004</v>
      </c>
      <c r="D126" s="12">
        <f t="shared" si="10"/>
        <v>0.42602139999999999</v>
      </c>
      <c r="E126" s="12">
        <f t="shared" si="9"/>
        <v>1.9018812499999999E-2</v>
      </c>
      <c r="F126" s="12">
        <f>E126/Calculation!K$11*1000</f>
        <v>1.6961566285662321E-2</v>
      </c>
      <c r="G126" s="12">
        <f t="shared" si="11"/>
        <v>3.1205230977998033</v>
      </c>
    </row>
    <row r="127" spans="1:7">
      <c r="A127" s="35">
        <v>11</v>
      </c>
      <c r="B127" s="12">
        <v>6609.15</v>
      </c>
      <c r="C127" s="36">
        <f t="shared" si="8"/>
        <v>6.6091499999999996</v>
      </c>
      <c r="D127" s="12">
        <f t="shared" si="10"/>
        <v>0.46264049999999995</v>
      </c>
      <c r="E127" s="12">
        <f t="shared" si="9"/>
        <v>2.0653593750000001E-2</v>
      </c>
      <c r="F127" s="12">
        <f>E127/Calculation!K$11*1000</f>
        <v>1.8419514858131446E-2</v>
      </c>
      <c r="G127" s="12">
        <f t="shared" si="11"/>
        <v>3.6512393149567099</v>
      </c>
    </row>
    <row r="128" spans="1:7">
      <c r="A128" s="35">
        <v>11.5</v>
      </c>
      <c r="B128" s="12">
        <v>7124.08</v>
      </c>
      <c r="C128" s="36">
        <f t="shared" si="8"/>
        <v>7.1240800000000002</v>
      </c>
      <c r="D128" s="12">
        <f t="shared" si="10"/>
        <v>0.49868560000000006</v>
      </c>
      <c r="E128" s="12">
        <f t="shared" si="9"/>
        <v>2.2262750000000005E-2</v>
      </c>
      <c r="F128" s="12">
        <f>E128/Calculation!K$12*1000</f>
        <v>2.0621056613620264E-2</v>
      </c>
      <c r="G128" s="12">
        <f t="shared" si="11"/>
        <v>4.2368478870329858</v>
      </c>
    </row>
    <row r="129" spans="1:7">
      <c r="A129" s="35">
        <v>12</v>
      </c>
      <c r="B129" s="12">
        <v>7648.55</v>
      </c>
      <c r="C129" s="36">
        <f t="shared" si="8"/>
        <v>7.6485500000000002</v>
      </c>
      <c r="D129" s="12">
        <f t="shared" si="10"/>
        <v>0.5353985</v>
      </c>
      <c r="E129" s="12">
        <f t="shared" si="9"/>
        <v>2.3901718750000002E-2</v>
      </c>
      <c r="F129" s="12">
        <f>E129/Calculation!K$12*1000</f>
        <v>2.2139164995635261E-2</v>
      </c>
      <c r="G129" s="12">
        <f t="shared" si="11"/>
        <v>4.8782512111718184</v>
      </c>
    </row>
    <row r="130" spans="1:7">
      <c r="A130" s="35">
        <v>12.5</v>
      </c>
      <c r="B130" s="12">
        <v>8226.36</v>
      </c>
      <c r="C130" s="36">
        <f t="shared" si="8"/>
        <v>8.2263600000000014</v>
      </c>
      <c r="D130" s="12">
        <f t="shared" si="10"/>
        <v>0.57584520000000017</v>
      </c>
      <c r="E130" s="12">
        <f t="shared" si="9"/>
        <v>2.5707375000000008E-2</v>
      </c>
      <c r="F130" s="12">
        <f>E130/Calculation!K$12*1000</f>
        <v>2.3811669055375739E-2</v>
      </c>
      <c r="G130" s="12">
        <f t="shared" si="11"/>
        <v>5.567513721936983</v>
      </c>
    </row>
    <row r="131" spans="1:7">
      <c r="A131" s="35">
        <v>13</v>
      </c>
      <c r="B131" s="12">
        <v>8653.99</v>
      </c>
      <c r="C131" s="36">
        <f t="shared" si="8"/>
        <v>8.6539900000000003</v>
      </c>
      <c r="D131" s="12">
        <f t="shared" si="10"/>
        <v>0.60577930000000002</v>
      </c>
      <c r="E131" s="12">
        <f t="shared" si="9"/>
        <v>2.7043718750000001E-2</v>
      </c>
      <c r="F131" s="12">
        <f>E131/Calculation!K$13*1000</f>
        <v>2.6029457273689327E-2</v>
      </c>
      <c r="G131" s="12">
        <f t="shared" si="11"/>
        <v>6.3151306168729588</v>
      </c>
    </row>
    <row r="132" spans="1:7">
      <c r="A132" s="35">
        <v>13.5</v>
      </c>
      <c r="B132" s="12">
        <v>8859.0300000000007</v>
      </c>
      <c r="C132" s="36">
        <f t="shared" si="8"/>
        <v>8.8590300000000006</v>
      </c>
      <c r="D132" s="12">
        <f t="shared" si="10"/>
        <v>0.62013210000000007</v>
      </c>
      <c r="E132" s="12">
        <f t="shared" si="9"/>
        <v>2.7684468750000007E-2</v>
      </c>
      <c r="F132" s="12">
        <f>E132/Calculation!K$13*1000</f>
        <v>2.6646176257579684E-2</v>
      </c>
      <c r="G132" s="12">
        <f t="shared" si="11"/>
        <v>7.1052651198419943</v>
      </c>
    </row>
    <row r="133" spans="1:7">
      <c r="A133" s="35">
        <v>14</v>
      </c>
      <c r="B133" s="12">
        <v>8886.4599999999991</v>
      </c>
      <c r="C133" s="36">
        <f t="shared" si="8"/>
        <v>8.8864599999999996</v>
      </c>
      <c r="D133" s="12">
        <f t="shared" si="10"/>
        <v>0.62205219999999994</v>
      </c>
      <c r="E133" s="12">
        <f t="shared" si="9"/>
        <v>2.7770187499999998E-2</v>
      </c>
      <c r="F133" s="12">
        <f>E133/Calculation!K$14*1000</f>
        <v>2.8152418910285908E-2</v>
      </c>
      <c r="G133" s="12">
        <f t="shared" si="11"/>
        <v>7.9272440473599781</v>
      </c>
    </row>
    <row r="134" spans="1:7">
      <c r="A134" s="35">
        <v>14.5</v>
      </c>
      <c r="B134" s="12">
        <v>8568.0300000000007</v>
      </c>
      <c r="C134" s="36">
        <f t="shared" si="8"/>
        <v>8.5680300000000003</v>
      </c>
      <c r="D134" s="12">
        <f t="shared" si="10"/>
        <v>0.59976210000000008</v>
      </c>
      <c r="E134" s="12">
        <f t="shared" si="9"/>
        <v>2.6775093750000006E-2</v>
      </c>
      <c r="F134" s="12">
        <f>E134/Calculation!K$14*1000</f>
        <v>2.7143628598552971E-2</v>
      </c>
      <c r="G134" s="12">
        <f t="shared" si="11"/>
        <v>8.7566847599925612</v>
      </c>
    </row>
    <row r="135" spans="1:7">
      <c r="A135" s="35">
        <v>15</v>
      </c>
      <c r="B135" s="12">
        <v>8282.2199999999993</v>
      </c>
      <c r="C135" s="36">
        <f t="shared" si="8"/>
        <v>8.2822199999999988</v>
      </c>
      <c r="D135" s="12">
        <f t="shared" si="10"/>
        <v>0.57975539999999992</v>
      </c>
      <c r="E135" s="12">
        <f t="shared" si="9"/>
        <v>2.5881937499999997E-2</v>
      </c>
      <c r="F135" s="12">
        <f>E135/Calculation!K$14*1000</f>
        <v>2.6238178863928732E-2</v>
      </c>
      <c r="G135" s="12">
        <f t="shared" si="11"/>
        <v>9.5574118719297871</v>
      </c>
    </row>
    <row r="136" spans="1:7">
      <c r="A136" s="35">
        <v>15.5</v>
      </c>
      <c r="B136" s="12">
        <v>7863.95</v>
      </c>
      <c r="C136" s="36">
        <f t="shared" si="8"/>
        <v>7.86395</v>
      </c>
      <c r="D136" s="12">
        <f t="shared" si="10"/>
        <v>0.55047650000000004</v>
      </c>
      <c r="E136" s="12">
        <f t="shared" si="9"/>
        <v>2.4574843750000002E-2</v>
      </c>
      <c r="F136" s="12">
        <f>E136/Calculation!K$14*1000</f>
        <v>2.4913094155551582E-2</v>
      </c>
      <c r="G136" s="12">
        <f t="shared" si="11"/>
        <v>10.324680967221992</v>
      </c>
    </row>
    <row r="137" spans="1:7">
      <c r="A137" s="35">
        <v>16</v>
      </c>
      <c r="B137" s="12">
        <v>7560.58</v>
      </c>
      <c r="C137" s="36">
        <f t="shared" si="8"/>
        <v>7.5605799999999999</v>
      </c>
      <c r="D137" s="12">
        <f t="shared" si="10"/>
        <v>0.52924059999999995</v>
      </c>
      <c r="E137" s="12">
        <f t="shared" si="9"/>
        <v>2.36268125E-2</v>
      </c>
      <c r="F137" s="12">
        <f>E137/Calculation!K$14*1000</f>
        <v>2.3952014116389368E-2</v>
      </c>
      <c r="G137" s="12">
        <f t="shared" si="11"/>
        <v>11.057657591301107</v>
      </c>
    </row>
    <row r="138" spans="1:7">
      <c r="A138" s="35">
        <v>16.5</v>
      </c>
      <c r="B138" s="12">
        <v>7086.96</v>
      </c>
      <c r="C138" s="36">
        <f t="shared" si="8"/>
        <v>7.0869600000000004</v>
      </c>
      <c r="D138" s="12">
        <f t="shared" si="10"/>
        <v>0.49608720000000006</v>
      </c>
      <c r="E138" s="12">
        <f t="shared" si="9"/>
        <v>2.2146750000000003E-2</v>
      </c>
      <c r="F138" s="12">
        <f>E138/Calculation!K$14*1000</f>
        <v>2.2451579900257229E-2</v>
      </c>
      <c r="G138" s="12">
        <f t="shared" si="11"/>
        <v>11.753711501550805</v>
      </c>
    </row>
    <row r="139" spans="1:7">
      <c r="A139" s="35">
        <v>17</v>
      </c>
      <c r="B139" s="12">
        <v>6495.43</v>
      </c>
      <c r="C139" s="36">
        <f t="shared" si="8"/>
        <v>6.4954300000000007</v>
      </c>
      <c r="D139" s="12">
        <f t="shared" si="10"/>
        <v>0.45468010000000003</v>
      </c>
      <c r="E139" s="12">
        <f t="shared" si="9"/>
        <v>2.0298218750000003E-2</v>
      </c>
      <c r="F139" s="12">
        <f>E139/Calculation!K$14*1000</f>
        <v>2.057760529642157E-2</v>
      </c>
      <c r="G139" s="12">
        <f>G138+(F139+F138)/2*30</f>
        <v>12.399149279500987</v>
      </c>
    </row>
    <row r="140" spans="1:7">
      <c r="A140" s="35">
        <v>17.5</v>
      </c>
      <c r="B140" s="12">
        <v>6069.3</v>
      </c>
      <c r="C140" s="36">
        <f t="shared" si="8"/>
        <v>6.0693000000000001</v>
      </c>
      <c r="D140" s="12">
        <f t="shared" si="10"/>
        <v>0.42485100000000003</v>
      </c>
      <c r="E140" s="12">
        <f t="shared" si="9"/>
        <v>1.8966562500000003E-2</v>
      </c>
      <c r="F140" s="12">
        <f>E140/Calculation!K$14*1000</f>
        <v>1.9227620007539366E-2</v>
      </c>
      <c r="G140" s="12">
        <f t="shared" ref="G140:G201" si="12">G139+(F140+F139)/2*30</f>
        <v>12.996227659060402</v>
      </c>
    </row>
    <row r="141" spans="1:7">
      <c r="A141" s="35">
        <v>18</v>
      </c>
      <c r="B141" s="12">
        <v>5783.82</v>
      </c>
      <c r="C141" s="36">
        <f t="shared" si="8"/>
        <v>5.7838199999999995</v>
      </c>
      <c r="D141" s="12">
        <f t="shared" si="10"/>
        <v>0.40486739999999993</v>
      </c>
      <c r="E141" s="12">
        <f t="shared" si="9"/>
        <v>1.8074437499999998E-2</v>
      </c>
      <c r="F141" s="12">
        <f>E141/Calculation!K$14*1000</f>
        <v>1.8323215717134814E-2</v>
      </c>
      <c r="G141" s="12">
        <f t="shared" si="12"/>
        <v>13.559490194930515</v>
      </c>
    </row>
    <row r="142" spans="1:7">
      <c r="A142" s="35">
        <v>18.5</v>
      </c>
      <c r="B142" s="12">
        <v>5370.57</v>
      </c>
      <c r="C142" s="36">
        <f t="shared" si="8"/>
        <v>5.3705699999999998</v>
      </c>
      <c r="D142" s="12">
        <f t="shared" si="10"/>
        <v>0.37593989999999999</v>
      </c>
      <c r="E142" s="12">
        <f t="shared" si="9"/>
        <v>1.678303125E-2</v>
      </c>
      <c r="F142" s="12">
        <f>E142/Calculation!K$14*1000</f>
        <v>1.7014034432947901E-2</v>
      </c>
      <c r="G142" s="12">
        <f t="shared" si="12"/>
        <v>14.089548947181756</v>
      </c>
    </row>
    <row r="143" spans="1:7">
      <c r="A143" s="35">
        <v>19</v>
      </c>
      <c r="B143" s="12">
        <v>5111.3500000000004</v>
      </c>
      <c r="C143" s="36">
        <f t="shared" si="8"/>
        <v>5.1113500000000007</v>
      </c>
      <c r="D143" s="12">
        <f t="shared" si="10"/>
        <v>0.35779450000000002</v>
      </c>
      <c r="E143" s="12">
        <f t="shared" si="9"/>
        <v>1.597296875E-2</v>
      </c>
      <c r="F143" s="12">
        <f>E143/Calculation!K$14*1000</f>
        <v>1.6192822158327375E-2</v>
      </c>
      <c r="G143" s="12">
        <f t="shared" si="12"/>
        <v>14.587651796050885</v>
      </c>
    </row>
    <row r="144" spans="1:7">
      <c r="A144" s="35">
        <v>19.5</v>
      </c>
      <c r="B144" s="12">
        <v>5018.37</v>
      </c>
      <c r="C144" s="36">
        <f t="shared" si="8"/>
        <v>5.01837</v>
      </c>
      <c r="D144" s="12">
        <f t="shared" si="10"/>
        <v>0.35128590000000004</v>
      </c>
      <c r="E144" s="12">
        <f t="shared" si="9"/>
        <v>1.5682406250000003E-2</v>
      </c>
      <c r="F144" s="12">
        <f>E144/Calculation!K$14*1000</f>
        <v>1.5898260329401306E-2</v>
      </c>
      <c r="G144" s="12">
        <f t="shared" si="12"/>
        <v>15.069018033366815</v>
      </c>
    </row>
    <row r="145" spans="1:7">
      <c r="A145" s="35">
        <v>20</v>
      </c>
      <c r="B145" s="12">
        <v>4878.72</v>
      </c>
      <c r="C145" s="36">
        <f t="shared" si="8"/>
        <v>4.8787200000000004</v>
      </c>
      <c r="D145" s="12">
        <f t="shared" si="10"/>
        <v>0.34151040000000005</v>
      </c>
      <c r="E145" s="12">
        <f t="shared" si="9"/>
        <v>1.5246000000000003E-2</v>
      </c>
      <c r="F145" s="12">
        <f>E145/Calculation!K$14*1000</f>
        <v>1.5455847343710555E-2</v>
      </c>
      <c r="G145" s="12">
        <f t="shared" si="12"/>
        <v>15.539329648463493</v>
      </c>
    </row>
    <row r="146" spans="1:7">
      <c r="A146" s="35">
        <v>20.5</v>
      </c>
      <c r="B146" s="12">
        <v>4516.8100000000004</v>
      </c>
      <c r="C146" s="36">
        <f t="shared" si="8"/>
        <v>4.5168100000000004</v>
      </c>
      <c r="D146" s="12">
        <f t="shared" si="10"/>
        <v>0.31617670000000003</v>
      </c>
      <c r="E146" s="12">
        <f t="shared" si="9"/>
        <v>1.4115031250000002E-2</v>
      </c>
      <c r="F146" s="12">
        <f>E146/Calculation!K$14*1000</f>
        <v>1.4309311836003145E-2</v>
      </c>
      <c r="G146" s="12">
        <f t="shared" si="12"/>
        <v>15.985807036159198</v>
      </c>
    </row>
    <row r="147" spans="1:7">
      <c r="A147" s="35">
        <v>21</v>
      </c>
      <c r="B147" s="12">
        <v>4233.34</v>
      </c>
      <c r="C147" s="36">
        <f t="shared" si="8"/>
        <v>4.2333400000000001</v>
      </c>
      <c r="D147" s="12">
        <f t="shared" si="10"/>
        <v>0.29633380000000004</v>
      </c>
      <c r="E147" s="12">
        <f t="shared" si="9"/>
        <v>1.3229187500000003E-2</v>
      </c>
      <c r="F147" s="12">
        <f>E147/Calculation!K$14*1000</f>
        <v>1.3411275251300267E-2</v>
      </c>
      <c r="G147" s="12">
        <f t="shared" si="12"/>
        <v>16.40161584246875</v>
      </c>
    </row>
    <row r="148" spans="1:7">
      <c r="A148" s="35">
        <v>21.5</v>
      </c>
      <c r="B148" s="12">
        <v>3957.23</v>
      </c>
      <c r="C148" s="36">
        <f t="shared" si="8"/>
        <v>3.95723</v>
      </c>
      <c r="D148" s="12">
        <f t="shared" si="10"/>
        <v>0.27700609999999998</v>
      </c>
      <c r="E148" s="12">
        <f t="shared" si="9"/>
        <v>1.236634375E-2</v>
      </c>
      <c r="F148" s="12">
        <f>E148/Calculation!K$14*1000</f>
        <v>1.2536555240708977E-2</v>
      </c>
      <c r="G148" s="12">
        <f t="shared" si="12"/>
        <v>16.790833299848888</v>
      </c>
    </row>
    <row r="149" spans="1:7">
      <c r="A149" s="35">
        <v>22</v>
      </c>
      <c r="B149" s="12">
        <v>3787.98</v>
      </c>
      <c r="C149" s="36">
        <f t="shared" si="8"/>
        <v>3.7879800000000001</v>
      </c>
      <c r="D149" s="12">
        <f t="shared" si="10"/>
        <v>0.26515860000000002</v>
      </c>
      <c r="E149" s="12">
        <f t="shared" si="9"/>
        <v>1.1837437500000002E-2</v>
      </c>
      <c r="F149" s="12">
        <f>E149/Calculation!K$14*1000</f>
        <v>1.2000369076525956E-2</v>
      </c>
      <c r="G149" s="12">
        <f t="shared" si="12"/>
        <v>17.15888716460741</v>
      </c>
    </row>
    <row r="150" spans="1:7">
      <c r="A150" s="35">
        <v>22.5</v>
      </c>
      <c r="B150" s="12">
        <v>3518.22</v>
      </c>
      <c r="C150" s="36">
        <f t="shared" si="8"/>
        <v>3.5182199999999999</v>
      </c>
      <c r="D150" s="12">
        <f t="shared" si="10"/>
        <v>0.24627539999999998</v>
      </c>
      <c r="E150" s="12">
        <f t="shared" si="9"/>
        <v>1.0994437499999999E-2</v>
      </c>
      <c r="F150" s="12">
        <f>E150/Calculation!K$14*1000</f>
        <v>1.1145765947131488E-2</v>
      </c>
      <c r="G150" s="12">
        <f t="shared" si="12"/>
        <v>17.506079189962271</v>
      </c>
    </row>
    <row r="151" spans="1:7">
      <c r="A151" s="35">
        <v>23</v>
      </c>
      <c r="B151" s="12">
        <v>3207.33</v>
      </c>
      <c r="C151" s="36">
        <f t="shared" si="8"/>
        <v>3.2073299999999998</v>
      </c>
      <c r="D151" s="12">
        <f t="shared" si="10"/>
        <v>0.22451309999999999</v>
      </c>
      <c r="E151" s="12">
        <f t="shared" si="9"/>
        <v>1.002290625E-2</v>
      </c>
      <c r="F151" s="12">
        <f>E151/Calculation!K$14*1000</f>
        <v>1.0160862451811779E-2</v>
      </c>
      <c r="G151" s="12">
        <f t="shared" si="12"/>
        <v>17.825678615946419</v>
      </c>
    </row>
    <row r="152" spans="1:7">
      <c r="A152" s="35">
        <v>23.5</v>
      </c>
      <c r="B152" s="12">
        <v>2995.27</v>
      </c>
      <c r="C152" s="36">
        <f t="shared" si="8"/>
        <v>2.9952700000000001</v>
      </c>
      <c r="D152" s="12">
        <f t="shared" si="10"/>
        <v>0.20966889999999999</v>
      </c>
      <c r="E152" s="12">
        <f t="shared" si="9"/>
        <v>9.3602187499999996E-3</v>
      </c>
      <c r="F152" s="12">
        <f>E152/Calculation!K$14*1000</f>
        <v>9.4890536602215136E-3</v>
      </c>
      <c r="G152" s="12">
        <f t="shared" si="12"/>
        <v>18.120427357626919</v>
      </c>
    </row>
    <row r="153" spans="1:7">
      <c r="A153" s="35">
        <v>24</v>
      </c>
      <c r="B153" s="12">
        <v>2753.94</v>
      </c>
      <c r="C153" s="36">
        <f t="shared" si="8"/>
        <v>2.7539400000000001</v>
      </c>
      <c r="D153" s="12">
        <f t="shared" si="10"/>
        <v>0.1927758</v>
      </c>
      <c r="E153" s="12">
        <f t="shared" si="9"/>
        <v>8.6060625000000009E-3</v>
      </c>
      <c r="F153" s="12">
        <f>E153/Calculation!K$15*1000</f>
        <v>9.174992729283387E-3</v>
      </c>
      <c r="G153" s="12">
        <f t="shared" si="12"/>
        <v>18.400388053469491</v>
      </c>
    </row>
    <row r="154" spans="1:7">
      <c r="A154" s="35">
        <v>24.5</v>
      </c>
      <c r="B154" s="12">
        <v>2517.8000000000002</v>
      </c>
      <c r="C154" s="36">
        <f t="shared" si="8"/>
        <v>2.5178000000000003</v>
      </c>
      <c r="D154" s="12">
        <f t="shared" si="10"/>
        <v>0.17624600000000001</v>
      </c>
      <c r="E154" s="12">
        <f t="shared" si="9"/>
        <v>7.8681250000000019E-3</v>
      </c>
      <c r="F154" s="12">
        <f>E154/Calculation!K$15*1000</f>
        <v>8.3882716013383412E-3</v>
      </c>
      <c r="G154" s="12">
        <f t="shared" si="12"/>
        <v>18.663837018428818</v>
      </c>
    </row>
    <row r="155" spans="1:7">
      <c r="A155" s="35">
        <v>25</v>
      </c>
      <c r="B155" s="12">
        <v>2222.12</v>
      </c>
      <c r="C155" s="36">
        <f t="shared" si="8"/>
        <v>2.2221199999999999</v>
      </c>
      <c r="D155" s="12">
        <f t="shared" si="10"/>
        <v>0.15554839999999998</v>
      </c>
      <c r="E155" s="12">
        <f t="shared" si="9"/>
        <v>6.9441249999999998E-3</v>
      </c>
      <c r="F155" s="12">
        <f>E155/Calculation!K$15*1000</f>
        <v>7.4031877396004255E-3</v>
      </c>
      <c r="G155" s="12">
        <f t="shared" si="12"/>
        <v>18.900708908542899</v>
      </c>
    </row>
    <row r="156" spans="1:7">
      <c r="A156" s="35">
        <v>25.5</v>
      </c>
      <c r="B156" s="12">
        <v>1973.76</v>
      </c>
      <c r="C156" s="36">
        <f t="shared" si="8"/>
        <v>1.97376</v>
      </c>
      <c r="D156" s="12">
        <f t="shared" si="10"/>
        <v>0.13816319999999999</v>
      </c>
      <c r="E156" s="12">
        <f t="shared" si="9"/>
        <v>6.1679999999999999E-3</v>
      </c>
      <c r="F156" s="12">
        <f>E156/Calculation!K$15*1000</f>
        <v>6.5757546095232197E-3</v>
      </c>
      <c r="G156" s="12">
        <f t="shared" si="12"/>
        <v>19.110393043779755</v>
      </c>
    </row>
    <row r="157" spans="1:7">
      <c r="A157" s="35">
        <v>26</v>
      </c>
      <c r="B157" s="12">
        <v>1761.2</v>
      </c>
      <c r="C157" s="36">
        <f t="shared" si="8"/>
        <v>1.7612000000000001</v>
      </c>
      <c r="D157" s="12">
        <f t="shared" si="10"/>
        <v>0.123284</v>
      </c>
      <c r="E157" s="12">
        <f t="shared" si="9"/>
        <v>5.5037500000000008E-3</v>
      </c>
      <c r="F157" s="12">
        <f>E157/Calculation!K$15*1000</f>
        <v>5.8675923203896606E-3</v>
      </c>
      <c r="G157" s="12">
        <f t="shared" si="12"/>
        <v>19.29704324772845</v>
      </c>
    </row>
    <row r="158" spans="1:7">
      <c r="A158" s="35">
        <v>26.5</v>
      </c>
      <c r="B158" s="12">
        <v>1599.31</v>
      </c>
      <c r="C158" s="36">
        <f t="shared" si="8"/>
        <v>1.59931</v>
      </c>
      <c r="D158" s="12">
        <f t="shared" si="10"/>
        <v>0.1119517</v>
      </c>
      <c r="E158" s="12">
        <f t="shared" si="9"/>
        <v>4.9978437500000005E-3</v>
      </c>
      <c r="F158" s="12">
        <f>E158/Calculation!K$15*1000</f>
        <v>5.3282415818319256E-3</v>
      </c>
      <c r="G158" s="12">
        <f t="shared" si="12"/>
        <v>19.464980756261774</v>
      </c>
    </row>
    <row r="159" spans="1:7">
      <c r="A159" s="35">
        <v>27</v>
      </c>
      <c r="B159" s="12">
        <v>1447.8</v>
      </c>
      <c r="C159" s="36">
        <f t="shared" si="8"/>
        <v>1.4478</v>
      </c>
      <c r="D159" s="12">
        <f t="shared" si="10"/>
        <v>0.10134599999999999</v>
      </c>
      <c r="E159" s="12">
        <f t="shared" si="9"/>
        <v>4.5243749999999998E-3</v>
      </c>
      <c r="F159" s="12">
        <f>E159/Calculation!K$15*1000</f>
        <v>4.8234727239723756E-3</v>
      </c>
      <c r="G159" s="12">
        <f t="shared" si="12"/>
        <v>19.617256470848837</v>
      </c>
    </row>
    <row r="160" spans="1:7">
      <c r="A160" s="35">
        <v>27.5</v>
      </c>
      <c r="B160" s="12">
        <v>1306.98</v>
      </c>
      <c r="C160" s="36">
        <f t="shared" si="8"/>
        <v>1.30698</v>
      </c>
      <c r="D160" s="12">
        <f t="shared" si="10"/>
        <v>9.1488600000000003E-2</v>
      </c>
      <c r="E160" s="12">
        <f t="shared" si="9"/>
        <v>4.0843125000000003E-3</v>
      </c>
      <c r="F160" s="12">
        <f>E160/Calculation!K$15*1000</f>
        <v>4.3543185390091292E-3</v>
      </c>
      <c r="G160" s="12">
        <f t="shared" si="12"/>
        <v>19.75492333979356</v>
      </c>
    </row>
    <row r="161" spans="1:7">
      <c r="A161" s="35">
        <v>28</v>
      </c>
      <c r="B161" s="12">
        <v>1206.3</v>
      </c>
      <c r="C161" s="36">
        <f t="shared" si="8"/>
        <v>1.2062999999999999</v>
      </c>
      <c r="D161" s="12">
        <f t="shared" si="10"/>
        <v>8.4441000000000002E-2</v>
      </c>
      <c r="E161" s="12">
        <f t="shared" si="9"/>
        <v>3.7696875000000005E-3</v>
      </c>
      <c r="F161" s="12">
        <f>E161/Calculation!K$15*1000</f>
        <v>4.0188942857631426E-3</v>
      </c>
      <c r="G161" s="12">
        <f t="shared" si="12"/>
        <v>19.880521532165144</v>
      </c>
    </row>
    <row r="162" spans="1:7">
      <c r="A162" s="35">
        <v>28.5</v>
      </c>
      <c r="B162" s="12">
        <v>1133.05</v>
      </c>
      <c r="C162" s="36">
        <f t="shared" si="8"/>
        <v>1.1330499999999999</v>
      </c>
      <c r="D162" s="12">
        <f t="shared" si="10"/>
        <v>7.9313499999999981E-2</v>
      </c>
      <c r="E162" s="12">
        <f t="shared" si="9"/>
        <v>3.5407812499999992E-3</v>
      </c>
      <c r="F162" s="12">
        <f>E162/Calculation!K$15*1000</f>
        <v>3.7748554841116866E-3</v>
      </c>
      <c r="G162" s="12">
        <f t="shared" si="12"/>
        <v>19.997427778713266</v>
      </c>
    </row>
    <row r="163" spans="1:7">
      <c r="A163" s="35">
        <v>29</v>
      </c>
      <c r="B163" s="12">
        <v>1088.56</v>
      </c>
      <c r="C163" s="36">
        <f t="shared" si="8"/>
        <v>1.08856</v>
      </c>
      <c r="D163" s="12">
        <f t="shared" si="10"/>
        <v>7.6199199999999995E-2</v>
      </c>
      <c r="E163" s="12">
        <f t="shared" si="9"/>
        <v>3.4017499999999998E-3</v>
      </c>
      <c r="F163" s="12">
        <f>E163/Calculation!K$15*1000</f>
        <v>3.6266331457434518E-3</v>
      </c>
      <c r="G163" s="12">
        <f t="shared" si="12"/>
        <v>20.108450108161094</v>
      </c>
    </row>
    <row r="164" spans="1:7">
      <c r="A164" s="35">
        <v>29.5</v>
      </c>
      <c r="B164" s="12">
        <v>1013.64</v>
      </c>
      <c r="C164" s="36">
        <f t="shared" si="8"/>
        <v>1.0136400000000001</v>
      </c>
      <c r="D164" s="12">
        <f t="shared" si="10"/>
        <v>7.0954800000000012E-2</v>
      </c>
      <c r="E164" s="12">
        <f t="shared" si="9"/>
        <v>3.1676250000000007E-3</v>
      </c>
      <c r="F164" s="12">
        <f>E164/Calculation!K$15*1000</f>
        <v>3.3770305925731182E-3</v>
      </c>
      <c r="G164" s="12">
        <f t="shared" si="12"/>
        <v>20.213505064235843</v>
      </c>
    </row>
    <row r="165" spans="1:7">
      <c r="A165" s="35">
        <v>30</v>
      </c>
      <c r="B165" s="12">
        <v>1000.09</v>
      </c>
      <c r="C165" s="36">
        <f t="shared" si="8"/>
        <v>1.0000899999999999</v>
      </c>
      <c r="D165" s="12">
        <f t="shared" si="10"/>
        <v>7.0006299999999994E-2</v>
      </c>
      <c r="E165" s="12">
        <f t="shared" si="9"/>
        <v>3.12528125E-3</v>
      </c>
      <c r="F165" s="12">
        <f>E165/Calculation!K$16*1000</f>
        <v>3.5324694396804981E-3</v>
      </c>
      <c r="G165" s="12">
        <f t="shared" si="12"/>
        <v>20.317147564719647</v>
      </c>
    </row>
    <row r="166" spans="1:7">
      <c r="A166" s="35">
        <v>30.5</v>
      </c>
      <c r="B166" s="12">
        <v>943.4</v>
      </c>
      <c r="C166" s="36">
        <f t="shared" si="8"/>
        <v>0.94340000000000002</v>
      </c>
      <c r="D166" s="12">
        <f t="shared" si="10"/>
        <v>6.6037999999999999E-2</v>
      </c>
      <c r="E166" s="12">
        <f t="shared" si="9"/>
        <v>2.9481250000000002E-3</v>
      </c>
      <c r="F166" s="12">
        <f>E166/Calculation!K$16*1000</f>
        <v>3.3322317685354143E-3</v>
      </c>
      <c r="G166" s="12">
        <f t="shared" si="12"/>
        <v>20.420118082842887</v>
      </c>
    </row>
    <row r="167" spans="1:7">
      <c r="A167" s="35">
        <v>31</v>
      </c>
      <c r="B167" s="12">
        <v>897.74</v>
      </c>
      <c r="C167" s="36">
        <f t="shared" si="8"/>
        <v>0.89773999999999998</v>
      </c>
      <c r="D167" s="12">
        <f t="shared" si="10"/>
        <v>6.2841800000000003E-2</v>
      </c>
      <c r="E167" s="12">
        <f t="shared" si="9"/>
        <v>2.8054375000000002E-3</v>
      </c>
      <c r="F167" s="12">
        <f>E167/Calculation!K$16*1000</f>
        <v>3.1709537289431656E-3</v>
      </c>
      <c r="G167" s="12">
        <f t="shared" si="12"/>
        <v>20.517665865305066</v>
      </c>
    </row>
    <row r="168" spans="1:7">
      <c r="A168" s="35">
        <v>31.5</v>
      </c>
      <c r="B168" s="12">
        <v>855.26</v>
      </c>
      <c r="C168" s="36">
        <f t="shared" si="8"/>
        <v>0.85526000000000002</v>
      </c>
      <c r="D168" s="12">
        <f t="shared" si="10"/>
        <v>5.9868200000000003E-2</v>
      </c>
      <c r="E168" s="12">
        <f t="shared" si="9"/>
        <v>2.6726875000000001E-3</v>
      </c>
      <c r="F168" s="12">
        <f>E168/Calculation!K$16*1000</f>
        <v>3.0209079312673291E-3</v>
      </c>
      <c r="G168" s="12">
        <f t="shared" si="12"/>
        <v>20.610543790208222</v>
      </c>
    </row>
    <row r="169" spans="1:7">
      <c r="A169" s="35">
        <v>32</v>
      </c>
      <c r="B169" s="12">
        <v>803.09</v>
      </c>
      <c r="C169" s="36">
        <f t="shared" si="8"/>
        <v>0.80309000000000008</v>
      </c>
      <c r="D169" s="12">
        <f t="shared" si="10"/>
        <v>5.6216300000000011E-2</v>
      </c>
      <c r="E169" s="12">
        <f t="shared" si="9"/>
        <v>2.5096562500000006E-3</v>
      </c>
      <c r="F169" s="12">
        <f>E169/Calculation!K$16*1000</f>
        <v>2.8366355851103522E-3</v>
      </c>
      <c r="G169" s="12">
        <f t="shared" si="12"/>
        <v>20.698406942953888</v>
      </c>
    </row>
    <row r="170" spans="1:7">
      <c r="A170" s="35">
        <v>32.5</v>
      </c>
      <c r="B170" s="12">
        <v>766.96</v>
      </c>
      <c r="C170" s="36">
        <f t="shared" ref="C170:C201" si="13">B170/1000</f>
        <v>0.76696000000000009</v>
      </c>
      <c r="D170" s="12">
        <f t="shared" si="10"/>
        <v>5.3687200000000011E-2</v>
      </c>
      <c r="E170" s="12">
        <f t="shared" ref="E170:E201" si="14">D170/22.4</f>
        <v>2.3967500000000004E-3</v>
      </c>
      <c r="F170" s="12">
        <f>E170/Calculation!K$16*1000</f>
        <v>2.7090189497518779E-3</v>
      </c>
      <c r="G170" s="12">
        <f t="shared" si="12"/>
        <v>20.78159176097682</v>
      </c>
    </row>
    <row r="171" spans="1:7">
      <c r="A171" s="35">
        <v>33</v>
      </c>
      <c r="B171" s="12">
        <v>739.2</v>
      </c>
      <c r="C171" s="36">
        <f t="shared" si="13"/>
        <v>0.73920000000000008</v>
      </c>
      <c r="D171" s="12">
        <f t="shared" ref="D171:D201" si="15">C171/1000*$B$1</f>
        <v>5.1744000000000005E-2</v>
      </c>
      <c r="E171" s="12">
        <f t="shared" si="14"/>
        <v>2.3100000000000004E-3</v>
      </c>
      <c r="F171" s="12">
        <f>E171/Calculation!K$16*1000</f>
        <v>2.6109664228337699E-3</v>
      </c>
      <c r="G171" s="12">
        <f t="shared" si="12"/>
        <v>20.861391541565606</v>
      </c>
    </row>
    <row r="172" spans="1:7">
      <c r="A172" s="35">
        <v>33.5</v>
      </c>
      <c r="B172" s="12">
        <v>693.04</v>
      </c>
      <c r="C172" s="36">
        <f t="shared" si="13"/>
        <v>0.69303999999999999</v>
      </c>
      <c r="D172" s="12">
        <f t="shared" si="15"/>
        <v>4.8512800000000002E-2</v>
      </c>
      <c r="E172" s="12">
        <f t="shared" si="14"/>
        <v>2.1657500000000001E-3</v>
      </c>
      <c r="F172" s="12">
        <f>E172/Calculation!K$16*1000</f>
        <v>2.4479223074685003E-3</v>
      </c>
      <c r="G172" s="12">
        <f t="shared" si="12"/>
        <v>20.937274872520138</v>
      </c>
    </row>
    <row r="173" spans="1:7">
      <c r="A173" s="35">
        <v>34</v>
      </c>
      <c r="B173" s="12">
        <v>656.75</v>
      </c>
      <c r="C173" s="36">
        <f t="shared" si="13"/>
        <v>0.65674999999999994</v>
      </c>
      <c r="D173" s="12">
        <f t="shared" si="15"/>
        <v>4.5972499999999999E-2</v>
      </c>
      <c r="E173" s="12">
        <f t="shared" si="14"/>
        <v>2.0523437499999999E-3</v>
      </c>
      <c r="F173" s="12">
        <f>E173/Calculation!K$16*1000</f>
        <v>2.3197405278626597E-3</v>
      </c>
      <c r="G173" s="12">
        <f t="shared" si="12"/>
        <v>21.008789815050104</v>
      </c>
    </row>
    <row r="174" spans="1:7">
      <c r="A174" s="35">
        <v>34.5</v>
      </c>
      <c r="B174" s="12">
        <v>629.66</v>
      </c>
      <c r="C174" s="36">
        <f t="shared" si="13"/>
        <v>0.62966</v>
      </c>
      <c r="D174" s="12">
        <f t="shared" si="15"/>
        <v>4.4076199999999996E-2</v>
      </c>
      <c r="E174" s="12">
        <f t="shared" si="14"/>
        <v>1.9676874999999998E-3</v>
      </c>
      <c r="F174" s="12">
        <f>E174/Calculation!K$16*1000</f>
        <v>2.2240545424803992E-3</v>
      </c>
      <c r="G174" s="12">
        <f t="shared" si="12"/>
        <v>21.07694674110525</v>
      </c>
    </row>
    <row r="175" spans="1:7">
      <c r="A175" s="35">
        <v>35</v>
      </c>
      <c r="B175" s="12">
        <v>582.33000000000004</v>
      </c>
      <c r="C175" s="36">
        <f t="shared" si="13"/>
        <v>0.58233000000000001</v>
      </c>
      <c r="D175" s="12">
        <f t="shared" si="15"/>
        <v>4.0763100000000003E-2</v>
      </c>
      <c r="E175" s="12">
        <f t="shared" si="14"/>
        <v>1.8197812500000002E-3</v>
      </c>
      <c r="F175" s="12">
        <f>E175/Calculation!K$16*1000</f>
        <v>2.0568778098062623E-3</v>
      </c>
      <c r="G175" s="12">
        <f t="shared" si="12"/>
        <v>21.14116072638955</v>
      </c>
    </row>
    <row r="176" spans="1:7">
      <c r="A176" s="35">
        <v>35.5</v>
      </c>
      <c r="B176" s="12">
        <v>551.39</v>
      </c>
      <c r="C176" s="36">
        <f t="shared" si="13"/>
        <v>0.55138999999999994</v>
      </c>
      <c r="D176" s="12">
        <f t="shared" si="15"/>
        <v>3.8597299999999994E-2</v>
      </c>
      <c r="E176" s="12">
        <f t="shared" si="14"/>
        <v>1.7230937499999998E-3</v>
      </c>
      <c r="F176" s="12">
        <f>E176/Calculation!K$16*1000</f>
        <v>1.9475930409717423E-3</v>
      </c>
      <c r="G176" s="12">
        <f t="shared" si="12"/>
        <v>21.201227789151222</v>
      </c>
    </row>
    <row r="177" spans="1:7">
      <c r="A177" s="35">
        <v>36</v>
      </c>
      <c r="B177" s="12">
        <v>525.97</v>
      </c>
      <c r="C177" s="36">
        <f t="shared" si="13"/>
        <v>0.52597000000000005</v>
      </c>
      <c r="D177" s="12">
        <f t="shared" si="15"/>
        <v>3.6817900000000008E-2</v>
      </c>
      <c r="E177" s="12">
        <f t="shared" si="14"/>
        <v>1.6436562500000004E-3</v>
      </c>
      <c r="F177" s="12">
        <f>E177/Calculation!K$16*1000</f>
        <v>1.8578057486713716E-3</v>
      </c>
      <c r="G177" s="12">
        <f t="shared" si="12"/>
        <v>21.258308770995868</v>
      </c>
    </row>
    <row r="178" spans="1:7">
      <c r="A178" s="35">
        <v>36.5</v>
      </c>
      <c r="B178" s="12">
        <v>486.84</v>
      </c>
      <c r="C178" s="36">
        <f t="shared" si="13"/>
        <v>0.48683999999999999</v>
      </c>
      <c r="D178" s="12">
        <f t="shared" si="15"/>
        <v>3.4078799999999999E-2</v>
      </c>
      <c r="E178" s="12">
        <f t="shared" si="14"/>
        <v>1.5213750000000002E-3</v>
      </c>
      <c r="F178" s="12">
        <f>E178/Calculation!K$16*1000</f>
        <v>1.7195926586747732E-3</v>
      </c>
      <c r="G178" s="12">
        <f t="shared" si="12"/>
        <v>21.311969747106058</v>
      </c>
    </row>
    <row r="179" spans="1:7">
      <c r="A179" s="35">
        <v>37</v>
      </c>
      <c r="B179" s="12">
        <v>458.74</v>
      </c>
      <c r="C179" s="36">
        <f t="shared" si="13"/>
        <v>0.45874000000000004</v>
      </c>
      <c r="D179" s="12">
        <f t="shared" si="15"/>
        <v>3.2111800000000003E-2</v>
      </c>
      <c r="E179" s="12">
        <f t="shared" si="14"/>
        <v>1.4335625000000002E-3</v>
      </c>
      <c r="F179" s="12">
        <f>E179/Calculation!K$16*1000</f>
        <v>1.6203392002310112E-3</v>
      </c>
      <c r="G179" s="12">
        <f t="shared" si="12"/>
        <v>21.362068724989644</v>
      </c>
    </row>
    <row r="180" spans="1:7">
      <c r="A180" s="35">
        <v>37.5</v>
      </c>
      <c r="B180" s="12">
        <v>435.83</v>
      </c>
      <c r="C180" s="36">
        <f t="shared" si="13"/>
        <v>0.43583</v>
      </c>
      <c r="D180" s="12">
        <f t="shared" si="15"/>
        <v>3.05081E-2</v>
      </c>
      <c r="E180" s="12">
        <f t="shared" si="14"/>
        <v>1.3619687500000001E-3</v>
      </c>
      <c r="F180" s="12">
        <f>E180/Calculation!K$16*1000</f>
        <v>1.5394176083112037E-3</v>
      </c>
      <c r="G180" s="12">
        <f t="shared" si="12"/>
        <v>21.409465077117776</v>
      </c>
    </row>
    <row r="181" spans="1:7">
      <c r="A181" s="35">
        <v>38</v>
      </c>
      <c r="B181" s="12">
        <v>402.21</v>
      </c>
      <c r="C181" s="36">
        <f t="shared" si="13"/>
        <v>0.40220999999999996</v>
      </c>
      <c r="D181" s="12">
        <f t="shared" si="15"/>
        <v>2.8154699999999998E-2</v>
      </c>
      <c r="E181" s="12">
        <f t="shared" si="14"/>
        <v>1.25690625E-3</v>
      </c>
      <c r="F181" s="12">
        <f>E181/Calculation!K$16*1000</f>
        <v>1.4206666733332931E-3</v>
      </c>
      <c r="G181" s="12">
        <f t="shared" si="12"/>
        <v>21.453866341342444</v>
      </c>
    </row>
    <row r="182" spans="1:7">
      <c r="A182" s="35">
        <v>38.5</v>
      </c>
      <c r="B182" s="12">
        <v>374.12</v>
      </c>
      <c r="C182" s="36">
        <f t="shared" si="13"/>
        <v>0.37412000000000001</v>
      </c>
      <c r="D182" s="12">
        <f t="shared" si="15"/>
        <v>2.6188400000000001E-2</v>
      </c>
      <c r="E182" s="12">
        <f t="shared" si="14"/>
        <v>1.169125E-3</v>
      </c>
      <c r="F182" s="12">
        <f>E182/Calculation!K$16*1000</f>
        <v>1.3214485364049914E-3</v>
      </c>
      <c r="G182" s="12">
        <f t="shared" si="12"/>
        <v>21.494998069488517</v>
      </c>
    </row>
    <row r="183" spans="1:7">
      <c r="A183" s="35">
        <v>39</v>
      </c>
      <c r="B183" s="12">
        <v>355.72</v>
      </c>
      <c r="C183" s="36">
        <f t="shared" si="13"/>
        <v>0.35572000000000004</v>
      </c>
      <c r="D183" s="12">
        <f t="shared" si="15"/>
        <v>2.49004E-2</v>
      </c>
      <c r="E183" s="12">
        <f t="shared" si="14"/>
        <v>1.111625E-3</v>
      </c>
      <c r="F183" s="12">
        <f>E183/Calculation!K$16*1000</f>
        <v>1.2564569479578305E-3</v>
      </c>
      <c r="G183" s="12">
        <f t="shared" si="12"/>
        <v>21.533666651753958</v>
      </c>
    </row>
    <row r="184" spans="1:7">
      <c r="A184" s="35">
        <v>39.5</v>
      </c>
      <c r="B184" s="12">
        <v>357.89</v>
      </c>
      <c r="C184" s="36">
        <f t="shared" si="13"/>
        <v>0.35788999999999999</v>
      </c>
      <c r="D184" s="12">
        <f t="shared" si="15"/>
        <v>2.50523E-2</v>
      </c>
      <c r="E184" s="12">
        <f t="shared" si="14"/>
        <v>1.11840625E-3</v>
      </c>
      <c r="F184" s="12">
        <f>E184/Calculation!K$16*1000</f>
        <v>1.2641217168127405E-3</v>
      </c>
      <c r="G184" s="12">
        <f t="shared" si="12"/>
        <v>21.571475331725516</v>
      </c>
    </row>
    <row r="185" spans="1:7">
      <c r="A185" s="35">
        <v>40</v>
      </c>
      <c r="B185" s="12">
        <v>329.63</v>
      </c>
      <c r="C185" s="36">
        <f t="shared" si="13"/>
        <v>0.32962999999999998</v>
      </c>
      <c r="D185" s="12">
        <f t="shared" si="15"/>
        <v>2.3074099999999997E-2</v>
      </c>
      <c r="E185" s="12">
        <f t="shared" si="14"/>
        <v>1.03009375E-3</v>
      </c>
      <c r="F185" s="12">
        <f>E185/Calculation!K$16*1000</f>
        <v>1.1643031141216117E-3</v>
      </c>
      <c r="G185" s="12">
        <f t="shared" si="12"/>
        <v>21.60790170418953</v>
      </c>
    </row>
    <row r="186" spans="1:7">
      <c r="A186" s="35">
        <v>40.5</v>
      </c>
      <c r="B186" s="12">
        <v>313.07</v>
      </c>
      <c r="C186" s="36">
        <f t="shared" si="13"/>
        <v>0.31307000000000001</v>
      </c>
      <c r="D186" s="12">
        <f t="shared" si="15"/>
        <v>2.1914900000000001E-2</v>
      </c>
      <c r="E186" s="12">
        <f t="shared" si="14"/>
        <v>9.7834375000000005E-4</v>
      </c>
      <c r="F186" s="12">
        <f>E186/Calculation!K$16*1000</f>
        <v>1.1058106845191669E-3</v>
      </c>
      <c r="G186" s="12">
        <f t="shared" si="12"/>
        <v>21.641953411169141</v>
      </c>
    </row>
    <row r="187" spans="1:7">
      <c r="A187" s="35">
        <v>41</v>
      </c>
      <c r="B187" s="12">
        <v>297.19</v>
      </c>
      <c r="C187" s="36">
        <f t="shared" si="13"/>
        <v>0.29719000000000001</v>
      </c>
      <c r="D187" s="12">
        <f t="shared" si="15"/>
        <v>2.08033E-2</v>
      </c>
      <c r="E187" s="12">
        <f t="shared" si="14"/>
        <v>9.2871875000000007E-4</v>
      </c>
      <c r="F187" s="12">
        <f>E187/Calculation!K$16*1000</f>
        <v>1.0497201179680302E-3</v>
      </c>
      <c r="G187" s="12">
        <f t="shared" si="12"/>
        <v>21.674286373206449</v>
      </c>
    </row>
    <row r="188" spans="1:7">
      <c r="A188" s="35">
        <v>41.5</v>
      </c>
      <c r="B188" s="12">
        <v>269.93</v>
      </c>
      <c r="C188" s="36">
        <f t="shared" si="13"/>
        <v>0.26993</v>
      </c>
      <c r="D188" s="12">
        <f t="shared" si="15"/>
        <v>1.8895099999999998E-2</v>
      </c>
      <c r="E188" s="12">
        <f t="shared" si="14"/>
        <v>8.4353124999999999E-4</v>
      </c>
      <c r="F188" s="12">
        <f>E188/Calculation!K$16*1000</f>
        <v>9.5343366682294284E-4</v>
      </c>
      <c r="G188" s="12">
        <f t="shared" si="12"/>
        <v>21.704333679978316</v>
      </c>
    </row>
    <row r="189" spans="1:7">
      <c r="A189" s="35">
        <v>42</v>
      </c>
      <c r="B189" s="12">
        <v>266.91000000000003</v>
      </c>
      <c r="C189" s="36">
        <f t="shared" si="13"/>
        <v>0.26691000000000004</v>
      </c>
      <c r="D189" s="12">
        <f t="shared" si="15"/>
        <v>1.8683700000000001E-2</v>
      </c>
      <c r="E189" s="12">
        <f t="shared" si="14"/>
        <v>8.3409375000000009E-4</v>
      </c>
      <c r="F189" s="12">
        <f>E189/Calculation!K$16*1000</f>
        <v>9.4276656915389799E-4</v>
      </c>
      <c r="G189" s="12">
        <f t="shared" si="12"/>
        <v>21.732776683517969</v>
      </c>
    </row>
    <row r="190" spans="1:7">
      <c r="A190" s="35">
        <v>42.5</v>
      </c>
      <c r="B190" s="12">
        <v>250.69</v>
      </c>
      <c r="C190" s="36">
        <f t="shared" si="13"/>
        <v>0.25069000000000002</v>
      </c>
      <c r="D190" s="12">
        <f t="shared" si="15"/>
        <v>1.7548300000000003E-2</v>
      </c>
      <c r="E190" s="12">
        <f t="shared" si="14"/>
        <v>7.8340625000000014E-4</v>
      </c>
      <c r="F190" s="12">
        <f>E190/Calculation!K$16*1000</f>
        <v>8.8547507107710735E-4</v>
      </c>
      <c r="G190" s="12">
        <f t="shared" si="12"/>
        <v>21.760200308121433</v>
      </c>
    </row>
    <row r="191" spans="1:7">
      <c r="A191" s="35">
        <v>43</v>
      </c>
      <c r="B191" s="12">
        <v>230.79</v>
      </c>
      <c r="C191" s="36">
        <f t="shared" si="13"/>
        <v>0.23079</v>
      </c>
      <c r="D191" s="12">
        <f t="shared" si="15"/>
        <v>1.6155300000000001E-2</v>
      </c>
      <c r="E191" s="12">
        <f t="shared" si="14"/>
        <v>7.2121875000000007E-4</v>
      </c>
      <c r="F191" s="12">
        <f>E191/Calculation!K$16*1000</f>
        <v>8.1518525531088426E-4</v>
      </c>
      <c r="G191" s="12">
        <f t="shared" si="12"/>
        <v>21.785710213017254</v>
      </c>
    </row>
    <row r="192" spans="1:7">
      <c r="A192" s="35">
        <v>43.5</v>
      </c>
      <c r="B192" s="12">
        <v>235.14</v>
      </c>
      <c r="C192" s="36">
        <f t="shared" si="13"/>
        <v>0.23513999999999999</v>
      </c>
      <c r="D192" s="12">
        <f t="shared" si="15"/>
        <v>1.6459799999999997E-2</v>
      </c>
      <c r="E192" s="12">
        <f t="shared" si="14"/>
        <v>7.348124999999999E-4</v>
      </c>
      <c r="F192" s="12">
        <f>E192/Calculation!K$16*1000</f>
        <v>8.3055011453616397E-4</v>
      </c>
      <c r="G192" s="12">
        <f t="shared" si="12"/>
        <v>21.810396243564959</v>
      </c>
    </row>
    <row r="193" spans="1:7">
      <c r="A193" s="35">
        <v>44</v>
      </c>
      <c r="B193" s="12">
        <v>218.08</v>
      </c>
      <c r="C193" s="36">
        <f t="shared" si="13"/>
        <v>0.21808000000000002</v>
      </c>
      <c r="D193" s="12">
        <f t="shared" si="15"/>
        <v>1.5265600000000002E-2</v>
      </c>
      <c r="E193" s="12">
        <f t="shared" si="14"/>
        <v>6.8150000000000014E-4</v>
      </c>
      <c r="F193" s="12">
        <f>E193/Calculation!K$16*1000</f>
        <v>7.7029160916069876E-4</v>
      </c>
      <c r="G193" s="12">
        <f t="shared" si="12"/>
        <v>21.834408869420411</v>
      </c>
    </row>
    <row r="194" spans="1:7">
      <c r="A194" s="35">
        <v>44.5</v>
      </c>
      <c r="B194" s="12">
        <v>203.87</v>
      </c>
      <c r="C194" s="36">
        <f t="shared" si="13"/>
        <v>0.20387</v>
      </c>
      <c r="D194" s="12">
        <f t="shared" si="15"/>
        <v>1.42709E-2</v>
      </c>
      <c r="E194" s="12">
        <f t="shared" si="14"/>
        <v>6.3709375000000007E-4</v>
      </c>
      <c r="F194" s="12">
        <f>E194/Calculation!K$16*1000</f>
        <v>7.2009973569145099E-4</v>
      </c>
      <c r="G194" s="12">
        <f t="shared" si="12"/>
        <v>21.856764739593192</v>
      </c>
    </row>
    <row r="195" spans="1:7">
      <c r="A195" s="35">
        <v>45</v>
      </c>
      <c r="B195" s="12">
        <v>187.14</v>
      </c>
      <c r="C195" s="36">
        <f t="shared" si="13"/>
        <v>0.18713999999999997</v>
      </c>
      <c r="D195" s="12">
        <f t="shared" si="15"/>
        <v>1.3099799999999998E-2</v>
      </c>
      <c r="E195" s="12">
        <f t="shared" si="14"/>
        <v>5.8481249999999994E-4</v>
      </c>
      <c r="F195" s="12">
        <f>E195/Calculation!K$16*1000</f>
        <v>6.6100684032617898E-4</v>
      </c>
      <c r="G195" s="12">
        <f t="shared" si="12"/>
        <v>21.877481338233455</v>
      </c>
    </row>
    <row r="196" spans="1:7">
      <c r="A196" s="35">
        <v>45.5</v>
      </c>
      <c r="B196" s="12">
        <v>172.76</v>
      </c>
      <c r="C196" s="36">
        <f t="shared" si="13"/>
        <v>0.17276</v>
      </c>
      <c r="D196" s="12">
        <f t="shared" si="15"/>
        <v>1.20932E-2</v>
      </c>
      <c r="E196" s="12">
        <f t="shared" si="14"/>
        <v>5.3987499999999999E-4</v>
      </c>
      <c r="F196" s="12">
        <f>E196/Calculation!K$16*1000</f>
        <v>6.1021450109410434E-4</v>
      </c>
      <c r="G196" s="12">
        <f t="shared" si="12"/>
        <v>21.896549658354758</v>
      </c>
    </row>
    <row r="197" spans="1:7">
      <c r="A197" s="35">
        <v>46</v>
      </c>
      <c r="B197" s="12">
        <v>174.6</v>
      </c>
      <c r="C197" s="36">
        <f t="shared" si="13"/>
        <v>0.17460000000000001</v>
      </c>
      <c r="D197" s="12">
        <f t="shared" si="15"/>
        <v>1.2222E-2</v>
      </c>
      <c r="E197" s="12">
        <f t="shared" si="14"/>
        <v>5.4562499999999999E-4</v>
      </c>
      <c r="F197" s="12">
        <f>E197/Calculation!K$16*1000</f>
        <v>6.1671365993882046E-4</v>
      </c>
      <c r="G197" s="12">
        <f t="shared" si="12"/>
        <v>21.914953580770252</v>
      </c>
    </row>
    <row r="198" spans="1:7">
      <c r="A198" s="35">
        <v>46.5</v>
      </c>
      <c r="B198" s="12">
        <v>184.97</v>
      </c>
      <c r="C198" s="36">
        <f t="shared" si="13"/>
        <v>0.18497</v>
      </c>
      <c r="D198" s="12">
        <f t="shared" si="15"/>
        <v>1.2947899999999998E-2</v>
      </c>
      <c r="E198" s="12">
        <f t="shared" si="14"/>
        <v>5.7803124999999999E-4</v>
      </c>
      <c r="F198" s="12">
        <f>E198/Calculation!K$16*1000</f>
        <v>6.5334207147126934E-4</v>
      </c>
      <c r="G198" s="12">
        <f t="shared" si="12"/>
        <v>21.934004416741402</v>
      </c>
    </row>
    <row r="199" spans="1:7">
      <c r="A199" s="35">
        <v>47</v>
      </c>
      <c r="B199" s="12">
        <v>182.63</v>
      </c>
      <c r="C199" s="36">
        <f t="shared" si="13"/>
        <v>0.18262999999999999</v>
      </c>
      <c r="D199" s="12">
        <f t="shared" si="15"/>
        <v>1.2784099999999998E-2</v>
      </c>
      <c r="E199" s="12">
        <f t="shared" si="14"/>
        <v>5.7071874999999994E-4</v>
      </c>
      <c r="F199" s="12">
        <f>E199/Calculation!K$16*1000</f>
        <v>6.450768368535325E-4</v>
      </c>
      <c r="G199" s="12">
        <f t="shared" si="12"/>
        <v>21.953480700366274</v>
      </c>
    </row>
    <row r="200" spans="1:7">
      <c r="A200" s="35">
        <v>47.5</v>
      </c>
      <c r="B200" s="12">
        <v>167.57</v>
      </c>
      <c r="C200" s="36">
        <f t="shared" si="13"/>
        <v>0.16757</v>
      </c>
      <c r="D200" s="12">
        <f t="shared" si="15"/>
        <v>1.17299E-2</v>
      </c>
      <c r="E200" s="12">
        <f t="shared" si="14"/>
        <v>5.2365625000000003E-4</v>
      </c>
      <c r="F200" s="12">
        <f>E200/Calculation!K$16*1000</f>
        <v>5.9188263457014985E-4</v>
      </c>
      <c r="G200" s="12">
        <f t="shared" si="12"/>
        <v>21.972035092437629</v>
      </c>
    </row>
    <row r="201" spans="1:7">
      <c r="A201" s="35">
        <v>48</v>
      </c>
      <c r="B201" s="12">
        <v>214.23</v>
      </c>
      <c r="C201" s="36">
        <f t="shared" si="13"/>
        <v>0.21422999999999998</v>
      </c>
      <c r="D201" s="12">
        <f t="shared" si="15"/>
        <v>1.4996099999999998E-2</v>
      </c>
      <c r="E201" s="12">
        <f t="shared" si="14"/>
        <v>6.6946874999999993E-4</v>
      </c>
      <c r="F201" s="12">
        <f>E201/Calculation!K$17*1000</f>
        <v>8.1566768622528412E-4</v>
      </c>
      <c r="G201" s="12">
        <f t="shared" si="12"/>
        <v>21.993148347249562</v>
      </c>
    </row>
  </sheetData>
  <mergeCells count="6">
    <mergeCell ref="D103:F103"/>
    <mergeCell ref="A3:A4"/>
    <mergeCell ref="B3:C3"/>
    <mergeCell ref="D3:F3"/>
    <mergeCell ref="A103:A104"/>
    <mergeCell ref="B103:C10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B1" workbookViewId="0">
      <selection activeCell="E6" sqref="E6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17" t="s">
        <v>41</v>
      </c>
      <c r="B1" s="117"/>
      <c r="D1" s="144" t="s">
        <v>4</v>
      </c>
      <c r="E1" s="144" t="s">
        <v>5</v>
      </c>
      <c r="F1" s="117" t="s">
        <v>143</v>
      </c>
      <c r="G1" s="117"/>
      <c r="H1" s="117"/>
      <c r="I1" s="117"/>
      <c r="J1" s="117" t="s">
        <v>42</v>
      </c>
      <c r="K1" s="117"/>
      <c r="L1" s="117"/>
      <c r="M1" s="117"/>
      <c r="N1" s="142" t="s">
        <v>43</v>
      </c>
      <c r="O1" s="115"/>
      <c r="P1" s="115"/>
      <c r="Q1" s="143"/>
      <c r="R1" s="117" t="s">
        <v>65</v>
      </c>
      <c r="S1" s="117"/>
      <c r="T1" s="117"/>
      <c r="U1" s="117"/>
    </row>
    <row r="2" spans="1:21">
      <c r="A2" s="117" t="s">
        <v>34</v>
      </c>
      <c r="B2" s="117"/>
      <c r="D2" s="144"/>
      <c r="E2" s="144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17" t="s">
        <v>35</v>
      </c>
      <c r="B3" s="14" t="s">
        <v>38</v>
      </c>
      <c r="D3" s="16">
        <v>0</v>
      </c>
      <c r="E3" s="62">
        <v>-0.16666666666666666</v>
      </c>
      <c r="F3" s="52">
        <v>48.3755180580225</v>
      </c>
      <c r="G3" s="52">
        <v>7.5564601305000784E-2</v>
      </c>
      <c r="H3" s="13">
        <f>F3*Calculation!I3/Calculation!F19</f>
        <v>48.407768403394513</v>
      </c>
      <c r="I3" s="13">
        <f>G3*Calculation!I3/Calculation!F19</f>
        <v>7.5614977705870792E-2</v>
      </c>
      <c r="J3" s="13">
        <v>0.71788040260509167</v>
      </c>
      <c r="K3" s="13">
        <v>2.5637223321031358E-2</v>
      </c>
      <c r="L3" s="13">
        <f>J3*Calculation!I3/Calculation!F19</f>
        <v>0.71835898954016175</v>
      </c>
      <c r="M3" s="13">
        <f>K3*Calculation!I3/Calculation!F19</f>
        <v>2.5654314803245381E-2</v>
      </c>
      <c r="N3" s="13">
        <v>49.603108520677218</v>
      </c>
      <c r="O3" s="13">
        <v>6.9331090739920637E-2</v>
      </c>
      <c r="P3" s="13">
        <f>N3*Calculation!I3/Calculation!F19</f>
        <v>49.636177259691003</v>
      </c>
      <c r="Q3" s="13">
        <f>O3*Calculation!I3/Calculation!F19</f>
        <v>6.937731146708058E-2</v>
      </c>
      <c r="R3" s="13">
        <v>0</v>
      </c>
      <c r="S3" s="13">
        <v>0</v>
      </c>
      <c r="T3" s="13">
        <f>R3*Calculation!I3/Calculation!F19</f>
        <v>0</v>
      </c>
      <c r="U3" s="13">
        <f>S3*Calculation!I3/Calculation!F19</f>
        <v>0</v>
      </c>
    </row>
    <row r="4" spans="1:21">
      <c r="A4" s="117"/>
      <c r="B4" s="14" t="s">
        <v>39</v>
      </c>
      <c r="D4" s="16">
        <v>0</v>
      </c>
      <c r="E4" s="65">
        <v>0.16666666666666666</v>
      </c>
      <c r="F4" s="52">
        <v>46.950858496151575</v>
      </c>
      <c r="G4" s="52">
        <v>0.12962018863333882</v>
      </c>
      <c r="H4" s="13">
        <f>F4*Calculation!I4/Calculation!K3</f>
        <v>47.011638313629504</v>
      </c>
      <c r="I4" s="13">
        <f>G4*Calculation!I4/Calculation!K3</f>
        <v>0.12978798729898483</v>
      </c>
      <c r="J4" s="13">
        <v>0.74008288928359978</v>
      </c>
      <c r="K4" s="13">
        <v>2.5637223321031358E-2</v>
      </c>
      <c r="L4" s="13">
        <f>J4*Calculation!I4/Calculation!K3</f>
        <v>0.74104095702442452</v>
      </c>
      <c r="M4" s="13">
        <f>K4*Calculation!I4/Calculation!K3</f>
        <v>2.5670411761115383E-2</v>
      </c>
      <c r="N4" s="13">
        <v>48.570635581459896</v>
      </c>
      <c r="O4" s="13">
        <v>9.6144924094856532E-2</v>
      </c>
      <c r="P4" s="13">
        <f>N4*Calculation!I4/Calculation!K3</f>
        <v>48.633512266998459</v>
      </c>
      <c r="Q4" s="13">
        <f>O4*Calculation!I4/Calculation!K3</f>
        <v>9.6269387653672892E-2</v>
      </c>
      <c r="R4" s="13">
        <v>0.21724961981316532</v>
      </c>
      <c r="S4" s="13">
        <v>0.15666092876228499</v>
      </c>
      <c r="T4" s="13">
        <f>R4*Calculation!I4/Calculation!K3</f>
        <v>0.21753085838179503</v>
      </c>
      <c r="U4" s="13">
        <f>S4*Calculation!I4/Calculation!K3</f>
        <v>0.1568637327782515</v>
      </c>
    </row>
    <row r="5" spans="1:21">
      <c r="A5" s="15" t="s">
        <v>37</v>
      </c>
      <c r="B5" s="15">
        <v>180.16</v>
      </c>
      <c r="D5" s="16">
        <v>1</v>
      </c>
      <c r="E5" s="65">
        <v>2</v>
      </c>
      <c r="F5" s="52">
        <v>47.169182948490231</v>
      </c>
      <c r="G5" s="52">
        <v>0.18542732114220936</v>
      </c>
      <c r="H5" s="13">
        <f>F5*Calculation!I5/Calculation!K4</f>
        <v>47.230245395951698</v>
      </c>
      <c r="I5" s="13">
        <f>G5*Calculation!I5/Calculation!K4</f>
        <v>0.18566736443631374</v>
      </c>
      <c r="J5" s="13">
        <v>0.74748371817643589</v>
      </c>
      <c r="K5" s="13">
        <v>2.5637223321031358E-2</v>
      </c>
      <c r="L5" s="13">
        <f>J5*Calculation!I5/Calculation!K4</f>
        <v>0.74845136659466893</v>
      </c>
      <c r="M5" s="13">
        <f>K5*Calculation!I5/Calculation!K4</f>
        <v>2.5670411761115383E-2</v>
      </c>
      <c r="N5" s="13">
        <v>48.970302525673048</v>
      </c>
      <c r="O5" s="13">
        <v>0.30946122375279245</v>
      </c>
      <c r="P5" s="13">
        <f>N5*Calculation!I5/Calculation!K4</f>
        <v>49.033696596509756</v>
      </c>
      <c r="Q5" s="13">
        <f>O5*Calculation!I5/Calculation!K4</f>
        <v>0.30986183403551459</v>
      </c>
      <c r="R5" s="13">
        <v>0.1013831559128105</v>
      </c>
      <c r="S5" s="13">
        <v>2.5085825296094974E-2</v>
      </c>
      <c r="T5" s="13">
        <f>R5*Calculation!I5/Calculation!K4</f>
        <v>0.10151440057817103</v>
      </c>
      <c r="U5" s="13">
        <f>S5*Calculation!I5/Calculation!K4</f>
        <v>2.5118299928755944E-2</v>
      </c>
    </row>
    <row r="6" spans="1:21">
      <c r="A6" s="15" t="s">
        <v>40</v>
      </c>
      <c r="B6" s="15">
        <v>180.16</v>
      </c>
      <c r="D6" s="16">
        <v>2</v>
      </c>
      <c r="E6" s="65">
        <v>3.3333333333333335</v>
      </c>
      <c r="F6" s="52">
        <v>45.489194789816466</v>
      </c>
      <c r="G6" s="52">
        <v>0.28526811533759727</v>
      </c>
      <c r="H6" s="13">
        <f>F6*Calculation!I6/Calculation!K5</f>
        <v>45.580249148381625</v>
      </c>
      <c r="I6" s="13">
        <f>G6*Calculation!I6/Calculation!K5</f>
        <v>0.28583912797875688</v>
      </c>
      <c r="J6" s="13">
        <v>0.74748371817643589</v>
      </c>
      <c r="K6" s="13">
        <v>3.3914858606837212E-2</v>
      </c>
      <c r="L6" s="13">
        <f>J6*Calculation!I6/Calculation!K5</f>
        <v>0.74897993394395901</v>
      </c>
      <c r="M6" s="13">
        <f>K6*Calculation!I6/Calculation!K5</f>
        <v>3.3982744963378414E-2</v>
      </c>
      <c r="N6" s="13">
        <v>47.293921731890094</v>
      </c>
      <c r="O6" s="13">
        <v>0.218399284739449</v>
      </c>
      <c r="P6" s="13">
        <f>N6*Calculation!I6/Calculation!K5</f>
        <v>47.388588558313941</v>
      </c>
      <c r="Q6" s="13">
        <f>O6*Calculation!I6/Calculation!K5</f>
        <v>0.2188364480454808</v>
      </c>
      <c r="R6" s="13">
        <v>0.18828300383807664</v>
      </c>
      <c r="S6" s="13">
        <v>2.5085825296094974E-2</v>
      </c>
      <c r="T6" s="13">
        <f>R6*Calculation!I6/Calculation!K5</f>
        <v>0.18865988428677244</v>
      </c>
      <c r="U6" s="13">
        <f>S6*Calculation!I6/Calculation!K5</f>
        <v>2.5136038841135012E-2</v>
      </c>
    </row>
    <row r="7" spans="1:21">
      <c r="A7" s="32" t="s">
        <v>117</v>
      </c>
      <c r="B7" s="32">
        <v>46.03</v>
      </c>
      <c r="D7" s="16">
        <v>3</v>
      </c>
      <c r="E7" s="65">
        <v>4.666666666666667</v>
      </c>
      <c r="F7" s="52">
        <v>46.399496743635289</v>
      </c>
      <c r="G7" s="52">
        <v>0.76383761036604225</v>
      </c>
      <c r="H7" s="13">
        <f>F7*Calculation!I7/Calculation!K6</f>
        <v>46.492373226352974</v>
      </c>
      <c r="I7" s="13">
        <f>G7*Calculation!I7/Calculation!K6</f>
        <v>0.7653665612296745</v>
      </c>
      <c r="J7" s="13">
        <v>0.76968620485494388</v>
      </c>
      <c r="K7" s="13">
        <v>2.5637223321031275E-2</v>
      </c>
      <c r="L7" s="13">
        <f>J7*Calculation!I7/Calculation!K6</f>
        <v>0.77122686267496776</v>
      </c>
      <c r="M7" s="13">
        <f>K7*Calculation!I7/Calculation!K6</f>
        <v>2.5688540582980497E-2</v>
      </c>
      <c r="N7" s="13">
        <v>48.037746322509022</v>
      </c>
      <c r="O7" s="13">
        <v>0.86230795355565282</v>
      </c>
      <c r="P7" s="13">
        <f>N7*Calculation!I7/Calculation!K6</f>
        <v>48.133902040334377</v>
      </c>
      <c r="Q7" s="13">
        <f>O7*Calculation!I7/Calculation!K6</f>
        <v>0.86403400955553211</v>
      </c>
      <c r="R7" s="13">
        <v>0.31863277572597581</v>
      </c>
      <c r="S7" s="13">
        <v>2.5085825296094974E-2</v>
      </c>
      <c r="T7" s="13">
        <f>R7*Calculation!I7/Calculation!K6</f>
        <v>0.31927057340838411</v>
      </c>
      <c r="U7" s="13">
        <f>S7*Calculation!I7/Calculation!K6</f>
        <v>2.5136038841135012E-2</v>
      </c>
    </row>
    <row r="8" spans="1:21">
      <c r="A8" s="15" t="s">
        <v>43</v>
      </c>
      <c r="B8" s="15">
        <v>60.05</v>
      </c>
      <c r="D8" s="16">
        <v>4</v>
      </c>
      <c r="E8" s="65">
        <v>6</v>
      </c>
      <c r="F8" s="52">
        <v>46.573416222616927</v>
      </c>
      <c r="G8" s="52">
        <v>0.10073014793380751</v>
      </c>
      <c r="H8" s="13">
        <f>F8*Calculation!I8/Calculation!K7</f>
        <v>46.701728534621623</v>
      </c>
      <c r="I8" s="13">
        <f>G8*Calculation!I8/Calculation!K7</f>
        <v>0.1010076650072423</v>
      </c>
      <c r="J8" s="13">
        <v>0.82149200710479575</v>
      </c>
      <c r="K8" s="13">
        <v>2.2202486678508014E-2</v>
      </c>
      <c r="L8" s="13">
        <f>J8*Calculation!I8/Calculation!K7</f>
        <v>0.82375526256840936</v>
      </c>
      <c r="M8" s="13">
        <f>K8*Calculation!I8/Calculation!K7</f>
        <v>2.2263655745092169E-2</v>
      </c>
      <c r="N8" s="13">
        <v>48.281987232861511</v>
      </c>
      <c r="O8" s="13">
        <v>8.381720161277359E-2</v>
      </c>
      <c r="P8" s="13">
        <f>N8*Calculation!I8/Calculation!K7</f>
        <v>48.415006751558977</v>
      </c>
      <c r="Q8" s="13">
        <f>O8*Calculation!I8/Calculation!K7</f>
        <v>8.4048122592958754E-2</v>
      </c>
      <c r="R8" s="13">
        <v>0.69519878340212904</v>
      </c>
      <c r="S8" s="13">
        <v>0</v>
      </c>
      <c r="T8" s="13">
        <f>R8*Calculation!I8/Calculation!K7</f>
        <v>0.69711409411875747</v>
      </c>
      <c r="U8" s="13">
        <f>S8*Calculation!I8/Calculation!K7</f>
        <v>0</v>
      </c>
    </row>
    <row r="9" spans="1:21">
      <c r="A9" s="32" t="s">
        <v>67</v>
      </c>
      <c r="B9" s="32">
        <v>74.08</v>
      </c>
      <c r="D9" s="16">
        <v>5</v>
      </c>
      <c r="E9" s="65">
        <v>7.333333333333333</v>
      </c>
      <c r="F9" s="52">
        <v>46.036856127886317</v>
      </c>
      <c r="G9" s="52">
        <v>0.22450875239960835</v>
      </c>
      <c r="H9" s="13">
        <f>F9*Calculation!I9/Calculation!K8</f>
        <v>46.199727416322446</v>
      </c>
      <c r="I9" s="13">
        <f>G9*Calculation!I9/Calculation!K8</f>
        <v>0.22530302969923399</v>
      </c>
      <c r="J9" s="13">
        <v>0.83629366489046775</v>
      </c>
      <c r="K9" s="13">
        <v>1.2818611660515681E-2</v>
      </c>
      <c r="L9" s="13">
        <f>J9*Calculation!I9/Calculation!K8</f>
        <v>0.83925234274486571</v>
      </c>
      <c r="M9" s="13">
        <f>K9*Calculation!I9/Calculation!K8</f>
        <v>1.2863961929250602E-2</v>
      </c>
      <c r="N9" s="13">
        <v>47.760199833472107</v>
      </c>
      <c r="O9" s="13">
        <v>0.26012488512595139</v>
      </c>
      <c r="P9" s="13">
        <f>N9*Calculation!I9/Calculation!K8</f>
        <v>47.929168045837343</v>
      </c>
      <c r="Q9" s="13">
        <f>O9*Calculation!I9/Calculation!K8</f>
        <v>0.26104516680368089</v>
      </c>
      <c r="R9" s="13">
        <v>1.1586646390035484</v>
      </c>
      <c r="S9" s="13">
        <v>2.5085825296094995E-2</v>
      </c>
      <c r="T9" s="13">
        <f>R9*Calculation!I9/Calculation!K8</f>
        <v>1.1627638155871027</v>
      </c>
      <c r="U9" s="13">
        <f>S9*Calculation!I9/Calculation!K8</f>
        <v>2.5174575072493901E-2</v>
      </c>
    </row>
    <row r="10" spans="1:21">
      <c r="A10" s="32" t="s">
        <v>66</v>
      </c>
      <c r="B10" s="32">
        <v>88.11</v>
      </c>
      <c r="D10" s="16">
        <v>6</v>
      </c>
      <c r="E10" s="65">
        <v>8.6666666666666661</v>
      </c>
      <c r="F10" s="52">
        <v>45.592806394316156</v>
      </c>
      <c r="G10" s="52">
        <v>0.23627660583695265</v>
      </c>
      <c r="H10" s="13">
        <f>F10*Calculation!I10/Calculation!K9</f>
        <v>45.828746355405201</v>
      </c>
      <c r="I10" s="13">
        <f>G10*Calculation!I10/Calculation!K9</f>
        <v>0.23749932269946131</v>
      </c>
      <c r="J10" s="13">
        <v>0.82889283599763164</v>
      </c>
      <c r="K10" s="13">
        <v>1.2818611660515681E-2</v>
      </c>
      <c r="L10" s="13">
        <f>J10*Calculation!I10/Calculation!K9</f>
        <v>0.8331823053007682</v>
      </c>
      <c r="M10" s="13">
        <f>K10*Calculation!I10/Calculation!K9</f>
        <v>1.2884947185252642E-2</v>
      </c>
      <c r="N10" s="13">
        <v>47.038578961976135</v>
      </c>
      <c r="O10" s="13">
        <v>0.20350044718094226</v>
      </c>
      <c r="P10" s="13">
        <f>N10*Calculation!I10/Calculation!K9</f>
        <v>47.282000706932727</v>
      </c>
      <c r="Q10" s="13">
        <f>O10*Calculation!I10/Calculation!K9</f>
        <v>0.20455354944392251</v>
      </c>
      <c r="R10" s="13">
        <v>2.0711130422188431</v>
      </c>
      <c r="S10" s="13">
        <v>2.5085825296094995E-2</v>
      </c>
      <c r="T10" s="13">
        <f>R10*Calculation!I10/Calculation!K9</f>
        <v>2.0818309244734667</v>
      </c>
      <c r="U10" s="13">
        <f>S10*Calculation!I10/Calculation!K9</f>
        <v>2.5215642894798131E-2</v>
      </c>
    </row>
    <row r="11" spans="1:21">
      <c r="A11" s="15" t="s">
        <v>42</v>
      </c>
      <c r="B11" s="15">
        <v>90.08</v>
      </c>
      <c r="D11" s="16">
        <v>7</v>
      </c>
      <c r="E11" s="65">
        <v>10</v>
      </c>
      <c r="F11" s="52">
        <v>46.073860272350501</v>
      </c>
      <c r="G11" s="52">
        <v>0.92055572459604862</v>
      </c>
      <c r="H11" s="13">
        <f>F11*Calculation!I11/Calculation!K10</f>
        <v>46.39071859858376</v>
      </c>
      <c r="I11" s="13">
        <f>G11*Calculation!I11/Calculation!K10</f>
        <v>0.92688655392911823</v>
      </c>
      <c r="J11" s="13">
        <v>0.86589698046181174</v>
      </c>
      <c r="K11" s="13">
        <v>2.2202486678508014E-2</v>
      </c>
      <c r="L11" s="13">
        <f>J11*Calculation!I11/Calculation!K10</f>
        <v>0.87185191165919196</v>
      </c>
      <c r="M11" s="13">
        <f>K11*Calculation!I11/Calculation!K10</f>
        <v>2.2355177222030585E-2</v>
      </c>
      <c r="N11" s="13">
        <v>47.127393838467938</v>
      </c>
      <c r="O11" s="13">
        <v>1.0162295621910007</v>
      </c>
      <c r="P11" s="13">
        <f>N11*Calculation!I11/Calculation!K10</f>
        <v>47.451497506863042</v>
      </c>
      <c r="Q11" s="13">
        <f>O11*Calculation!I11/Calculation!K10</f>
        <v>1.0232183579255276</v>
      </c>
      <c r="R11" s="13">
        <v>3.6787602288362664</v>
      </c>
      <c r="S11" s="13">
        <v>0.10934657738099407</v>
      </c>
      <c r="T11" s="13">
        <f>R11*Calculation!I11/Calculation!K10</f>
        <v>3.7040597327595797</v>
      </c>
      <c r="U11" s="13">
        <f>S11*Calculation!I11/Calculation!K10</f>
        <v>0.11009857370349603</v>
      </c>
    </row>
    <row r="12" spans="1:21">
      <c r="A12" s="15" t="s">
        <v>44</v>
      </c>
      <c r="B12" s="15">
        <v>46.07</v>
      </c>
      <c r="D12" s="16">
        <v>8</v>
      </c>
      <c r="E12" s="65">
        <v>11.333333333333334</v>
      </c>
      <c r="F12" s="52">
        <v>43.798105387803439</v>
      </c>
      <c r="G12" s="52">
        <v>0.63910132043980583</v>
      </c>
      <c r="H12" s="13">
        <f>F12*Calculation!I12/Calculation!K11</f>
        <v>44.138373440795355</v>
      </c>
      <c r="I12" s="13">
        <f>G12*Calculation!I12/Calculation!K11</f>
        <v>0.64406650694833401</v>
      </c>
      <c r="J12" s="13">
        <v>0.85109532267613963</v>
      </c>
      <c r="K12" s="13">
        <v>3.3914858606837212E-2</v>
      </c>
      <c r="L12" s="13">
        <f>J12*Calculation!I12/Calculation!K11</f>
        <v>0.85770749335780083</v>
      </c>
      <c r="M12" s="13">
        <f>K12*Calculation!I12/Calculation!K11</f>
        <v>3.4178343586460519E-2</v>
      </c>
      <c r="N12" s="13">
        <v>44.485151262836524</v>
      </c>
      <c r="O12" s="13">
        <v>0.67466065408775155</v>
      </c>
      <c r="P12" s="13">
        <f>N12*Calculation!I12/Calculation!K11</f>
        <v>44.830756984208016</v>
      </c>
      <c r="Q12" s="13">
        <f>O12*Calculation!I12/Calculation!K11</f>
        <v>0.67990210152398289</v>
      </c>
      <c r="R12" s="13">
        <v>4.1567093924252303</v>
      </c>
      <c r="S12" s="13">
        <v>9.0448229392402116E-2</v>
      </c>
      <c r="T12" s="13">
        <f>R12*Calculation!I12/Calculation!K11</f>
        <v>4.189002922003513</v>
      </c>
      <c r="U12" s="13">
        <f>S12*Calculation!I12/Calculation!K11</f>
        <v>9.1150922868282233E-2</v>
      </c>
    </row>
    <row r="13" spans="1:21">
      <c r="D13" s="16">
        <v>9</v>
      </c>
      <c r="E13" s="65">
        <v>12.666666666666666</v>
      </c>
      <c r="F13" s="52">
        <v>43.280047365304917</v>
      </c>
      <c r="G13" s="52">
        <v>8.622839104300456E-2</v>
      </c>
      <c r="H13" s="13">
        <f>F13*Calculation!I13/Calculation!K12</f>
        <v>43.656379121158416</v>
      </c>
      <c r="I13" s="13">
        <f>G13*Calculation!I13/Calculation!K12</f>
        <v>8.6978170301140273E-2</v>
      </c>
      <c r="J13" s="13">
        <v>0.86589698046181174</v>
      </c>
      <c r="K13" s="13">
        <v>2.2202486678508014E-2</v>
      </c>
      <c r="L13" s="13">
        <f>J13*Calculation!I13/Calculation!K12</f>
        <v>0.87342618966749919</v>
      </c>
      <c r="M13" s="13">
        <f>K13*Calculation!I13/Calculation!K12</f>
        <v>2.2395543324807692E-2</v>
      </c>
      <c r="N13" s="13">
        <v>43.730224812656125</v>
      </c>
      <c r="O13" s="13">
        <v>3.3305578684429675E-2</v>
      </c>
      <c r="P13" s="13">
        <f>N13*Calculation!I13/Calculation!K12</f>
        <v>44.110470983569698</v>
      </c>
      <c r="Q13" s="13">
        <f>O13*Calculation!I13/Calculation!K12</f>
        <v>3.3595179728537504E-2</v>
      </c>
      <c r="R13" s="13">
        <v>4.8663914838149029</v>
      </c>
      <c r="S13" s="13">
        <v>7.5257475888284991E-2</v>
      </c>
      <c r="T13" s="13">
        <f>R13*Calculation!I13/Calculation!K12</f>
        <v>4.9087060782587777</v>
      </c>
      <c r="U13" s="13">
        <f>S13*Calculation!I13/Calculation!K12</f>
        <v>7.5911860062199854E-2</v>
      </c>
    </row>
    <row r="14" spans="1:21">
      <c r="D14" s="16">
        <v>10</v>
      </c>
      <c r="E14" s="65">
        <v>14</v>
      </c>
      <c r="F14" s="52">
        <v>40.401124925991709</v>
      </c>
      <c r="G14" s="52">
        <v>7.5564601304995233E-2</v>
      </c>
      <c r="H14" s="13">
        <f>F14*Calculation!I14/Calculation!K13</f>
        <v>40.752423670041686</v>
      </c>
      <c r="I14" s="13">
        <f>G14*Calculation!I14/Calculation!K13</f>
        <v>7.6221656017746664E-2</v>
      </c>
      <c r="J14" s="13">
        <v>0.83629366489046775</v>
      </c>
      <c r="K14" s="13">
        <v>1.2818611660515681E-2</v>
      </c>
      <c r="L14" s="13">
        <f>J14*Calculation!I14/Calculation!K13</f>
        <v>0.84356546523442222</v>
      </c>
      <c r="M14" s="13">
        <f>K14*Calculation!I14/Calculation!K13</f>
        <v>1.2930072967225646E-2</v>
      </c>
      <c r="N14" s="13">
        <v>40.532889258950867</v>
      </c>
      <c r="O14" s="13">
        <v>8.8118278470093278E-2</v>
      </c>
      <c r="P14" s="13">
        <f>N14*Calculation!I14/Calculation!K13</f>
        <v>40.885333729630084</v>
      </c>
      <c r="Q14" s="13">
        <f>O14*Calculation!I14/Calculation!K13</f>
        <v>8.8884490812227226E-2</v>
      </c>
      <c r="R14" s="13">
        <v>4.9822579477152589</v>
      </c>
      <c r="S14" s="13">
        <v>0.10934657738099436</v>
      </c>
      <c r="T14" s="13">
        <f>R14*Calculation!I14/Calculation!K13</f>
        <v>5.0255800325030364</v>
      </c>
      <c r="U14" s="13">
        <f>S14*Calculation!I14/Calculation!K13</f>
        <v>0.11029737554244343</v>
      </c>
    </row>
    <row r="15" spans="1:21">
      <c r="D15" s="16">
        <v>11</v>
      </c>
      <c r="E15" s="65">
        <v>24</v>
      </c>
      <c r="F15" s="52">
        <v>35.398164594434576</v>
      </c>
      <c r="G15" s="52">
        <v>0.10254889328412545</v>
      </c>
      <c r="H15" s="13">
        <f>F15*Calculation!I15/Calculation!K14</f>
        <v>35.813617405396975</v>
      </c>
      <c r="I15" s="13">
        <f>G15*Calculation!I15/Calculation!K14</f>
        <v>0.10375246489480357</v>
      </c>
      <c r="J15" s="13">
        <v>1.0657193605683839</v>
      </c>
      <c r="K15" s="13">
        <v>2.2202486678508014E-2</v>
      </c>
      <c r="L15" s="13">
        <f>J15*Calculation!I15/Calculation!K14</f>
        <v>1.0782272436498359</v>
      </c>
      <c r="M15" s="13">
        <f>K15*Calculation!I15/Calculation!K14</f>
        <v>2.2463067576038265E-2</v>
      </c>
      <c r="N15" s="13">
        <v>36.625034693311136</v>
      </c>
      <c r="O15" s="13">
        <v>0.25869953256133549</v>
      </c>
      <c r="P15" s="13">
        <f>N15*Calculation!I15/Calculation!K14</f>
        <v>37.054886743248318</v>
      </c>
      <c r="Q15" s="13">
        <f>O15*Calculation!I15/Calculation!K14</f>
        <v>0.26173577608493792</v>
      </c>
      <c r="R15" s="13">
        <v>8.1106524730248388</v>
      </c>
      <c r="S15" s="13">
        <v>0.10934657738099436</v>
      </c>
      <c r="T15" s="13">
        <f>R15*Calculation!I15/Calculation!K14</f>
        <v>8.2058436618128336</v>
      </c>
      <c r="U15" s="13">
        <f>S15*Calculation!I15/Calculation!K14</f>
        <v>0.11062993044357643</v>
      </c>
    </row>
    <row r="16" spans="1:21">
      <c r="D16" s="16">
        <v>12</v>
      </c>
      <c r="E16" s="65">
        <v>30</v>
      </c>
      <c r="F16" s="52">
        <v>33.440645352279461</v>
      </c>
      <c r="G16" s="52">
        <v>0.1838700155240498</v>
      </c>
      <c r="H16" s="13">
        <f>F16*Calculation!I16/Calculation!K15</f>
        <v>33.904426298227861</v>
      </c>
      <c r="I16" s="13">
        <f>G16*Calculation!I16/Calculation!K15</f>
        <v>0.18642006827670932</v>
      </c>
      <c r="J16" s="13">
        <v>1.3025458851391356</v>
      </c>
      <c r="K16" s="13">
        <v>2.5637223321031275E-2</v>
      </c>
      <c r="L16" s="13">
        <f>J16*Calculation!I16/Calculation!K15</f>
        <v>1.3206106071678883</v>
      </c>
      <c r="M16" s="13">
        <f>K16*Calculation!I16/Calculation!K15</f>
        <v>2.5992780325331366E-2</v>
      </c>
      <c r="N16" s="13">
        <v>36.536219816819326</v>
      </c>
      <c r="O16" s="13">
        <v>0.20799327221976308</v>
      </c>
      <c r="P16" s="13">
        <f>N16*Calculation!I16/Calculation!K15</f>
        <v>37.042932603295746</v>
      </c>
      <c r="Q16" s="13">
        <f>O16*Calculation!I16/Calculation!K15</f>
        <v>0.21087788510700836</v>
      </c>
      <c r="R16" s="13">
        <v>10.065899051343328</v>
      </c>
      <c r="S16" s="13">
        <v>6.6370855166280593E-2</v>
      </c>
      <c r="T16" s="13">
        <f>R16*Calculation!I16/Calculation!K15</f>
        <v>10.205500788530941</v>
      </c>
      <c r="U16" s="13">
        <f>S16*Calculation!I16/Calculation!K15</f>
        <v>6.7291337940107318E-2</v>
      </c>
    </row>
    <row r="17" spans="4:21">
      <c r="D17" s="16">
        <v>13</v>
      </c>
      <c r="E17" s="65">
        <v>48</v>
      </c>
      <c r="F17" s="52">
        <v>30.210183540556546</v>
      </c>
      <c r="G17" s="52">
        <v>2.1394412628957546</v>
      </c>
      <c r="H17" s="13">
        <f>F17*Calculation!I17/Calculation!K16</f>
        <v>30.697454368823657</v>
      </c>
      <c r="I17" s="13">
        <f>G17*Calculation!I17/Calculation!K16</f>
        <v>2.1739490743031409</v>
      </c>
      <c r="J17" s="13">
        <v>1.9834221432800474</v>
      </c>
      <c r="K17" s="13">
        <v>0.14100472826567234</v>
      </c>
      <c r="L17" s="13">
        <f>J17*Calculation!I17/Calculation!K16</f>
        <v>2.0154134666449628</v>
      </c>
      <c r="M17" s="13">
        <f>K17*Calculation!I17/Calculation!K16</f>
        <v>0.1432790438334462</v>
      </c>
      <c r="N17" s="13">
        <v>34.882042742159321</v>
      </c>
      <c r="O17" s="13">
        <v>2.3200230384196927</v>
      </c>
      <c r="P17" s="13">
        <f>N17*Calculation!I17/Calculation!K16</f>
        <v>35.444667654245755</v>
      </c>
      <c r="Q17" s="13">
        <f>O17*Calculation!I17/Calculation!K16</f>
        <v>2.3574435177097937</v>
      </c>
      <c r="R17" s="13">
        <v>10.543848214932289</v>
      </c>
      <c r="S17" s="13">
        <v>0.7968452286757286</v>
      </c>
      <c r="T17" s="13">
        <f>R17*Calculation!I17/Calculation!K16</f>
        <v>10.713913704468805</v>
      </c>
      <c r="U17" s="13">
        <f>S17*Calculation!I17/Calculation!K16</f>
        <v>0.80969782965566839</v>
      </c>
    </row>
    <row r="19" spans="4:21">
      <c r="D19" s="144" t="s">
        <v>4</v>
      </c>
      <c r="E19" s="144" t="s">
        <v>60</v>
      </c>
      <c r="F19" s="117" t="s">
        <v>44</v>
      </c>
      <c r="G19" s="117"/>
      <c r="H19" s="117"/>
      <c r="I19" s="117"/>
      <c r="J19" s="117" t="s">
        <v>66</v>
      </c>
      <c r="K19" s="117"/>
      <c r="L19" s="117"/>
      <c r="M19" s="117"/>
      <c r="N19" s="142" t="s">
        <v>67</v>
      </c>
      <c r="O19" s="115"/>
      <c r="P19" s="115"/>
      <c r="Q19" s="143"/>
    </row>
    <row r="20" spans="4:21">
      <c r="D20" s="144"/>
      <c r="E20" s="144"/>
      <c r="F20" s="20" t="s">
        <v>48</v>
      </c>
      <c r="G20" s="20" t="s">
        <v>23</v>
      </c>
      <c r="H20" s="20" t="s">
        <v>48</v>
      </c>
      <c r="I20" s="20" t="s">
        <v>23</v>
      </c>
      <c r="J20" s="20" t="s">
        <v>48</v>
      </c>
      <c r="K20" s="20" t="s">
        <v>23</v>
      </c>
      <c r="L20" s="20" t="s">
        <v>48</v>
      </c>
      <c r="M20" s="20" t="s">
        <v>23</v>
      </c>
      <c r="N20" s="20" t="s">
        <v>48</v>
      </c>
      <c r="O20" s="20" t="s">
        <v>23</v>
      </c>
      <c r="P20" s="20" t="s">
        <v>48</v>
      </c>
      <c r="Q20" s="20" t="s">
        <v>23</v>
      </c>
    </row>
    <row r="21" spans="4:21">
      <c r="D21" s="16">
        <v>0</v>
      </c>
      <c r="E21" s="62">
        <v>-0.16666666666666666</v>
      </c>
      <c r="F21" s="13">
        <v>0</v>
      </c>
      <c r="G21" s="13">
        <v>0</v>
      </c>
      <c r="H21" s="13">
        <f>F21*Calculation!I3/Calculation!F19</f>
        <v>0</v>
      </c>
      <c r="I21" s="13">
        <f>G21*Calculation!I3/Calculation!F19</f>
        <v>0</v>
      </c>
      <c r="J21" s="13">
        <v>29.319411341883253</v>
      </c>
      <c r="K21" s="13">
        <v>9.1736508553566978E-2</v>
      </c>
      <c r="L21" s="13">
        <f>J21*Calculation!I3/Calculation!F19</f>
        <v>29.338957616111177</v>
      </c>
      <c r="M21" s="13">
        <f>K21*Calculation!I3/Calculation!F19</f>
        <v>9.179766622593602E-2</v>
      </c>
      <c r="N21" s="13">
        <v>0</v>
      </c>
      <c r="O21" s="13">
        <v>0</v>
      </c>
      <c r="P21" s="13">
        <f>N21*Calculation!I3/Calculation!F19</f>
        <v>0</v>
      </c>
      <c r="Q21" s="13">
        <f>O21*Calculation!I3/Calculation!F19</f>
        <v>0</v>
      </c>
    </row>
    <row r="22" spans="4:21">
      <c r="D22" s="16">
        <v>0</v>
      </c>
      <c r="E22" s="65">
        <v>0.16666666666666666</v>
      </c>
      <c r="F22" s="13">
        <v>0</v>
      </c>
      <c r="G22" s="13">
        <v>0</v>
      </c>
      <c r="H22" s="13">
        <f>F22*Calculation!I4/Calculation!K3</f>
        <v>0</v>
      </c>
      <c r="I22" s="13">
        <f>G22*Calculation!I4/Calculation!K3</f>
        <v>0</v>
      </c>
      <c r="J22" s="13">
        <v>27.912079597472857</v>
      </c>
      <c r="K22" s="13">
        <v>0.26600682224865829</v>
      </c>
      <c r="L22" s="13">
        <f>J22*Calculation!I4/Calculation!K3</f>
        <v>27.948212932574766</v>
      </c>
      <c r="M22" s="13">
        <f>K22*Calculation!I4/Calculation!K3</f>
        <v>0.26635117902129285</v>
      </c>
      <c r="N22" s="13">
        <v>0</v>
      </c>
      <c r="O22" s="13">
        <v>0</v>
      </c>
      <c r="P22" s="13">
        <f>N22*Calculation!I4/Calculation!K3</f>
        <v>0</v>
      </c>
      <c r="Q22" s="13">
        <f>O22*Calculation!I4/Calculation!K3</f>
        <v>0</v>
      </c>
    </row>
    <row r="23" spans="4:21">
      <c r="D23" s="16">
        <v>1</v>
      </c>
      <c r="E23" s="65">
        <v>2</v>
      </c>
      <c r="F23" s="13">
        <v>0</v>
      </c>
      <c r="G23" s="13">
        <v>0</v>
      </c>
      <c r="H23" s="13">
        <f>F23*Calculation!I5/Calculation!K4</f>
        <v>0</v>
      </c>
      <c r="I23" s="13">
        <f>G23*Calculation!I5/Calculation!K4</f>
        <v>0</v>
      </c>
      <c r="J23" s="13">
        <v>28.320659781333941</v>
      </c>
      <c r="K23" s="13">
        <v>0.25003157631533535</v>
      </c>
      <c r="L23" s="13">
        <f>J23*Calculation!I5/Calculation!K4</f>
        <v>28.357322040289333</v>
      </c>
      <c r="M23" s="13">
        <f>K23*Calculation!I5/Calculation!K4</f>
        <v>0.25035525247502494</v>
      </c>
      <c r="N23" s="13">
        <v>0</v>
      </c>
      <c r="O23" s="13">
        <v>0</v>
      </c>
      <c r="P23" s="13">
        <f>N23*Calculation!I5/Calculation!K4</f>
        <v>0</v>
      </c>
      <c r="Q23" s="13">
        <f>O23*Calculation!I5/Calculation!K4</f>
        <v>0</v>
      </c>
    </row>
    <row r="24" spans="4:21">
      <c r="D24" s="16">
        <v>2</v>
      </c>
      <c r="E24" s="65">
        <v>3.3333333333333335</v>
      </c>
      <c r="F24" s="13">
        <v>0</v>
      </c>
      <c r="G24" s="13">
        <v>0</v>
      </c>
      <c r="H24" s="13">
        <f>F24*Calculation!I6/Calculation!K5</f>
        <v>0</v>
      </c>
      <c r="I24" s="13">
        <f>G24*Calculation!I6/Calculation!K5</f>
        <v>0</v>
      </c>
      <c r="J24" s="13">
        <v>27.791018802254762</v>
      </c>
      <c r="K24" s="13">
        <v>0.15943182768286232</v>
      </c>
      <c r="L24" s="13">
        <f>J24*Calculation!I6/Calculation!K5</f>
        <v>27.846647252101011</v>
      </c>
      <c r="M24" s="13">
        <f>K24*Calculation!I6/Calculation!K5</f>
        <v>0.15975095759649585</v>
      </c>
      <c r="N24" s="13">
        <v>0</v>
      </c>
      <c r="O24" s="13">
        <v>0</v>
      </c>
      <c r="P24" s="13">
        <f>N24*Calculation!I6/Calculation!K5</f>
        <v>0</v>
      </c>
      <c r="Q24" s="13">
        <f>O24*Calculation!I6/Calculation!K5</f>
        <v>0</v>
      </c>
    </row>
    <row r="25" spans="4:21">
      <c r="D25" s="16">
        <v>3</v>
      </c>
      <c r="E25" s="65">
        <v>4.666666666666667</v>
      </c>
      <c r="F25" s="13">
        <v>0</v>
      </c>
      <c r="G25" s="13">
        <v>0</v>
      </c>
      <c r="H25" s="13">
        <f>F25*Calculation!I7/Calculation!K6</f>
        <v>0</v>
      </c>
      <c r="I25" s="13">
        <f>G25*Calculation!I7/Calculation!K6</f>
        <v>0</v>
      </c>
      <c r="J25" s="13">
        <v>28.820035561608599</v>
      </c>
      <c r="K25" s="13">
        <v>0.35481024742385381</v>
      </c>
      <c r="L25" s="13">
        <f>J25*Calculation!I7/Calculation!K6</f>
        <v>28.877723763477469</v>
      </c>
      <c r="M25" s="13">
        <f>K25*Calculation!I7/Calculation!K6</f>
        <v>0.35552046046765023</v>
      </c>
      <c r="N25" s="13">
        <v>0</v>
      </c>
      <c r="O25" s="13">
        <v>0</v>
      </c>
      <c r="P25" s="13">
        <f>N25*Calculation!I7/Calculation!K6</f>
        <v>0</v>
      </c>
      <c r="Q25" s="13">
        <f>O25*Calculation!I7/Calculation!K6</f>
        <v>0</v>
      </c>
    </row>
    <row r="26" spans="4:21">
      <c r="D26" s="16">
        <v>4</v>
      </c>
      <c r="E26" s="65">
        <v>6</v>
      </c>
      <c r="F26" s="13">
        <v>0</v>
      </c>
      <c r="G26" s="13">
        <v>0</v>
      </c>
      <c r="H26" s="13">
        <f>F26*Calculation!I8/Calculation!K7</f>
        <v>0</v>
      </c>
      <c r="I26" s="13">
        <f>G26*Calculation!I8/Calculation!K7</f>
        <v>0</v>
      </c>
      <c r="J26" s="13">
        <v>29.91714901827261</v>
      </c>
      <c r="K26" s="13">
        <v>2.2698899103393507E-2</v>
      </c>
      <c r="L26" s="13">
        <f>J26*Calculation!I8/Calculation!K7</f>
        <v>29.999572402049626</v>
      </c>
      <c r="M26" s="13">
        <f>K26*Calculation!I8/Calculation!K7</f>
        <v>2.2761435813391243E-2</v>
      </c>
      <c r="N26" s="13">
        <v>0</v>
      </c>
      <c r="O26" s="13">
        <v>0</v>
      </c>
      <c r="P26" s="13">
        <f>N26*Calculation!I8/Calculation!K7</f>
        <v>0</v>
      </c>
      <c r="Q26" s="13">
        <f>O26*Calculation!I8/Calculation!K7</f>
        <v>0</v>
      </c>
    </row>
    <row r="27" spans="4:21">
      <c r="D27" s="16">
        <v>5</v>
      </c>
      <c r="E27" s="65">
        <v>7.333333333333333</v>
      </c>
      <c r="F27" s="13">
        <v>0</v>
      </c>
      <c r="G27" s="13">
        <v>0</v>
      </c>
      <c r="H27" s="13">
        <f>F27*Calculation!I9/Calculation!K8</f>
        <v>0</v>
      </c>
      <c r="I27" s="13">
        <f>G27*Calculation!I9/Calculation!K8</f>
        <v>0</v>
      </c>
      <c r="J27" s="13">
        <v>30.643513789581199</v>
      </c>
      <c r="K27" s="13">
        <v>0.19657823261478738</v>
      </c>
      <c r="L27" s="13">
        <f>J27*Calculation!I9/Calculation!K8</f>
        <v>30.75192580970818</v>
      </c>
      <c r="M27" s="13">
        <f>K27*Calculation!I9/Calculation!K8</f>
        <v>0.19727369604816189</v>
      </c>
      <c r="N27" s="13">
        <v>0</v>
      </c>
      <c r="O27" s="13">
        <v>0</v>
      </c>
      <c r="P27" s="13">
        <f>N27*Calculation!I9/Calculation!K8</f>
        <v>0</v>
      </c>
      <c r="Q27" s="13">
        <f>O27*Calculation!I9/Calculation!K8</f>
        <v>0</v>
      </c>
    </row>
    <row r="28" spans="4:21">
      <c r="D28" s="16">
        <v>6</v>
      </c>
      <c r="E28" s="65">
        <v>8.6666666666666661</v>
      </c>
      <c r="F28" s="13">
        <v>0</v>
      </c>
      <c r="G28" s="13">
        <v>0</v>
      </c>
      <c r="H28" s="13">
        <f>F28*Calculation!I10/Calculation!K9</f>
        <v>0</v>
      </c>
      <c r="I28" s="13">
        <f>G28*Calculation!I10/Calculation!K9</f>
        <v>0</v>
      </c>
      <c r="J28" s="13">
        <v>32.482124616956078</v>
      </c>
      <c r="K28" s="13">
        <v>0.21890025561214357</v>
      </c>
      <c r="L28" s="13">
        <f>J28*Calculation!I10/Calculation!K9</f>
        <v>32.650217608467337</v>
      </c>
      <c r="M28" s="13">
        <f>K28*Calculation!I10/Calculation!K9</f>
        <v>0.22003305093395006</v>
      </c>
      <c r="N28" s="13">
        <v>0</v>
      </c>
      <c r="O28" s="13">
        <v>0</v>
      </c>
      <c r="P28" s="13">
        <f>N28*Calculation!I10/Calculation!K9</f>
        <v>0</v>
      </c>
      <c r="Q28" s="13">
        <f>O28*Calculation!I10/Calculation!K9</f>
        <v>0</v>
      </c>
    </row>
    <row r="29" spans="4:21">
      <c r="D29" s="16">
        <v>7</v>
      </c>
      <c r="E29" s="65">
        <v>10</v>
      </c>
      <c r="F29" s="13">
        <v>0</v>
      </c>
      <c r="G29" s="13">
        <v>0</v>
      </c>
      <c r="H29" s="13">
        <f>F29*Calculation!I11/Calculation!K10</f>
        <v>0</v>
      </c>
      <c r="I29" s="13">
        <f>G29*Calculation!I11/Calculation!K10</f>
        <v>0</v>
      </c>
      <c r="J29" s="13">
        <v>36.287973366625053</v>
      </c>
      <c r="K29" s="13">
        <v>0.69753732948939762</v>
      </c>
      <c r="L29" s="13">
        <f>J29*Calculation!I11/Calculation!K10</f>
        <v>36.537532366790835</v>
      </c>
      <c r="M29" s="13">
        <f>K29*Calculation!I11/Calculation!K10</f>
        <v>0.70233442071207219</v>
      </c>
      <c r="N29" s="13">
        <v>0</v>
      </c>
      <c r="O29" s="13">
        <v>0</v>
      </c>
      <c r="P29" s="13">
        <f>N29*Calculation!I11/Calculation!K10</f>
        <v>0</v>
      </c>
      <c r="Q29" s="13">
        <f>O29*Calculation!I11/Calculation!K10</f>
        <v>0</v>
      </c>
    </row>
    <row r="30" spans="4:21">
      <c r="D30" s="16">
        <v>8</v>
      </c>
      <c r="E30" s="65">
        <v>11.333333333333334</v>
      </c>
      <c r="F30" s="13">
        <v>0</v>
      </c>
      <c r="G30" s="13">
        <v>0</v>
      </c>
      <c r="H30" s="13">
        <f>F30*Calculation!I12/Calculation!K11</f>
        <v>0</v>
      </c>
      <c r="I30" s="13">
        <f>G30*Calculation!I12/Calculation!K11</f>
        <v>0</v>
      </c>
      <c r="J30" s="13">
        <v>36.923542541520071</v>
      </c>
      <c r="K30" s="13">
        <v>0.55801139689001711</v>
      </c>
      <c r="L30" s="13">
        <f>J30*Calculation!I12/Calculation!K11</f>
        <v>37.210402025941193</v>
      </c>
      <c r="M30" s="13">
        <f>K30*Calculation!I12/Calculation!K11</f>
        <v>0.56234659472302528</v>
      </c>
      <c r="N30" s="13">
        <v>0</v>
      </c>
      <c r="O30" s="13">
        <v>0</v>
      </c>
      <c r="P30" s="13">
        <f>N30*Calculation!I12/Calculation!K11</f>
        <v>0</v>
      </c>
      <c r="Q30" s="13">
        <f>O30*Calculation!I12/Calculation!K11</f>
        <v>0</v>
      </c>
    </row>
    <row r="31" spans="4:21">
      <c r="D31" s="16">
        <v>9</v>
      </c>
      <c r="E31" s="65">
        <v>12.666666666666666</v>
      </c>
      <c r="F31" s="13">
        <v>0</v>
      </c>
      <c r="G31" s="13">
        <v>0</v>
      </c>
      <c r="H31" s="13">
        <f>F31*Calculation!I13/Calculation!K12</f>
        <v>0</v>
      </c>
      <c r="I31" s="13">
        <f>G31*Calculation!I13/Calculation!K12</f>
        <v>0</v>
      </c>
      <c r="J31" s="13">
        <v>40.078689516891764</v>
      </c>
      <c r="K31" s="13">
        <v>0.10235500517133028</v>
      </c>
      <c r="L31" s="13">
        <f>J31*Calculation!I13/Calculation!K12</f>
        <v>40.427184597566978</v>
      </c>
      <c r="M31" s="13">
        <f>K31*Calculation!I13/Calculation!K12</f>
        <v>0.10324500971525784</v>
      </c>
      <c r="N31" s="13">
        <v>0</v>
      </c>
      <c r="O31" s="13">
        <v>0</v>
      </c>
      <c r="P31" s="13">
        <f>N31*Calculation!I13/Calculation!K12</f>
        <v>0</v>
      </c>
      <c r="Q31" s="13">
        <f>O31*Calculation!I13/Calculation!K12</f>
        <v>0</v>
      </c>
    </row>
    <row r="32" spans="4:21">
      <c r="D32" s="16">
        <v>10</v>
      </c>
      <c r="E32" s="65">
        <v>14</v>
      </c>
      <c r="F32" s="13">
        <v>0</v>
      </c>
      <c r="G32" s="13">
        <v>0</v>
      </c>
      <c r="H32" s="13">
        <f>F32*Calculation!I14/Calculation!K13</f>
        <v>0</v>
      </c>
      <c r="I32" s="13">
        <f>G32*Calculation!I14/Calculation!K13</f>
        <v>0</v>
      </c>
      <c r="J32" s="13">
        <v>40.199750312109863</v>
      </c>
      <c r="K32" s="13">
        <v>0.1588922937237531</v>
      </c>
      <c r="L32" s="13">
        <f>J32*Calculation!I14/Calculation!K13</f>
        <v>40.549298049249266</v>
      </c>
      <c r="M32" s="13">
        <f>K32*Calculation!I14/Calculation!K13</f>
        <v>0.16027390533299976</v>
      </c>
      <c r="N32" s="13">
        <v>0</v>
      </c>
      <c r="O32" s="13">
        <v>0</v>
      </c>
      <c r="P32" s="13">
        <f>N32*Calculation!I14/Calculation!K13</f>
        <v>0</v>
      </c>
      <c r="Q32" s="13">
        <f>O32*Calculation!I14/Calculation!K13</f>
        <v>0</v>
      </c>
    </row>
    <row r="33" spans="4:17">
      <c r="D33" s="16">
        <v>11</v>
      </c>
      <c r="E33" s="65">
        <v>24</v>
      </c>
      <c r="F33" s="13">
        <v>0</v>
      </c>
      <c r="G33" s="13">
        <v>0</v>
      </c>
      <c r="H33" s="13">
        <f>F33*Calculation!I15/Calculation!K14</f>
        <v>0</v>
      </c>
      <c r="I33" s="13">
        <f>G33*Calculation!I15/Calculation!K14</f>
        <v>0</v>
      </c>
      <c r="J33" s="13">
        <v>47.819014111148952</v>
      </c>
      <c r="K33" s="13">
        <v>0.19036425113168048</v>
      </c>
      <c r="L33" s="13">
        <f>J33*Calculation!I15/Calculation!K14</f>
        <v>48.380245012737873</v>
      </c>
      <c r="M33" s="13">
        <f>K33*Calculation!I15/Calculation!K14</f>
        <v>0.19259847327696772</v>
      </c>
      <c r="N33" s="13">
        <v>0</v>
      </c>
      <c r="O33" s="13">
        <v>0</v>
      </c>
      <c r="P33" s="13">
        <f>N33*Calculation!I15/Calculation!K14</f>
        <v>0</v>
      </c>
      <c r="Q33" s="13">
        <f>O33*Calculation!I15/Calculation!K14</f>
        <v>0</v>
      </c>
    </row>
    <row r="34" spans="4:17">
      <c r="D34" s="16">
        <v>12</v>
      </c>
      <c r="E34" s="65">
        <v>30</v>
      </c>
      <c r="F34" s="13">
        <v>0</v>
      </c>
      <c r="G34" s="13">
        <v>0</v>
      </c>
      <c r="H34" s="13">
        <f>F34*Calculation!I16/Calculation!K15</f>
        <v>0</v>
      </c>
      <c r="I34" s="13">
        <f>G34*Calculation!I16/Calculation!K15</f>
        <v>0</v>
      </c>
      <c r="J34" s="13">
        <v>49.317141451972923</v>
      </c>
      <c r="K34" s="13">
        <v>0.22849724012471551</v>
      </c>
      <c r="L34" s="13">
        <f>J34*Calculation!I16/Calculation!K15</f>
        <v>50.001110025937891</v>
      </c>
      <c r="M34" s="13">
        <f>K34*Calculation!I16/Calculation!K15</f>
        <v>0.23166621802736281</v>
      </c>
      <c r="N34" s="13">
        <v>0</v>
      </c>
      <c r="O34" s="13">
        <v>0</v>
      </c>
      <c r="P34" s="13">
        <f>N34*Calculation!I16/Calculation!K15</f>
        <v>0</v>
      </c>
      <c r="Q34" s="13">
        <f>O34*Calculation!I16/Calculation!K15</f>
        <v>0</v>
      </c>
    </row>
    <row r="35" spans="4:17">
      <c r="D35" s="16">
        <v>13</v>
      </c>
      <c r="E35" s="65">
        <v>48</v>
      </c>
      <c r="F35" s="13">
        <v>0</v>
      </c>
      <c r="G35" s="13">
        <v>0</v>
      </c>
      <c r="H35" s="13">
        <f>F35*Calculation!I17/Calculation!K16</f>
        <v>0</v>
      </c>
      <c r="I35" s="13">
        <f>G35*Calculation!I17/Calculation!K16</f>
        <v>0</v>
      </c>
      <c r="J35" s="13">
        <v>48.976657965422007</v>
      </c>
      <c r="K35" s="13">
        <v>3.4942545002625471</v>
      </c>
      <c r="L35" s="13">
        <f>J35*Calculation!I17/Calculation!K16</f>
        <v>49.766619954912336</v>
      </c>
      <c r="M35" s="13">
        <f>K35*Calculation!I17/Calculation!K16</f>
        <v>3.5506145777256064</v>
      </c>
      <c r="N35" s="13">
        <v>0</v>
      </c>
      <c r="O35" s="13">
        <v>0</v>
      </c>
      <c r="P35" s="13">
        <f>N35*Calculation!I17/Calculation!K16</f>
        <v>0</v>
      </c>
      <c r="Q35" s="13">
        <f>O35*Calculation!I17/Calculation!K16</f>
        <v>0</v>
      </c>
    </row>
  </sheetData>
  <mergeCells count="14">
    <mergeCell ref="R1:U1"/>
    <mergeCell ref="D1:D2"/>
    <mergeCell ref="E1:E2"/>
    <mergeCell ref="F1:I1"/>
    <mergeCell ref="J1:M1"/>
    <mergeCell ref="F19:I19"/>
    <mergeCell ref="J19:M19"/>
    <mergeCell ref="N19:Q19"/>
    <mergeCell ref="N1:Q1"/>
    <mergeCell ref="A1:B1"/>
    <mergeCell ref="A2:B2"/>
    <mergeCell ref="A3:A4"/>
    <mergeCell ref="D19:D20"/>
    <mergeCell ref="E19:E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1"/>
  <sheetViews>
    <sheetView topLeftCell="A4" workbookViewId="0">
      <selection activeCell="G7" sqref="G7:H2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143</v>
      </c>
      <c r="B2" s="17">
        <v>180.16</v>
      </c>
    </row>
    <row r="4" spans="1:8">
      <c r="A4" s="145" t="s">
        <v>144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5</v>
      </c>
      <c r="C6" s="29" t="s">
        <v>19</v>
      </c>
      <c r="D6" s="150"/>
      <c r="E6" s="150"/>
      <c r="F6" s="150"/>
      <c r="G6" s="152"/>
      <c r="H6" s="152"/>
    </row>
    <row r="7" spans="1:8">
      <c r="A7" s="16">
        <v>0</v>
      </c>
      <c r="B7" s="62">
        <v>-0.16666666666666666</v>
      </c>
      <c r="C7" s="16">
        <v>2</v>
      </c>
      <c r="D7" s="19">
        <v>4.3600000000000003</v>
      </c>
      <c r="E7" s="19">
        <v>4.3630000000000004</v>
      </c>
      <c r="F7" s="19">
        <v>4.3499999999999996</v>
      </c>
      <c r="G7" s="19">
        <f>(C7*1000*AVERAGE(D7:F7)/$B$2)</f>
        <v>48.3755180580225</v>
      </c>
      <c r="H7" s="19">
        <f>(C7*1000*STDEV(D7:F7))/$B$2</f>
        <v>7.5564601305000784E-2</v>
      </c>
    </row>
    <row r="8" spans="1:8">
      <c r="A8" s="16">
        <v>0</v>
      </c>
      <c r="B8" s="65">
        <v>0.16666666666666666</v>
      </c>
      <c r="C8" s="16">
        <v>2</v>
      </c>
      <c r="D8" s="19">
        <v>4.2190000000000003</v>
      </c>
      <c r="E8" s="19">
        <v>4.242</v>
      </c>
      <c r="F8" s="19">
        <v>4.2270000000000003</v>
      </c>
      <c r="G8" s="19">
        <f t="shared" ref="G8:G21" si="0">(C8*1000*AVERAGE(D8:F8)/$B$2)</f>
        <v>46.950858496151575</v>
      </c>
      <c r="H8" s="19">
        <f t="shared" ref="H8:H21" si="1">(C8*1000*STDEV(D8:F8))/$B$2</f>
        <v>0.12962018863333882</v>
      </c>
    </row>
    <row r="9" spans="1:8">
      <c r="A9" s="16">
        <v>1</v>
      </c>
      <c r="B9" s="65">
        <v>2</v>
      </c>
      <c r="C9" s="16">
        <v>2</v>
      </c>
      <c r="D9" s="19">
        <v>4.2309999999999999</v>
      </c>
      <c r="E9" s="19">
        <v>4.2640000000000002</v>
      </c>
      <c r="F9" s="19">
        <v>4.2519999999999998</v>
      </c>
      <c r="G9" s="19">
        <f t="shared" si="0"/>
        <v>47.169182948490231</v>
      </c>
      <c r="H9" s="19">
        <f t="shared" si="1"/>
        <v>0.18542732114220936</v>
      </c>
    </row>
    <row r="10" spans="1:8">
      <c r="A10" s="16">
        <v>2</v>
      </c>
      <c r="B10" s="65">
        <v>3.3333333333333335</v>
      </c>
      <c r="C10" s="16">
        <v>2</v>
      </c>
      <c r="D10" s="19">
        <v>4.0940000000000003</v>
      </c>
      <c r="E10" s="19">
        <v>4.125</v>
      </c>
      <c r="F10" s="19">
        <v>4.0739999999999998</v>
      </c>
      <c r="G10" s="19">
        <f t="shared" si="0"/>
        <v>45.489194789816466</v>
      </c>
      <c r="H10" s="19">
        <f t="shared" si="1"/>
        <v>0.28526811533759727</v>
      </c>
    </row>
    <row r="11" spans="1:8">
      <c r="A11" s="16">
        <v>3</v>
      </c>
      <c r="B11" s="65">
        <v>4.666666666666667</v>
      </c>
      <c r="C11" s="16">
        <v>2</v>
      </c>
      <c r="D11" s="19">
        <v>4.2329999999999997</v>
      </c>
      <c r="E11" s="19">
        <v>4.2039999999999997</v>
      </c>
      <c r="F11" s="19">
        <v>4.1020000000000003</v>
      </c>
      <c r="G11" s="19">
        <f t="shared" si="0"/>
        <v>46.399496743635289</v>
      </c>
      <c r="H11" s="19">
        <f t="shared" si="1"/>
        <v>0.76383761036604225</v>
      </c>
    </row>
    <row r="12" spans="1:8">
      <c r="A12" s="16">
        <v>4</v>
      </c>
      <c r="B12" s="65">
        <v>6</v>
      </c>
      <c r="C12" s="16">
        <v>2</v>
      </c>
      <c r="D12" s="19">
        <v>4.194</v>
      </c>
      <c r="E12" s="19">
        <v>4.1870000000000003</v>
      </c>
      <c r="F12" s="19">
        <v>4.2050000000000001</v>
      </c>
      <c r="G12" s="19">
        <f t="shared" si="0"/>
        <v>46.573416222616927</v>
      </c>
      <c r="H12" s="19">
        <f t="shared" si="1"/>
        <v>0.10073014793380751</v>
      </c>
    </row>
    <row r="13" spans="1:8">
      <c r="A13" s="16">
        <v>5</v>
      </c>
      <c r="B13" s="65">
        <v>7.333333333333333</v>
      </c>
      <c r="C13" s="16">
        <v>2</v>
      </c>
      <c r="D13" s="19">
        <v>4.1319999999999997</v>
      </c>
      <c r="E13" s="19">
        <v>4.17</v>
      </c>
      <c r="F13" s="19">
        <v>4.1390000000000002</v>
      </c>
      <c r="G13" s="19">
        <f t="shared" si="0"/>
        <v>46.036856127886317</v>
      </c>
      <c r="H13" s="19">
        <f t="shared" si="1"/>
        <v>0.22450875239960835</v>
      </c>
    </row>
    <row r="14" spans="1:8">
      <c r="A14" s="16">
        <v>6</v>
      </c>
      <c r="B14" s="65">
        <v>8.6666666666666661</v>
      </c>
      <c r="C14" s="16">
        <v>2</v>
      </c>
      <c r="D14" s="19">
        <v>4.0880000000000001</v>
      </c>
      <c r="E14" s="19">
        <v>4.1029999999999998</v>
      </c>
      <c r="F14" s="19">
        <v>4.13</v>
      </c>
      <c r="G14" s="19">
        <f t="shared" si="0"/>
        <v>45.592806394316156</v>
      </c>
      <c r="H14" s="19">
        <f t="shared" si="1"/>
        <v>0.23627660583695265</v>
      </c>
    </row>
    <row r="15" spans="1:8">
      <c r="A15" s="16">
        <v>7</v>
      </c>
      <c r="B15" s="65">
        <v>10</v>
      </c>
      <c r="C15" s="16">
        <v>2</v>
      </c>
      <c r="D15" s="19">
        <v>4.2279999999999998</v>
      </c>
      <c r="E15" s="19">
        <v>4.0629999999999997</v>
      </c>
      <c r="F15" s="19">
        <v>4.16</v>
      </c>
      <c r="G15" s="19">
        <f t="shared" si="0"/>
        <v>46.073860272350501</v>
      </c>
      <c r="H15" s="19">
        <f t="shared" si="1"/>
        <v>0.92055572459604862</v>
      </c>
    </row>
    <row r="16" spans="1:8">
      <c r="A16" s="16">
        <v>8</v>
      </c>
      <c r="B16" s="65">
        <v>11.333333333333334</v>
      </c>
      <c r="C16" s="16">
        <v>2</v>
      </c>
      <c r="D16" s="19">
        <v>3.992</v>
      </c>
      <c r="E16" s="19">
        <v>3.9630000000000001</v>
      </c>
      <c r="F16" s="19">
        <v>3.8809999999999998</v>
      </c>
      <c r="G16" s="19">
        <f t="shared" si="0"/>
        <v>43.798105387803439</v>
      </c>
      <c r="H16" s="19">
        <f t="shared" si="1"/>
        <v>0.63910132043980583</v>
      </c>
    </row>
    <row r="17" spans="1:8">
      <c r="A17" s="16">
        <v>9</v>
      </c>
      <c r="B17" s="65">
        <v>12.666666666666666</v>
      </c>
      <c r="C17" s="16">
        <v>2</v>
      </c>
      <c r="D17" s="19">
        <v>3.9009999999999998</v>
      </c>
      <c r="E17" s="19">
        <v>3.89</v>
      </c>
      <c r="F17" s="19">
        <v>3.9049999999999998</v>
      </c>
      <c r="G17" s="19">
        <f t="shared" si="0"/>
        <v>43.280047365304917</v>
      </c>
      <c r="H17" s="19">
        <f t="shared" si="1"/>
        <v>8.622839104300456E-2</v>
      </c>
    </row>
    <row r="18" spans="1:8">
      <c r="A18" s="16">
        <v>10</v>
      </c>
      <c r="B18" s="65">
        <v>14</v>
      </c>
      <c r="C18" s="16">
        <v>2</v>
      </c>
      <c r="D18" s="19">
        <v>3.6339999999999999</v>
      </c>
      <c r="E18" s="19">
        <v>3.6469999999999998</v>
      </c>
      <c r="F18" s="19">
        <v>3.637</v>
      </c>
      <c r="G18" s="19">
        <f t="shared" si="0"/>
        <v>40.401124925991709</v>
      </c>
      <c r="H18" s="19">
        <f t="shared" si="1"/>
        <v>7.5564601304995233E-2</v>
      </c>
    </row>
    <row r="19" spans="1:8">
      <c r="A19" s="16">
        <v>11</v>
      </c>
      <c r="B19" s="65">
        <v>24</v>
      </c>
      <c r="C19" s="16">
        <v>2</v>
      </c>
      <c r="D19" s="19">
        <v>3.1779999999999999</v>
      </c>
      <c r="E19" s="19">
        <v>3.194</v>
      </c>
      <c r="F19" s="19">
        <v>3.194</v>
      </c>
      <c r="G19" s="19">
        <f t="shared" si="0"/>
        <v>35.398164594434576</v>
      </c>
      <c r="H19" s="19">
        <f t="shared" si="1"/>
        <v>0.10254889328412545</v>
      </c>
    </row>
    <row r="20" spans="1:8">
      <c r="A20" s="16">
        <v>12</v>
      </c>
      <c r="B20" s="65">
        <v>30</v>
      </c>
      <c r="C20" s="16">
        <v>2</v>
      </c>
      <c r="D20" s="19">
        <v>2.9950000000000001</v>
      </c>
      <c r="E20" s="19">
        <v>3.0139999999999998</v>
      </c>
      <c r="F20" s="19">
        <v>3.028</v>
      </c>
      <c r="G20" s="19">
        <f t="shared" si="0"/>
        <v>33.440645352279461</v>
      </c>
      <c r="H20" s="19">
        <f t="shared" si="1"/>
        <v>0.1838700155240498</v>
      </c>
    </row>
    <row r="21" spans="1:8">
      <c r="A21" s="16">
        <v>13</v>
      </c>
      <c r="B21" s="65">
        <v>48</v>
      </c>
      <c r="C21" s="16">
        <v>2</v>
      </c>
      <c r="D21" s="19">
        <v>2.5</v>
      </c>
      <c r="E21" s="19">
        <v>2.8119999999999998</v>
      </c>
      <c r="F21" s="19">
        <v>2.8519999999999999</v>
      </c>
      <c r="G21" s="19">
        <f t="shared" si="0"/>
        <v>30.210183540556546</v>
      </c>
      <c r="H21" s="19">
        <f t="shared" si="1"/>
        <v>2.1394412628957546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1"/>
  <sheetViews>
    <sheetView workbookViewId="0">
      <selection activeCell="G7" sqref="G7:H2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65</v>
      </c>
      <c r="B2" s="17">
        <v>46.03</v>
      </c>
    </row>
    <row r="4" spans="1:8">
      <c r="A4" s="145" t="s">
        <v>65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60</v>
      </c>
      <c r="C6" s="29" t="s">
        <v>19</v>
      </c>
      <c r="D6" s="150"/>
      <c r="E6" s="150"/>
      <c r="F6" s="150"/>
      <c r="G6" s="152"/>
      <c r="H6" s="152"/>
    </row>
    <row r="7" spans="1:8">
      <c r="A7" s="66">
        <v>0</v>
      </c>
      <c r="B7" s="62">
        <v>-0.16666666666666666</v>
      </c>
      <c r="C7" s="16">
        <v>2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7">
        <v>0</v>
      </c>
      <c r="B8" s="65">
        <v>0.16666666666666666</v>
      </c>
      <c r="C8" s="16">
        <v>2</v>
      </c>
      <c r="D8" s="55">
        <v>4.0000000000000001E-3</v>
      </c>
      <c r="E8" s="55">
        <v>8.9999999999999993E-3</v>
      </c>
      <c r="F8" s="55">
        <v>2E-3</v>
      </c>
      <c r="G8" s="16">
        <f t="shared" ref="G8:G10" si="1">(C8*1000*AVERAGE(D8:F8))/$B$2</f>
        <v>0.21724961981316532</v>
      </c>
      <c r="H8" s="19">
        <f t="shared" si="0"/>
        <v>0.15666092876228499</v>
      </c>
    </row>
    <row r="9" spans="1:8">
      <c r="A9" s="67">
        <v>1</v>
      </c>
      <c r="B9" s="65">
        <v>2</v>
      </c>
      <c r="C9" s="16">
        <v>2</v>
      </c>
      <c r="D9" s="55">
        <v>2E-3</v>
      </c>
      <c r="E9" s="55">
        <v>3.0000000000000001E-3</v>
      </c>
      <c r="F9" s="55">
        <v>2E-3</v>
      </c>
      <c r="G9" s="16">
        <f t="shared" si="1"/>
        <v>0.1013831559128105</v>
      </c>
      <c r="H9" s="19">
        <f t="shared" si="0"/>
        <v>2.5085825296094974E-2</v>
      </c>
    </row>
    <row r="10" spans="1:8">
      <c r="A10" s="67">
        <v>2</v>
      </c>
      <c r="B10" s="65">
        <v>3.3333333333333335</v>
      </c>
      <c r="C10" s="16">
        <v>2</v>
      </c>
      <c r="D10" s="55">
        <v>5.0000000000000001E-3</v>
      </c>
      <c r="E10" s="55">
        <v>4.0000000000000001E-3</v>
      </c>
      <c r="F10" s="55">
        <v>4.0000000000000001E-3</v>
      </c>
      <c r="G10" s="16">
        <f t="shared" si="1"/>
        <v>0.18828300383807664</v>
      </c>
      <c r="H10" s="19">
        <f t="shared" ref="H10:H14" si="2">(C10*1000*STDEV(D10:F10))/$B$2</f>
        <v>2.5085825296094974E-2</v>
      </c>
    </row>
    <row r="11" spans="1:8">
      <c r="A11" s="67">
        <v>3</v>
      </c>
      <c r="B11" s="65">
        <v>4.666666666666667</v>
      </c>
      <c r="C11" s="16">
        <v>2</v>
      </c>
      <c r="D11" s="55">
        <v>8.0000000000000002E-3</v>
      </c>
      <c r="E11" s="55">
        <v>7.0000000000000001E-3</v>
      </c>
      <c r="F11" s="55">
        <v>7.0000000000000001E-3</v>
      </c>
      <c r="G11" s="16">
        <f t="shared" ref="G11:G15" si="3">(C11*1000*AVERAGE(D11:F11))/$B$2</f>
        <v>0.31863277572597581</v>
      </c>
      <c r="H11" s="19">
        <f t="shared" si="2"/>
        <v>2.5085825296094974E-2</v>
      </c>
    </row>
    <row r="12" spans="1:8">
      <c r="A12" s="67">
        <v>4</v>
      </c>
      <c r="B12" s="65">
        <v>6</v>
      </c>
      <c r="C12" s="16">
        <v>2</v>
      </c>
      <c r="D12" s="55">
        <v>1.6E-2</v>
      </c>
      <c r="E12" s="55">
        <v>1.6E-2</v>
      </c>
      <c r="F12" s="55">
        <v>1.6E-2</v>
      </c>
      <c r="G12" s="16">
        <f t="shared" si="3"/>
        <v>0.69519878340212904</v>
      </c>
      <c r="H12" s="19">
        <f t="shared" si="2"/>
        <v>0</v>
      </c>
    </row>
    <row r="13" spans="1:8">
      <c r="A13" s="67">
        <v>5</v>
      </c>
      <c r="B13" s="65">
        <v>7.333333333333333</v>
      </c>
      <c r="C13" s="16">
        <v>2</v>
      </c>
      <c r="D13" s="55">
        <v>2.7E-2</v>
      </c>
      <c r="E13" s="55">
        <v>2.7E-2</v>
      </c>
      <c r="F13" s="55">
        <v>2.5999999999999999E-2</v>
      </c>
      <c r="G13" s="16">
        <f t="shared" si="3"/>
        <v>1.1586646390035484</v>
      </c>
      <c r="H13" s="19">
        <f t="shared" si="2"/>
        <v>2.5085825296094995E-2</v>
      </c>
    </row>
    <row r="14" spans="1:8">
      <c r="A14" s="67">
        <v>6</v>
      </c>
      <c r="B14" s="65">
        <v>8.6666666666666661</v>
      </c>
      <c r="C14" s="16">
        <v>2</v>
      </c>
      <c r="D14" s="55">
        <v>4.8000000000000001E-2</v>
      </c>
      <c r="E14" s="55">
        <v>4.7E-2</v>
      </c>
      <c r="F14" s="55">
        <v>4.8000000000000001E-2</v>
      </c>
      <c r="G14" s="16">
        <f t="shared" si="3"/>
        <v>2.0711130422188431</v>
      </c>
      <c r="H14" s="19">
        <f t="shared" si="2"/>
        <v>2.5085825296094995E-2</v>
      </c>
    </row>
    <row r="15" spans="1:8">
      <c r="A15" s="67">
        <v>7</v>
      </c>
      <c r="B15" s="65">
        <v>10</v>
      </c>
      <c r="C15" s="16">
        <v>2</v>
      </c>
      <c r="D15" s="55">
        <v>8.6999999999999994E-2</v>
      </c>
      <c r="E15" s="55">
        <v>8.2000000000000003E-2</v>
      </c>
      <c r="F15" s="55">
        <v>8.5000000000000006E-2</v>
      </c>
      <c r="G15" s="16">
        <f t="shared" si="3"/>
        <v>3.6787602288362664</v>
      </c>
      <c r="H15" s="19">
        <f t="shared" ref="H15:H21" si="4">(C15*1000*STDEV(D15:F15))/$B$2</f>
        <v>0.10934657738099407</v>
      </c>
    </row>
    <row r="16" spans="1:8">
      <c r="A16" s="67">
        <v>8</v>
      </c>
      <c r="B16" s="65">
        <v>11.333333333333334</v>
      </c>
      <c r="C16" s="16">
        <v>2</v>
      </c>
      <c r="D16" s="55">
        <v>9.8000000000000004E-2</v>
      </c>
      <c r="E16" s="55">
        <v>9.5000000000000001E-2</v>
      </c>
      <c r="F16" s="55">
        <v>9.4E-2</v>
      </c>
      <c r="G16" s="16">
        <f t="shared" ref="G16:G21" si="5">(C16*1000*AVERAGE(D16:F16))/$B$2</f>
        <v>4.1567093924252303</v>
      </c>
      <c r="H16" s="19">
        <f t="shared" si="4"/>
        <v>9.0448229392402116E-2</v>
      </c>
    </row>
    <row r="17" spans="1:8">
      <c r="A17" s="67">
        <v>9</v>
      </c>
      <c r="B17" s="65">
        <v>12.666666666666666</v>
      </c>
      <c r="C17" s="16">
        <v>2</v>
      </c>
      <c r="D17" s="55">
        <v>0.11</v>
      </c>
      <c r="E17" s="55">
        <v>0.113</v>
      </c>
      <c r="F17" s="55">
        <v>0.113</v>
      </c>
      <c r="G17" s="16">
        <f t="shared" si="5"/>
        <v>4.8663914838149029</v>
      </c>
      <c r="H17" s="19">
        <f t="shared" si="4"/>
        <v>7.5257475888284991E-2</v>
      </c>
    </row>
    <row r="18" spans="1:8">
      <c r="A18" s="67">
        <v>10</v>
      </c>
      <c r="B18" s="65">
        <v>14</v>
      </c>
      <c r="C18" s="16">
        <v>2</v>
      </c>
      <c r="D18" s="55">
        <v>0.115</v>
      </c>
      <c r="E18" s="55">
        <v>0.11700000000000001</v>
      </c>
      <c r="F18" s="55">
        <v>0.112</v>
      </c>
      <c r="G18" s="16">
        <f t="shared" si="5"/>
        <v>4.9822579477152589</v>
      </c>
      <c r="H18" s="19">
        <f t="shared" si="4"/>
        <v>0.10934657738099436</v>
      </c>
    </row>
    <row r="19" spans="1:8">
      <c r="A19" s="67">
        <v>11</v>
      </c>
      <c r="B19" s="65">
        <v>24</v>
      </c>
      <c r="C19" s="16">
        <v>2</v>
      </c>
      <c r="D19" s="55">
        <v>0.184</v>
      </c>
      <c r="E19" s="55">
        <v>0.189</v>
      </c>
      <c r="F19" s="55">
        <v>0.187</v>
      </c>
      <c r="G19" s="16">
        <f t="shared" si="5"/>
        <v>8.1106524730248388</v>
      </c>
      <c r="H19" s="19">
        <f t="shared" si="4"/>
        <v>0.10934657738099436</v>
      </c>
    </row>
    <row r="20" spans="1:8">
      <c r="A20" s="67">
        <v>12</v>
      </c>
      <c r="B20" s="65">
        <v>30</v>
      </c>
      <c r="C20" s="16">
        <v>2</v>
      </c>
      <c r="D20" s="55">
        <v>0.23</v>
      </c>
      <c r="E20" s="55">
        <v>0.23200000000000001</v>
      </c>
      <c r="F20" s="55">
        <v>0.23300000000000001</v>
      </c>
      <c r="G20" s="16">
        <f t="shared" si="5"/>
        <v>10.065899051343328</v>
      </c>
      <c r="H20" s="19">
        <f t="shared" si="4"/>
        <v>6.6370855166280593E-2</v>
      </c>
    </row>
    <row r="21" spans="1:8">
      <c r="A21" s="67">
        <v>13</v>
      </c>
      <c r="B21" s="65">
        <v>48</v>
      </c>
      <c r="C21" s="16">
        <v>2</v>
      </c>
      <c r="D21" s="55">
        <v>0.222</v>
      </c>
      <c r="E21" s="55">
        <v>0.249</v>
      </c>
      <c r="F21" s="55">
        <v>0.25700000000000001</v>
      </c>
      <c r="G21" s="16">
        <f t="shared" si="5"/>
        <v>10.543848214932289</v>
      </c>
      <c r="H21" s="19">
        <f t="shared" si="4"/>
        <v>0.7968452286757286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4" workbookViewId="0">
      <selection activeCell="G7" sqref="G7:H2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45" t="s">
        <v>43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2" t="s">
        <v>4</v>
      </c>
      <c r="B6" s="22" t="s">
        <v>60</v>
      </c>
      <c r="C6" s="22" t="s">
        <v>19</v>
      </c>
      <c r="D6" s="150"/>
      <c r="E6" s="150"/>
      <c r="F6" s="150"/>
      <c r="G6" s="152"/>
      <c r="H6" s="152"/>
    </row>
    <row r="7" spans="1:8">
      <c r="A7" s="66">
        <v>0</v>
      </c>
      <c r="B7" s="62">
        <v>-0.16666666666666666</v>
      </c>
      <c r="C7" s="16">
        <v>2</v>
      </c>
      <c r="D7" s="19">
        <v>1.4910000000000001</v>
      </c>
      <c r="E7" s="19">
        <v>1.4870000000000001</v>
      </c>
      <c r="F7" s="19">
        <v>1.49</v>
      </c>
      <c r="G7" s="16">
        <f>(C7*1000*AVERAGE(D7:F7))/$B$2</f>
        <v>49.603108520677218</v>
      </c>
      <c r="H7" s="19">
        <f>(C7*1000*STDEV(D7:F7))/$B$2</f>
        <v>6.9331090739920637E-2</v>
      </c>
    </row>
    <row r="8" spans="1:8">
      <c r="A8" s="67">
        <v>0</v>
      </c>
      <c r="B8" s="65">
        <v>0.16666666666666666</v>
      </c>
      <c r="C8" s="16">
        <v>2</v>
      </c>
      <c r="D8" s="19">
        <v>1.4550000000000001</v>
      </c>
      <c r="E8" s="19">
        <v>1.46</v>
      </c>
      <c r="F8" s="19">
        <v>1.46</v>
      </c>
      <c r="G8" s="16">
        <f t="shared" ref="G8:G21" si="0">(C8*1000*AVERAGE(D8:F8))/$B$2</f>
        <v>48.570635581459896</v>
      </c>
      <c r="H8" s="19">
        <f t="shared" ref="H8:H21" si="1">(C8*1000*STDEV(D8:F8))/$B$2</f>
        <v>9.6144924094856532E-2</v>
      </c>
    </row>
    <row r="9" spans="1:8">
      <c r="A9" s="67">
        <v>1</v>
      </c>
      <c r="B9" s="65">
        <v>2</v>
      </c>
      <c r="C9" s="16">
        <v>2</v>
      </c>
      <c r="D9" s="19">
        <v>1.46</v>
      </c>
      <c r="E9" s="19">
        <v>1.478</v>
      </c>
      <c r="F9" s="19">
        <v>1.4730000000000001</v>
      </c>
      <c r="G9" s="16">
        <f t="shared" si="0"/>
        <v>48.970302525673048</v>
      </c>
      <c r="H9" s="19">
        <f t="shared" si="1"/>
        <v>0.30946122375279245</v>
      </c>
    </row>
    <row r="10" spans="1:8">
      <c r="A10" s="67">
        <v>2</v>
      </c>
      <c r="B10" s="65">
        <v>3.3333333333333335</v>
      </c>
      <c r="C10" s="16">
        <v>2</v>
      </c>
      <c r="D10" s="19">
        <v>1.421</v>
      </c>
      <c r="E10" s="19">
        <v>1.4259999999999999</v>
      </c>
      <c r="F10" s="19">
        <v>1.413</v>
      </c>
      <c r="G10" s="16">
        <f t="shared" si="0"/>
        <v>47.293921731890094</v>
      </c>
      <c r="H10" s="19">
        <f t="shared" si="1"/>
        <v>0.218399284739449</v>
      </c>
    </row>
    <row r="11" spans="1:8">
      <c r="A11" s="67">
        <v>3</v>
      </c>
      <c r="B11" s="65">
        <v>4.666666666666667</v>
      </c>
      <c r="C11" s="16">
        <v>2</v>
      </c>
      <c r="D11" s="19">
        <v>1.462</v>
      </c>
      <c r="E11" s="19">
        <v>1.452</v>
      </c>
      <c r="F11" s="19">
        <v>1.413</v>
      </c>
      <c r="G11" s="16">
        <f t="shared" si="0"/>
        <v>48.037746322509022</v>
      </c>
      <c r="H11" s="19">
        <f t="shared" si="1"/>
        <v>0.86230795355565282</v>
      </c>
    </row>
    <row r="12" spans="1:8">
      <c r="A12" s="67">
        <v>4</v>
      </c>
      <c r="B12" s="65">
        <v>6</v>
      </c>
      <c r="C12" s="16">
        <v>2</v>
      </c>
      <c r="D12" s="19">
        <v>1.452</v>
      </c>
      <c r="E12" s="19">
        <v>1.4470000000000001</v>
      </c>
      <c r="F12" s="19">
        <v>1.45</v>
      </c>
      <c r="G12" s="16">
        <f t="shared" si="0"/>
        <v>48.281987232861511</v>
      </c>
      <c r="H12" s="19">
        <f t="shared" si="1"/>
        <v>8.381720161277359E-2</v>
      </c>
    </row>
    <row r="13" spans="1:8">
      <c r="A13" s="67">
        <v>5</v>
      </c>
      <c r="B13" s="65">
        <v>7.333333333333333</v>
      </c>
      <c r="C13" s="16">
        <v>2</v>
      </c>
      <c r="D13" s="19">
        <v>1.429</v>
      </c>
      <c r="E13" s="19">
        <v>1.4430000000000001</v>
      </c>
      <c r="F13" s="19">
        <v>1.43</v>
      </c>
      <c r="G13" s="16">
        <f t="shared" si="0"/>
        <v>47.760199833472107</v>
      </c>
      <c r="H13" s="19">
        <f t="shared" si="1"/>
        <v>0.26012488512595139</v>
      </c>
    </row>
    <row r="14" spans="1:8">
      <c r="A14" s="67">
        <v>6</v>
      </c>
      <c r="B14" s="65">
        <v>8.6666666666666661</v>
      </c>
      <c r="C14" s="16">
        <v>2</v>
      </c>
      <c r="D14" s="19">
        <v>1.407</v>
      </c>
      <c r="E14" s="19">
        <v>1.411</v>
      </c>
      <c r="F14" s="19">
        <v>1.419</v>
      </c>
      <c r="G14" s="16">
        <f t="shared" si="0"/>
        <v>47.038578961976135</v>
      </c>
      <c r="H14" s="19">
        <f t="shared" si="1"/>
        <v>0.20350044718094226</v>
      </c>
    </row>
    <row r="15" spans="1:8">
      <c r="A15" s="67">
        <v>7</v>
      </c>
      <c r="B15" s="65">
        <v>10</v>
      </c>
      <c r="C15" s="16">
        <v>2</v>
      </c>
      <c r="D15" s="19">
        <v>1.4450000000000001</v>
      </c>
      <c r="E15" s="19">
        <v>1.3839999999999999</v>
      </c>
      <c r="F15" s="19">
        <v>1.4159999999999999</v>
      </c>
      <c r="G15" s="16">
        <f t="shared" si="0"/>
        <v>47.127393838467938</v>
      </c>
      <c r="H15" s="19">
        <f t="shared" si="1"/>
        <v>1.0162295621910007</v>
      </c>
    </row>
    <row r="16" spans="1:8">
      <c r="A16" s="67">
        <v>8</v>
      </c>
      <c r="B16" s="65">
        <v>11.333333333333334</v>
      </c>
      <c r="C16" s="16">
        <v>2</v>
      </c>
      <c r="D16" s="19">
        <v>1.3520000000000001</v>
      </c>
      <c r="E16" s="19">
        <v>1.3420000000000001</v>
      </c>
      <c r="F16" s="19">
        <v>1.3129999999999999</v>
      </c>
      <c r="G16" s="16">
        <f t="shared" si="0"/>
        <v>44.485151262836524</v>
      </c>
      <c r="H16" s="19">
        <f t="shared" si="1"/>
        <v>0.67466065408775155</v>
      </c>
    </row>
    <row r="17" spans="1:8">
      <c r="A17" s="67">
        <v>9</v>
      </c>
      <c r="B17" s="65">
        <v>12.666666666666666</v>
      </c>
      <c r="C17" s="16">
        <v>2</v>
      </c>
      <c r="D17" s="19">
        <v>1.3120000000000001</v>
      </c>
      <c r="E17" s="19">
        <v>1.3129999999999999</v>
      </c>
      <c r="F17" s="19">
        <v>1.3140000000000001</v>
      </c>
      <c r="G17" s="16">
        <f t="shared" si="0"/>
        <v>43.730224812656125</v>
      </c>
      <c r="H17" s="19">
        <f t="shared" si="1"/>
        <v>3.3305578684429675E-2</v>
      </c>
    </row>
    <row r="18" spans="1:8">
      <c r="A18" s="67">
        <v>10</v>
      </c>
      <c r="B18" s="65">
        <v>14</v>
      </c>
      <c r="C18" s="16">
        <v>2</v>
      </c>
      <c r="D18" s="19">
        <v>1.2150000000000001</v>
      </c>
      <c r="E18" s="19">
        <v>1.22</v>
      </c>
      <c r="F18" s="19">
        <v>1.216</v>
      </c>
      <c r="G18" s="16">
        <f t="shared" si="0"/>
        <v>40.532889258950867</v>
      </c>
      <c r="H18" s="19">
        <f t="shared" si="1"/>
        <v>8.8118278470093278E-2</v>
      </c>
    </row>
    <row r="19" spans="1:8">
      <c r="A19" s="67">
        <v>11</v>
      </c>
      <c r="B19" s="65">
        <v>24</v>
      </c>
      <c r="C19" s="16">
        <v>2</v>
      </c>
      <c r="D19" s="19">
        <v>1.091</v>
      </c>
      <c r="E19" s="19">
        <v>1.1060000000000001</v>
      </c>
      <c r="F19" s="19">
        <v>1.1020000000000001</v>
      </c>
      <c r="G19" s="16">
        <f t="shared" si="0"/>
        <v>36.625034693311136</v>
      </c>
      <c r="H19" s="19">
        <f t="shared" si="1"/>
        <v>0.25869953256133549</v>
      </c>
    </row>
    <row r="20" spans="1:8">
      <c r="A20" s="67">
        <v>12</v>
      </c>
      <c r="B20" s="65">
        <v>30</v>
      </c>
      <c r="C20" s="16">
        <v>2</v>
      </c>
      <c r="D20" s="19">
        <v>1.0900000000000001</v>
      </c>
      <c r="E20" s="19">
        <v>1.099</v>
      </c>
      <c r="F20" s="19">
        <v>1.1020000000000001</v>
      </c>
      <c r="G20" s="16">
        <f t="shared" si="0"/>
        <v>36.536219816819326</v>
      </c>
      <c r="H20" s="19">
        <f t="shared" si="1"/>
        <v>0.20799327221976308</v>
      </c>
    </row>
    <row r="21" spans="1:8">
      <c r="A21" s="67">
        <v>13</v>
      </c>
      <c r="B21" s="65">
        <v>48</v>
      </c>
      <c r="C21" s="16">
        <v>2</v>
      </c>
      <c r="D21" s="19">
        <v>0.96699999999999997</v>
      </c>
      <c r="E21" s="19">
        <v>1.0840000000000001</v>
      </c>
      <c r="F21" s="19">
        <v>1.091</v>
      </c>
      <c r="G21" s="16">
        <f t="shared" si="0"/>
        <v>34.882042742159321</v>
      </c>
      <c r="H21" s="19">
        <f t="shared" si="1"/>
        <v>2.3200230384196927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1"/>
  <sheetViews>
    <sheetView workbookViewId="0">
      <selection activeCell="A22" sqref="A22:XFD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67</v>
      </c>
      <c r="B2" s="17">
        <v>74.08</v>
      </c>
    </row>
    <row r="4" spans="1:8">
      <c r="A4" s="145" t="s">
        <v>67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60</v>
      </c>
      <c r="C6" s="29" t="s">
        <v>19</v>
      </c>
      <c r="D6" s="150"/>
      <c r="E6" s="150"/>
      <c r="F6" s="150"/>
      <c r="G6" s="152"/>
      <c r="H6" s="152"/>
    </row>
    <row r="7" spans="1:8">
      <c r="A7" s="66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7">
        <v>0</v>
      </c>
      <c r="B8" s="65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7">
        <v>1</v>
      </c>
      <c r="B9" s="65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7">
        <v>2</v>
      </c>
      <c r="B10" s="65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7">
        <v>3</v>
      </c>
      <c r="B11" s="65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7">
        <v>4</v>
      </c>
      <c r="B12" s="65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7">
        <v>5</v>
      </c>
      <c r="B13" s="65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7">
        <v>6</v>
      </c>
      <c r="B14" s="65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7">
        <v>7</v>
      </c>
      <c r="B15" s="65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7">
        <v>8</v>
      </c>
      <c r="B16" s="65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7">
        <v>9</v>
      </c>
      <c r="B17" s="65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7">
        <v>10</v>
      </c>
      <c r="B18" s="65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1" si="2">(C18*1000*AVERAGE(D18:F18))/$B$2</f>
        <v>0</v>
      </c>
      <c r="H18" s="19">
        <f t="shared" ref="H18:H21" si="3">(C18*1000*STDEV(D18:F18))/$B$2</f>
        <v>0</v>
      </c>
    </row>
    <row r="19" spans="1:8">
      <c r="A19" s="67">
        <v>11</v>
      </c>
      <c r="B19" s="65">
        <v>24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7">
        <v>12</v>
      </c>
      <c r="B20" s="65">
        <v>30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7">
        <v>13</v>
      </c>
      <c r="B21" s="65">
        <v>48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1"/>
  <sheetViews>
    <sheetView topLeftCell="A3" workbookViewId="0">
      <selection activeCell="G7" sqref="G7:H2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66</v>
      </c>
      <c r="B2" s="17">
        <v>88.11</v>
      </c>
    </row>
    <row r="4" spans="1:8">
      <c r="A4" s="145" t="s">
        <v>66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60</v>
      </c>
      <c r="C6" s="29" t="s">
        <v>19</v>
      </c>
      <c r="D6" s="150"/>
      <c r="E6" s="150"/>
      <c r="F6" s="150"/>
      <c r="G6" s="152"/>
      <c r="H6" s="152"/>
    </row>
    <row r="7" spans="1:8">
      <c r="A7" s="66">
        <v>0</v>
      </c>
      <c r="B7" s="62">
        <v>-0.16666666666666666</v>
      </c>
      <c r="C7" s="16">
        <v>2</v>
      </c>
      <c r="D7" s="69">
        <v>1.288</v>
      </c>
      <c r="E7" s="70">
        <v>1.296</v>
      </c>
      <c r="F7" s="70">
        <v>1.2909999999999999</v>
      </c>
      <c r="G7" s="16">
        <f>(C7*1000*AVERAGE(D7:F7))/$B$2</f>
        <v>29.319411341883253</v>
      </c>
      <c r="H7" s="19">
        <f>(C7*1000*STDEV(D7:F7))/$B$2</f>
        <v>9.1736508553566978E-2</v>
      </c>
    </row>
    <row r="8" spans="1:8">
      <c r="A8" s="67">
        <v>0</v>
      </c>
      <c r="B8" s="65">
        <v>0.16666666666666666</v>
      </c>
      <c r="C8" s="16">
        <v>2</v>
      </c>
      <c r="D8" s="71">
        <v>1.2250000000000001</v>
      </c>
      <c r="E8" s="72">
        <v>1.2430000000000001</v>
      </c>
      <c r="F8" s="72">
        <v>1.2210000000000001</v>
      </c>
      <c r="G8" s="16">
        <f t="shared" ref="G8:G21" si="0">(C8*1000*AVERAGE(D8:F8))/$B$2</f>
        <v>27.912079597472857</v>
      </c>
      <c r="H8" s="19">
        <f t="shared" ref="H8:H21" si="1">(C8*1000*STDEV(D8:F8))/$B$2</f>
        <v>0.26600682224865829</v>
      </c>
    </row>
    <row r="9" spans="1:8">
      <c r="A9" s="67">
        <v>1</v>
      </c>
      <c r="B9" s="65">
        <v>2</v>
      </c>
      <c r="C9" s="16">
        <v>2</v>
      </c>
      <c r="D9" s="71">
        <v>1.2370000000000001</v>
      </c>
      <c r="E9" s="72">
        <v>1.2589999999999999</v>
      </c>
      <c r="F9" s="72">
        <v>1.2470000000000001</v>
      </c>
      <c r="G9" s="16">
        <f t="shared" si="0"/>
        <v>28.320659781333941</v>
      </c>
      <c r="H9" s="19">
        <f t="shared" si="1"/>
        <v>0.25003157631533535</v>
      </c>
    </row>
    <row r="10" spans="1:8">
      <c r="A10" s="67">
        <v>2</v>
      </c>
      <c r="B10" s="65">
        <v>3.3333333333333335</v>
      </c>
      <c r="C10" s="16">
        <v>2</v>
      </c>
      <c r="D10" s="73">
        <v>1.2250000000000001</v>
      </c>
      <c r="E10" s="73">
        <v>1.2310000000000001</v>
      </c>
      <c r="F10" s="73">
        <v>1.2170000000000001</v>
      </c>
      <c r="G10" s="16">
        <f t="shared" si="0"/>
        <v>27.791018802254762</v>
      </c>
      <c r="H10" s="19">
        <f t="shared" si="1"/>
        <v>0.15943182768286232</v>
      </c>
    </row>
    <row r="11" spans="1:8">
      <c r="A11" s="67">
        <v>3</v>
      </c>
      <c r="B11" s="65">
        <v>4.666666666666667</v>
      </c>
      <c r="C11" s="16">
        <v>2</v>
      </c>
      <c r="D11" s="73">
        <v>1.284</v>
      </c>
      <c r="E11" s="73">
        <v>1.272</v>
      </c>
      <c r="F11" s="73">
        <v>1.2529999999999999</v>
      </c>
      <c r="G11" s="16">
        <f t="shared" si="0"/>
        <v>28.820035561608599</v>
      </c>
      <c r="H11" s="19">
        <f t="shared" si="1"/>
        <v>0.35481024742385381</v>
      </c>
    </row>
    <row r="12" spans="1:8">
      <c r="A12" s="67">
        <v>4</v>
      </c>
      <c r="B12" s="65">
        <v>6</v>
      </c>
      <c r="C12" s="16">
        <v>2</v>
      </c>
      <c r="D12" s="73">
        <v>1.3180000000000001</v>
      </c>
      <c r="E12" s="73">
        <v>1.3169999999999999</v>
      </c>
      <c r="F12" s="73">
        <v>1.319</v>
      </c>
      <c r="G12" s="16">
        <f t="shared" si="0"/>
        <v>29.91714901827261</v>
      </c>
      <c r="H12" s="19">
        <f t="shared" si="1"/>
        <v>2.2698899103393507E-2</v>
      </c>
    </row>
    <row r="13" spans="1:8">
      <c r="A13" s="67">
        <v>5</v>
      </c>
      <c r="B13" s="65">
        <v>7.333333333333333</v>
      </c>
      <c r="C13" s="16">
        <v>2</v>
      </c>
      <c r="D13" s="73">
        <v>1.345</v>
      </c>
      <c r="E13" s="73">
        <v>1.36</v>
      </c>
      <c r="F13" s="73">
        <v>1.345</v>
      </c>
      <c r="G13" s="16">
        <f t="shared" si="0"/>
        <v>30.643513789581199</v>
      </c>
      <c r="H13" s="19">
        <f t="shared" si="1"/>
        <v>0.19657823261478738</v>
      </c>
    </row>
    <row r="14" spans="1:8">
      <c r="A14" s="67">
        <v>6</v>
      </c>
      <c r="B14" s="65">
        <v>8.6666666666666661</v>
      </c>
      <c r="C14" s="16">
        <v>2</v>
      </c>
      <c r="D14" s="73">
        <v>1.42</v>
      </c>
      <c r="E14" s="73">
        <v>1.4350000000000001</v>
      </c>
      <c r="F14" s="73">
        <v>1.4379999999999999</v>
      </c>
      <c r="G14" s="16">
        <f t="shared" si="0"/>
        <v>32.482124616956078</v>
      </c>
      <c r="H14" s="19">
        <f t="shared" si="1"/>
        <v>0.21890025561214357</v>
      </c>
    </row>
    <row r="15" spans="1:8">
      <c r="A15" s="67">
        <v>7</v>
      </c>
      <c r="B15" s="65">
        <v>10</v>
      </c>
      <c r="C15" s="16">
        <v>2</v>
      </c>
      <c r="D15" s="73">
        <v>1.627</v>
      </c>
      <c r="E15" s="73">
        <v>1.5660000000000001</v>
      </c>
      <c r="F15" s="73">
        <v>1.603</v>
      </c>
      <c r="G15" s="16">
        <f t="shared" si="0"/>
        <v>36.287973366625053</v>
      </c>
      <c r="H15" s="19">
        <f t="shared" si="1"/>
        <v>0.69753732948939762</v>
      </c>
    </row>
    <row r="16" spans="1:8">
      <c r="A16" s="67">
        <v>8</v>
      </c>
      <c r="B16" s="65">
        <v>11.333333333333334</v>
      </c>
      <c r="C16" s="16">
        <v>2</v>
      </c>
      <c r="D16" s="73">
        <v>1.6459999999999999</v>
      </c>
      <c r="E16" s="73">
        <v>1.635</v>
      </c>
      <c r="F16" s="73">
        <v>1.599</v>
      </c>
      <c r="G16" s="16">
        <f t="shared" si="0"/>
        <v>36.923542541520071</v>
      </c>
      <c r="H16" s="19">
        <f t="shared" si="1"/>
        <v>0.55801139689001711</v>
      </c>
    </row>
    <row r="17" spans="1:8">
      <c r="A17" s="67">
        <v>9</v>
      </c>
      <c r="B17" s="65">
        <v>12.666666666666666</v>
      </c>
      <c r="C17" s="16">
        <v>2</v>
      </c>
      <c r="D17" s="73">
        <v>1.77</v>
      </c>
      <c r="E17" s="73">
        <v>1.7609999999999999</v>
      </c>
      <c r="F17" s="73">
        <v>1.766</v>
      </c>
      <c r="G17" s="16">
        <f t="shared" si="0"/>
        <v>40.078689516891764</v>
      </c>
      <c r="H17" s="19">
        <f t="shared" si="1"/>
        <v>0.10235500517133028</v>
      </c>
    </row>
    <row r="18" spans="1:8">
      <c r="A18" s="67">
        <v>10</v>
      </c>
      <c r="B18" s="65">
        <v>14</v>
      </c>
      <c r="C18" s="16">
        <v>2</v>
      </c>
      <c r="D18" s="73">
        <v>1.768</v>
      </c>
      <c r="E18" s="73">
        <v>1.7789999999999999</v>
      </c>
      <c r="F18" s="73">
        <v>1.766</v>
      </c>
      <c r="G18" s="16">
        <f t="shared" si="0"/>
        <v>40.199750312109863</v>
      </c>
      <c r="H18" s="19">
        <f t="shared" si="1"/>
        <v>0.1588922937237531</v>
      </c>
    </row>
    <row r="19" spans="1:8">
      <c r="A19" s="67">
        <v>11</v>
      </c>
      <c r="B19" s="65">
        <v>24</v>
      </c>
      <c r="C19" s="16">
        <v>2</v>
      </c>
      <c r="D19" s="73">
        <v>2.097</v>
      </c>
      <c r="E19" s="73">
        <v>2.1120000000000001</v>
      </c>
      <c r="F19" s="73">
        <v>2.1110000000000002</v>
      </c>
      <c r="G19" s="16">
        <f t="shared" si="0"/>
        <v>47.819014111148952</v>
      </c>
      <c r="H19" s="19">
        <f t="shared" si="1"/>
        <v>0.19036425113168048</v>
      </c>
    </row>
    <row r="20" spans="1:8">
      <c r="A20" s="67">
        <v>12</v>
      </c>
      <c r="B20" s="65">
        <v>30</v>
      </c>
      <c r="C20" s="16">
        <v>2</v>
      </c>
      <c r="D20" s="73">
        <v>2.1619999999999999</v>
      </c>
      <c r="E20" s="73">
        <v>2.1739999999999999</v>
      </c>
      <c r="F20" s="73">
        <v>2.1819999999999999</v>
      </c>
      <c r="G20" s="16">
        <f t="shared" si="0"/>
        <v>49.317141451972923</v>
      </c>
      <c r="H20" s="19">
        <f t="shared" si="1"/>
        <v>0.22849724012471551</v>
      </c>
    </row>
    <row r="21" spans="1:8">
      <c r="A21" s="67">
        <v>13</v>
      </c>
      <c r="B21" s="65">
        <v>48</v>
      </c>
      <c r="C21" s="16">
        <v>2</v>
      </c>
      <c r="D21" s="73">
        <v>1.9810000000000001</v>
      </c>
      <c r="E21" s="73">
        <v>2.2290000000000001</v>
      </c>
      <c r="F21" s="73">
        <v>2.2629999999999999</v>
      </c>
      <c r="G21" s="16">
        <f t="shared" si="0"/>
        <v>48.976657965422007</v>
      </c>
      <c r="H21" s="19">
        <f t="shared" si="1"/>
        <v>3.4942545002625471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7" sqref="G7:H2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45" t="s">
        <v>42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2" t="s">
        <v>4</v>
      </c>
      <c r="B6" s="22" t="s">
        <v>60</v>
      </c>
      <c r="C6" s="22" t="s">
        <v>19</v>
      </c>
      <c r="D6" s="150"/>
      <c r="E6" s="150"/>
      <c r="F6" s="150"/>
      <c r="G6" s="152"/>
      <c r="H6" s="152"/>
    </row>
    <row r="7" spans="1:8">
      <c r="A7" s="66">
        <v>0</v>
      </c>
      <c r="B7" s="62">
        <v>-0.16666666666666666</v>
      </c>
      <c r="C7" s="16">
        <v>2</v>
      </c>
      <c r="D7" s="42">
        <v>3.1E-2</v>
      </c>
      <c r="E7" s="42">
        <v>3.3000000000000002E-2</v>
      </c>
      <c r="F7" s="42">
        <v>3.3000000000000002E-2</v>
      </c>
      <c r="G7" s="16">
        <f>(C7*1000*AVERAGE(D7:F7))/$B$2</f>
        <v>0.71788040260509167</v>
      </c>
      <c r="H7" s="19">
        <f>(C7*1000*STDEV(D7:F7))/$B$2</f>
        <v>2.5637223321031358E-2</v>
      </c>
    </row>
    <row r="8" spans="1:8">
      <c r="A8" s="67">
        <v>0</v>
      </c>
      <c r="B8" s="65">
        <v>0.16666666666666666</v>
      </c>
      <c r="C8" s="16">
        <v>2</v>
      </c>
      <c r="D8" s="42">
        <v>3.2000000000000001E-2</v>
      </c>
      <c r="E8" s="42">
        <v>3.4000000000000002E-2</v>
      </c>
      <c r="F8" s="42">
        <v>3.4000000000000002E-2</v>
      </c>
      <c r="G8" s="16">
        <f t="shared" ref="G8:G21" si="0">(C8*1000*AVERAGE(D8:F8))/$B$2</f>
        <v>0.74008288928359978</v>
      </c>
      <c r="H8" s="19">
        <f t="shared" ref="H8:H21" si="1">(C8*1000*STDEV(D8:F8))/$B$2</f>
        <v>2.5637223321031358E-2</v>
      </c>
    </row>
    <row r="9" spans="1:8">
      <c r="A9" s="67">
        <v>1</v>
      </c>
      <c r="B9" s="65">
        <v>2</v>
      </c>
      <c r="C9" s="16">
        <v>2</v>
      </c>
      <c r="D9" s="42">
        <v>3.3000000000000002E-2</v>
      </c>
      <c r="E9" s="42">
        <v>3.5000000000000003E-2</v>
      </c>
      <c r="F9" s="42">
        <v>3.3000000000000002E-2</v>
      </c>
      <c r="G9" s="16">
        <f t="shared" si="0"/>
        <v>0.74748371817643589</v>
      </c>
      <c r="H9" s="19">
        <f t="shared" si="1"/>
        <v>2.5637223321031358E-2</v>
      </c>
    </row>
    <row r="10" spans="1:8">
      <c r="A10" s="67">
        <v>2</v>
      </c>
      <c r="B10" s="65">
        <v>3.3333333333333335</v>
      </c>
      <c r="C10" s="16">
        <v>2</v>
      </c>
      <c r="D10" s="55">
        <v>3.5000000000000003E-2</v>
      </c>
      <c r="E10" s="55">
        <v>3.2000000000000001E-2</v>
      </c>
      <c r="F10" s="55">
        <v>3.4000000000000002E-2</v>
      </c>
      <c r="G10" s="16">
        <f t="shared" si="0"/>
        <v>0.74748371817643589</v>
      </c>
      <c r="H10" s="19">
        <f t="shared" si="1"/>
        <v>3.3914858606837212E-2</v>
      </c>
    </row>
    <row r="11" spans="1:8">
      <c r="A11" s="67">
        <v>3</v>
      </c>
      <c r="B11" s="65">
        <v>4.666666666666667</v>
      </c>
      <c r="C11" s="16">
        <v>2</v>
      </c>
      <c r="D11" s="55">
        <v>3.5999999999999997E-2</v>
      </c>
      <c r="E11" s="55">
        <v>3.4000000000000002E-2</v>
      </c>
      <c r="F11" s="55">
        <v>3.4000000000000002E-2</v>
      </c>
      <c r="G11" s="16">
        <f t="shared" si="0"/>
        <v>0.76968620485494388</v>
      </c>
      <c r="H11" s="19">
        <f t="shared" si="1"/>
        <v>2.5637223321031275E-2</v>
      </c>
    </row>
    <row r="12" spans="1:8">
      <c r="A12" s="67">
        <v>4</v>
      </c>
      <c r="B12" s="65">
        <v>6</v>
      </c>
      <c r="C12" s="16">
        <v>2</v>
      </c>
      <c r="D12" s="55">
        <v>3.7999999999999999E-2</v>
      </c>
      <c r="E12" s="55">
        <v>3.5999999999999997E-2</v>
      </c>
      <c r="F12" s="55">
        <v>3.6999999999999998E-2</v>
      </c>
      <c r="G12" s="16">
        <f t="shared" si="0"/>
        <v>0.82149200710479575</v>
      </c>
      <c r="H12" s="19">
        <f t="shared" si="1"/>
        <v>2.2202486678508014E-2</v>
      </c>
    </row>
    <row r="13" spans="1:8">
      <c r="A13" s="67">
        <v>5</v>
      </c>
      <c r="B13" s="65">
        <v>7.333333333333333</v>
      </c>
      <c r="C13" s="16">
        <v>2</v>
      </c>
      <c r="D13" s="55">
        <v>3.6999999999999998E-2</v>
      </c>
      <c r="E13" s="55">
        <v>3.7999999999999999E-2</v>
      </c>
      <c r="F13" s="55">
        <v>3.7999999999999999E-2</v>
      </c>
      <c r="G13" s="16">
        <f t="shared" si="0"/>
        <v>0.83629366489046775</v>
      </c>
      <c r="H13" s="19">
        <f t="shared" si="1"/>
        <v>1.2818611660515681E-2</v>
      </c>
    </row>
    <row r="14" spans="1:8">
      <c r="A14" s="67">
        <v>6</v>
      </c>
      <c r="B14" s="65">
        <v>8.6666666666666661</v>
      </c>
      <c r="C14" s="16">
        <v>2</v>
      </c>
      <c r="D14" s="55">
        <v>3.6999999999999998E-2</v>
      </c>
      <c r="E14" s="55">
        <v>3.7999999999999999E-2</v>
      </c>
      <c r="F14" s="55">
        <v>3.6999999999999998E-2</v>
      </c>
      <c r="G14" s="16">
        <f t="shared" si="0"/>
        <v>0.82889283599763164</v>
      </c>
      <c r="H14" s="19">
        <f t="shared" si="1"/>
        <v>1.2818611660515681E-2</v>
      </c>
    </row>
    <row r="15" spans="1:8">
      <c r="A15" s="67">
        <v>7</v>
      </c>
      <c r="B15" s="65">
        <v>10</v>
      </c>
      <c r="C15" s="16">
        <v>2</v>
      </c>
      <c r="D15" s="55">
        <v>0.04</v>
      </c>
      <c r="E15" s="55">
        <v>3.9E-2</v>
      </c>
      <c r="F15" s="55">
        <v>3.7999999999999999E-2</v>
      </c>
      <c r="G15" s="16">
        <f t="shared" si="0"/>
        <v>0.86589698046181174</v>
      </c>
      <c r="H15" s="19">
        <f t="shared" si="1"/>
        <v>2.2202486678508014E-2</v>
      </c>
    </row>
    <row r="16" spans="1:8">
      <c r="A16" s="67">
        <v>8</v>
      </c>
      <c r="B16" s="65">
        <v>11.333333333333334</v>
      </c>
      <c r="C16" s="16">
        <v>2</v>
      </c>
      <c r="D16" s="55">
        <v>0.04</v>
      </c>
      <c r="E16" s="55">
        <v>3.7999999999999999E-2</v>
      </c>
      <c r="F16" s="55">
        <v>3.6999999999999998E-2</v>
      </c>
      <c r="G16" s="16">
        <f t="shared" si="0"/>
        <v>0.85109532267613963</v>
      </c>
      <c r="H16" s="19">
        <f t="shared" si="1"/>
        <v>3.3914858606837212E-2</v>
      </c>
    </row>
    <row r="17" spans="1:8">
      <c r="A17" s="67">
        <v>9</v>
      </c>
      <c r="B17" s="65">
        <v>12.666666666666666</v>
      </c>
      <c r="C17" s="16">
        <v>2</v>
      </c>
      <c r="D17" s="55">
        <v>0.04</v>
      </c>
      <c r="E17" s="55">
        <v>3.7999999999999999E-2</v>
      </c>
      <c r="F17" s="55">
        <v>3.9E-2</v>
      </c>
      <c r="G17" s="16">
        <f t="shared" si="0"/>
        <v>0.86589698046181174</v>
      </c>
      <c r="H17" s="19">
        <f t="shared" si="1"/>
        <v>2.2202486678508014E-2</v>
      </c>
    </row>
    <row r="18" spans="1:8">
      <c r="A18" s="67">
        <v>10</v>
      </c>
      <c r="B18" s="65">
        <v>14</v>
      </c>
      <c r="C18" s="16">
        <v>2</v>
      </c>
      <c r="D18" s="42">
        <v>3.7999999999999999E-2</v>
      </c>
      <c r="E18" s="42">
        <v>3.7999999999999999E-2</v>
      </c>
      <c r="F18" s="42">
        <v>3.6999999999999998E-2</v>
      </c>
      <c r="G18" s="16">
        <f t="shared" si="0"/>
        <v>0.83629366489046775</v>
      </c>
      <c r="H18" s="19">
        <f t="shared" si="1"/>
        <v>1.2818611660515681E-2</v>
      </c>
    </row>
    <row r="19" spans="1:8">
      <c r="A19" s="67">
        <v>11</v>
      </c>
      <c r="B19" s="65">
        <v>24</v>
      </c>
      <c r="C19" s="16">
        <v>2</v>
      </c>
      <c r="D19" s="55">
        <v>4.7E-2</v>
      </c>
      <c r="E19" s="55">
        <v>4.8000000000000001E-2</v>
      </c>
      <c r="F19" s="55">
        <v>4.9000000000000002E-2</v>
      </c>
      <c r="G19" s="16">
        <f t="shared" si="0"/>
        <v>1.0657193605683839</v>
      </c>
      <c r="H19" s="19">
        <f t="shared" si="1"/>
        <v>2.2202486678508014E-2</v>
      </c>
    </row>
    <row r="20" spans="1:8">
      <c r="A20" s="67">
        <v>12</v>
      </c>
      <c r="B20" s="65">
        <v>30</v>
      </c>
      <c r="C20" s="16">
        <v>2</v>
      </c>
      <c r="D20" s="55">
        <v>5.8000000000000003E-2</v>
      </c>
      <c r="E20" s="55">
        <v>5.8000000000000003E-2</v>
      </c>
      <c r="F20" s="55">
        <v>0.06</v>
      </c>
      <c r="G20" s="16">
        <f t="shared" si="0"/>
        <v>1.3025458851391356</v>
      </c>
      <c r="H20" s="19">
        <f t="shared" si="1"/>
        <v>2.5637223321031275E-2</v>
      </c>
    </row>
    <row r="21" spans="1:8">
      <c r="A21" s="67">
        <v>13</v>
      </c>
      <c r="B21" s="65">
        <v>48</v>
      </c>
      <c r="C21" s="16">
        <v>2</v>
      </c>
      <c r="D21" s="55">
        <v>8.2000000000000003E-2</v>
      </c>
      <c r="E21" s="55">
        <v>9.2999999999999999E-2</v>
      </c>
      <c r="F21" s="55">
        <v>9.2999999999999999E-2</v>
      </c>
      <c r="G21" s="16">
        <f t="shared" si="0"/>
        <v>1.9834221432800474</v>
      </c>
      <c r="H21" s="19">
        <f t="shared" si="1"/>
        <v>0.14100472826567234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2" sqref="A22:XFD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45" t="s">
        <v>44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2" t="s">
        <v>4</v>
      </c>
      <c r="B6" s="22" t="s">
        <v>60</v>
      </c>
      <c r="C6" s="22" t="s">
        <v>19</v>
      </c>
      <c r="D6" s="150"/>
      <c r="E6" s="150"/>
      <c r="F6" s="150"/>
      <c r="G6" s="152"/>
      <c r="H6" s="152"/>
    </row>
    <row r="7" spans="1:8">
      <c r="A7" s="66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7">
        <v>0</v>
      </c>
      <c r="B8" s="65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7">
        <v>1</v>
      </c>
      <c r="B9" s="65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7">
        <v>2</v>
      </c>
      <c r="B10" s="65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7">
        <v>3</v>
      </c>
      <c r="B11" s="65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7">
        <v>4</v>
      </c>
      <c r="B12" s="65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7">
        <v>5</v>
      </c>
      <c r="B13" s="65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7">
        <v>6</v>
      </c>
      <c r="B14" s="65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7">
        <v>7</v>
      </c>
      <c r="B15" s="65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7">
        <v>8</v>
      </c>
      <c r="B16" s="65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7">
        <v>9</v>
      </c>
      <c r="B17" s="65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7">
        <v>10</v>
      </c>
      <c r="B18" s="65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1" si="2">(C18*1000*AVERAGE(D18:F18))/$B$2</f>
        <v>0</v>
      </c>
      <c r="H18" s="19">
        <f t="shared" ref="H18:H21" si="3">(C18*1000*STDEV(D18:F18))/$B$2</f>
        <v>0</v>
      </c>
    </row>
    <row r="19" spans="1:8">
      <c r="A19" s="67">
        <v>11</v>
      </c>
      <c r="B19" s="65">
        <v>24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7">
        <v>12</v>
      </c>
      <c r="B20" s="65">
        <v>30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7">
        <v>13</v>
      </c>
      <c r="B21" s="65">
        <v>48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A17" sqref="A17"/>
    </sheetView>
  </sheetViews>
  <sheetFormatPr baseColWidth="10" defaultColWidth="8.83203125" defaultRowHeight="14" x14ac:dyDescent="0"/>
  <cols>
    <col min="1" max="1" width="25.83203125" customWidth="1"/>
  </cols>
  <sheetData>
    <row r="1" spans="1:5">
      <c r="B1" s="31" t="s">
        <v>78</v>
      </c>
      <c r="C1" s="31" t="s">
        <v>79</v>
      </c>
    </row>
    <row r="2" spans="1:5">
      <c r="A2" s="31" t="s">
        <v>145</v>
      </c>
      <c r="B2" s="77">
        <f>Metabolites!H4-Metabolites!H17</f>
        <v>16.314183944805848</v>
      </c>
      <c r="C2" s="77">
        <f>Metabolites!I4+Metabolites!I17</f>
        <v>2.3037370616021255</v>
      </c>
    </row>
    <row r="3" spans="1:5">
      <c r="A3" s="31" t="s">
        <v>124</v>
      </c>
      <c r="B3" s="77">
        <f>Metabolites!P4-Metabolites!P17</f>
        <v>13.188844612752703</v>
      </c>
      <c r="C3" s="77">
        <f>Metabolites!Q4+Metabolites!Q17</f>
        <v>2.4537129053634668</v>
      </c>
    </row>
    <row r="4" spans="1:5">
      <c r="A4" s="31" t="s">
        <v>125</v>
      </c>
      <c r="B4" s="77">
        <f>Metabolites!T17-Metabolites!T4</f>
        <v>10.496382846087009</v>
      </c>
      <c r="C4" s="77">
        <f>Metabolites!U4+Metabolites!U17</f>
        <v>0.96656156243391989</v>
      </c>
    </row>
    <row r="5" spans="1:5">
      <c r="A5" s="31" t="s">
        <v>126</v>
      </c>
      <c r="B5" s="77">
        <f>Metabolites!L17-Metabolites!L4</f>
        <v>1.2743725096205383</v>
      </c>
      <c r="C5" s="77">
        <f>Metabolites!M17+Metabolites!M4</f>
        <v>0.16894945559456159</v>
      </c>
    </row>
    <row r="6" spans="1:5">
      <c r="A6" s="31" t="s">
        <v>127</v>
      </c>
      <c r="B6" s="77">
        <f>Metabolites!L35-Metabolites!L22</f>
        <v>21.818407022337571</v>
      </c>
      <c r="C6" s="77">
        <f>Metabolites!M35+Metabolites!M22</f>
        <v>3.8169657567468991</v>
      </c>
    </row>
    <row r="7" spans="1:5">
      <c r="A7" s="31" t="s">
        <v>80</v>
      </c>
      <c r="B7" s="77">
        <f>'H2'!G101</f>
        <v>0</v>
      </c>
      <c r="C7" s="77"/>
    </row>
    <row r="8" spans="1:5">
      <c r="A8" s="31" t="s">
        <v>81</v>
      </c>
      <c r="B8" s="77">
        <f>'CO2'!G201</f>
        <v>21.993148347249562</v>
      </c>
      <c r="C8" s="77"/>
    </row>
    <row r="9" spans="1:5">
      <c r="A9" s="31" t="s">
        <v>128</v>
      </c>
      <c r="B9" s="77">
        <f>Calculation!G17*1.5/1000</f>
        <v>2.7E-2</v>
      </c>
      <c r="C9" s="77"/>
    </row>
    <row r="10" spans="1:5" ht="16">
      <c r="A10" s="31" t="s">
        <v>129</v>
      </c>
      <c r="B10" s="77">
        <f>Calculation!H17*1.5/1000</f>
        <v>0</v>
      </c>
      <c r="C10" s="77"/>
    </row>
    <row r="12" spans="1:5">
      <c r="A12" s="31" t="s">
        <v>82</v>
      </c>
      <c r="B12" s="68">
        <f>((4*$B$6)+(3*$B$5)+($B$4)+(B8))/((6*$B$2)+(2*$B$3))</f>
        <v>0.99455576309662319</v>
      </c>
    </row>
    <row r="14" spans="1:5">
      <c r="A14" s="58"/>
      <c r="B14" s="58"/>
      <c r="C14" s="58" t="s">
        <v>131</v>
      </c>
      <c r="D14" s="58" t="s">
        <v>132</v>
      </c>
    </row>
    <row r="15" spans="1:5">
      <c r="A15" s="58" t="s">
        <v>171</v>
      </c>
      <c r="B15" s="58" t="s">
        <v>133</v>
      </c>
      <c r="C15" s="78">
        <f>B2</f>
        <v>16.314183944805848</v>
      </c>
      <c r="D15" s="78">
        <f>B2</f>
        <v>16.314183944805848</v>
      </c>
      <c r="E15" s="58"/>
    </row>
    <row r="16" spans="1:5">
      <c r="A16" s="58" t="s">
        <v>172</v>
      </c>
      <c r="B16" s="58" t="s">
        <v>134</v>
      </c>
      <c r="C16" s="78">
        <f>2*C15</f>
        <v>32.628367889611695</v>
      </c>
      <c r="D16" s="78">
        <f>2*B2</f>
        <v>32.628367889611695</v>
      </c>
      <c r="E16" s="58"/>
    </row>
    <row r="17" spans="1:5">
      <c r="A17" s="58" t="s">
        <v>173</v>
      </c>
      <c r="B17" s="58" t="s">
        <v>135</v>
      </c>
      <c r="C17" s="78">
        <f>B5</f>
        <v>1.2743725096205383</v>
      </c>
      <c r="D17" s="78">
        <f>B5</f>
        <v>1.2743725096205383</v>
      </c>
      <c r="E17" s="58"/>
    </row>
    <row r="18" spans="1:5">
      <c r="A18" s="58" t="s">
        <v>174</v>
      </c>
      <c r="B18" s="58" t="s">
        <v>136</v>
      </c>
      <c r="C18" s="78">
        <f>B4</f>
        <v>10.496382846087009</v>
      </c>
      <c r="D18" s="78">
        <f>B4</f>
        <v>10.496382846087009</v>
      </c>
      <c r="E18" s="58"/>
    </row>
    <row r="19" spans="1:5">
      <c r="A19" s="58" t="s">
        <v>175</v>
      </c>
      <c r="B19" s="58" t="s">
        <v>137</v>
      </c>
      <c r="C19" s="79">
        <f>C16-C17-C18</f>
        <v>20.857612533904149</v>
      </c>
      <c r="D19" s="79">
        <f>B8</f>
        <v>21.993148347249562</v>
      </c>
      <c r="E19" s="58"/>
    </row>
    <row r="20" spans="1:5">
      <c r="A20" s="58" t="s">
        <v>176</v>
      </c>
      <c r="B20" s="58" t="s">
        <v>138</v>
      </c>
      <c r="C20" s="78">
        <f>B3</f>
        <v>13.188844612752703</v>
      </c>
      <c r="D20" s="78">
        <f>B3</f>
        <v>13.188844612752703</v>
      </c>
      <c r="E20" s="58"/>
    </row>
    <row r="21" spans="1:5">
      <c r="A21" s="58" t="s">
        <v>177</v>
      </c>
      <c r="B21" s="58" t="s">
        <v>140</v>
      </c>
      <c r="C21" s="78">
        <f>C16-C17+C20</f>
        <v>44.542839992743865</v>
      </c>
      <c r="D21" s="78">
        <f>B6</f>
        <v>21.818407022337571</v>
      </c>
      <c r="E21" s="58"/>
    </row>
    <row r="22" spans="1:5">
      <c r="A22" s="58" t="s">
        <v>178</v>
      </c>
      <c r="B22" s="58" t="s">
        <v>141</v>
      </c>
      <c r="C22" s="79">
        <f>C21/2</f>
        <v>22.271419996371932</v>
      </c>
      <c r="D22" s="79">
        <f>B6</f>
        <v>21.818407022337571</v>
      </c>
      <c r="E22" s="58"/>
    </row>
    <row r="23" spans="1:5">
      <c r="A23" s="58" t="s">
        <v>179</v>
      </c>
      <c r="B23" s="58"/>
      <c r="E23" s="58"/>
    </row>
    <row r="24" spans="1:5">
      <c r="A24" s="58"/>
      <c r="B24" s="58"/>
      <c r="C24" s="59"/>
      <c r="D24" s="59"/>
      <c r="E24" s="58"/>
    </row>
    <row r="25" spans="1:5">
      <c r="A25" s="58"/>
      <c r="B25" s="58"/>
      <c r="C25" s="58"/>
      <c r="D25" s="58"/>
      <c r="E25" s="58"/>
    </row>
    <row r="26" spans="1:5">
      <c r="A26" s="58"/>
      <c r="B26" s="58"/>
      <c r="C26" s="58"/>
      <c r="D26" s="58"/>
      <c r="E26" s="58"/>
    </row>
    <row r="27" spans="1:5">
      <c r="A27" s="58"/>
      <c r="B27" s="58"/>
      <c r="C27" s="58"/>
      <c r="D27" s="58"/>
      <c r="E27" s="58"/>
    </row>
    <row r="28" spans="1:5">
      <c r="C28" s="58"/>
      <c r="D28" s="58"/>
      <c r="E28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4" sqref="A4:D17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18" t="s">
        <v>4</v>
      </c>
      <c r="B1" s="118" t="s">
        <v>118</v>
      </c>
      <c r="C1" s="118" t="s">
        <v>118</v>
      </c>
      <c r="D1" s="118" t="s">
        <v>5</v>
      </c>
      <c r="E1" s="4" t="s">
        <v>7</v>
      </c>
      <c r="F1" s="4" t="s">
        <v>9</v>
      </c>
      <c r="G1" s="117" t="s">
        <v>11</v>
      </c>
      <c r="H1" s="117" t="s">
        <v>12</v>
      </c>
      <c r="I1" s="4" t="s">
        <v>13</v>
      </c>
      <c r="J1" s="4" t="s">
        <v>16</v>
      </c>
      <c r="K1" s="4" t="s">
        <v>16</v>
      </c>
    </row>
    <row r="2" spans="1:11">
      <c r="A2" s="119"/>
      <c r="B2" s="119"/>
      <c r="C2" s="119"/>
      <c r="D2" s="119"/>
      <c r="E2" s="5" t="s">
        <v>8</v>
      </c>
      <c r="F2" s="5" t="s">
        <v>10</v>
      </c>
      <c r="G2" s="117"/>
      <c r="H2" s="117"/>
      <c r="I2" s="5" t="s">
        <v>14</v>
      </c>
      <c r="J2" s="5" t="s">
        <v>17</v>
      </c>
      <c r="K2" s="5" t="s">
        <v>142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62</v>
      </c>
      <c r="F3" s="1">
        <f>E3</f>
        <v>62</v>
      </c>
      <c r="G3" s="1">
        <v>1</v>
      </c>
      <c r="H3" s="1">
        <v>0</v>
      </c>
      <c r="I3" s="1">
        <f>$F$19+G3+H3</f>
        <v>1501</v>
      </c>
      <c r="J3" s="13">
        <f>F3*1500/I3</f>
        <v>61.958694203864091</v>
      </c>
      <c r="K3" s="13">
        <f>$F$20-J3</f>
        <v>1513.0413057961359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17" si="0">C4/60</f>
        <v>0.16666666666666666</v>
      </c>
      <c r="E4" s="1">
        <v>54</v>
      </c>
      <c r="F4" s="1">
        <f>E4+F3</f>
        <v>116</v>
      </c>
      <c r="G4" s="40">
        <v>2</v>
      </c>
      <c r="H4" s="1">
        <v>0</v>
      </c>
      <c r="I4" s="1">
        <f t="shared" ref="I4:I17" si="1">$F$20-F3+G4+H4</f>
        <v>1515</v>
      </c>
      <c r="J4" s="13">
        <f>E4*K3/I4</f>
        <v>53.930185157089994</v>
      </c>
      <c r="K4" s="13">
        <f>K3-J4</f>
        <v>1459.111120639046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45</v>
      </c>
      <c r="F5" s="1">
        <f t="shared" ref="F5:F17" si="2">E5+F4</f>
        <v>161</v>
      </c>
      <c r="G5" s="40">
        <v>2</v>
      </c>
      <c r="H5" s="1">
        <v>0</v>
      </c>
      <c r="I5" s="40">
        <f t="shared" si="1"/>
        <v>1461</v>
      </c>
      <c r="J5" s="13">
        <f t="shared" ref="J5:J13" si="3">E5*K4/I5</f>
        <v>44.941820964241671</v>
      </c>
      <c r="K5" s="13">
        <f>K4-J5</f>
        <v>1414.1692996748043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38</v>
      </c>
      <c r="F6" s="1">
        <f t="shared" si="2"/>
        <v>199</v>
      </c>
      <c r="G6" s="40">
        <v>3</v>
      </c>
      <c r="H6" s="23">
        <v>0</v>
      </c>
      <c r="I6" s="40">
        <f t="shared" si="1"/>
        <v>1417</v>
      </c>
      <c r="J6" s="13">
        <f>E6*K5/I6</f>
        <v>37.924088488103436</v>
      </c>
      <c r="K6" s="13">
        <f t="shared" ref="K6:K13" si="4">K5-J6</f>
        <v>1376.2452111867008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49</v>
      </c>
      <c r="F7" s="1">
        <f t="shared" si="2"/>
        <v>248</v>
      </c>
      <c r="G7" s="40">
        <v>3</v>
      </c>
      <c r="H7" s="23">
        <v>0</v>
      </c>
      <c r="I7" s="40">
        <f t="shared" si="1"/>
        <v>1379</v>
      </c>
      <c r="J7" s="13">
        <f>E7*K6/I7</f>
        <v>48.902114103080741</v>
      </c>
      <c r="K7" s="13">
        <f>K6-J7</f>
        <v>1327.34309708362</v>
      </c>
    </row>
    <row r="8" spans="1:11">
      <c r="A8" s="1">
        <v>4</v>
      </c>
      <c r="B8" s="32">
        <v>80</v>
      </c>
      <c r="C8" s="32">
        <f t="shared" ref="C8:C17" si="5">C7+B8</f>
        <v>360</v>
      </c>
      <c r="D8" s="13">
        <f t="shared" si="0"/>
        <v>6</v>
      </c>
      <c r="E8" s="1">
        <v>50</v>
      </c>
      <c r="F8" s="1">
        <f t="shared" si="2"/>
        <v>298</v>
      </c>
      <c r="G8" s="40">
        <v>4</v>
      </c>
      <c r="H8" s="23">
        <v>0</v>
      </c>
      <c r="I8" s="40">
        <f t="shared" si="1"/>
        <v>1331</v>
      </c>
      <c r="J8" s="13">
        <f t="shared" si="3"/>
        <v>49.862625735673184</v>
      </c>
      <c r="K8" s="13">
        <f t="shared" si="4"/>
        <v>1277.4804713479468</v>
      </c>
    </row>
    <row r="9" spans="1:11">
      <c r="A9" s="1">
        <v>5</v>
      </c>
      <c r="B9" s="32">
        <v>80</v>
      </c>
      <c r="C9" s="32">
        <f t="shared" si="5"/>
        <v>440</v>
      </c>
      <c r="D9" s="13">
        <f t="shared" si="0"/>
        <v>7.333333333333333</v>
      </c>
      <c r="E9" s="1">
        <v>56</v>
      </c>
      <c r="F9" s="1">
        <f t="shared" si="2"/>
        <v>354</v>
      </c>
      <c r="G9" s="40">
        <v>5</v>
      </c>
      <c r="H9" s="23">
        <v>0</v>
      </c>
      <c r="I9" s="40">
        <f t="shared" si="1"/>
        <v>1282</v>
      </c>
      <c r="J9" s="13">
        <f t="shared" si="3"/>
        <v>55.802579091641988</v>
      </c>
      <c r="K9" s="13">
        <f t="shared" si="4"/>
        <v>1221.6778922563049</v>
      </c>
    </row>
    <row r="10" spans="1:11">
      <c r="A10" s="1">
        <v>6</v>
      </c>
      <c r="B10" s="32">
        <v>80</v>
      </c>
      <c r="C10" s="32">
        <f t="shared" si="5"/>
        <v>520</v>
      </c>
      <c r="D10" s="13">
        <f t="shared" si="0"/>
        <v>8.6666666666666661</v>
      </c>
      <c r="E10" s="1">
        <v>47</v>
      </c>
      <c r="F10" s="1">
        <f t="shared" si="2"/>
        <v>401</v>
      </c>
      <c r="G10" s="40">
        <v>7</v>
      </c>
      <c r="H10" s="23">
        <v>0</v>
      </c>
      <c r="I10" s="40">
        <f t="shared" si="1"/>
        <v>1228</v>
      </c>
      <c r="J10" s="13">
        <f t="shared" si="3"/>
        <v>46.758030078213622</v>
      </c>
      <c r="K10" s="13">
        <f t="shared" si="4"/>
        <v>1174.9198621780913</v>
      </c>
    </row>
    <row r="11" spans="1:11">
      <c r="A11" s="1">
        <v>7</v>
      </c>
      <c r="B11" s="32">
        <v>80</v>
      </c>
      <c r="C11" s="32">
        <f t="shared" si="5"/>
        <v>600</v>
      </c>
      <c r="D11" s="13">
        <f t="shared" si="0"/>
        <v>10</v>
      </c>
      <c r="E11" s="1">
        <v>54</v>
      </c>
      <c r="F11" s="1">
        <f t="shared" si="2"/>
        <v>455</v>
      </c>
      <c r="G11" s="40">
        <v>9</v>
      </c>
      <c r="H11" s="23">
        <v>0</v>
      </c>
      <c r="I11" s="40">
        <f t="shared" si="1"/>
        <v>1183</v>
      </c>
      <c r="J11" s="13">
        <f t="shared" si="3"/>
        <v>53.631168687757338</v>
      </c>
      <c r="K11" s="13">
        <f t="shared" si="4"/>
        <v>1121.288693490334</v>
      </c>
    </row>
    <row r="12" spans="1:11">
      <c r="A12" s="1">
        <v>8</v>
      </c>
      <c r="B12" s="32">
        <v>80</v>
      </c>
      <c r="C12" s="32">
        <f t="shared" si="5"/>
        <v>680</v>
      </c>
      <c r="D12" s="13">
        <f t="shared" si="0"/>
        <v>11.333333333333334</v>
      </c>
      <c r="E12" s="1">
        <v>42</v>
      </c>
      <c r="F12" s="1">
        <f t="shared" si="2"/>
        <v>497</v>
      </c>
      <c r="G12" s="40">
        <v>10</v>
      </c>
      <c r="H12" s="23">
        <v>0</v>
      </c>
      <c r="I12" s="40">
        <f t="shared" si="1"/>
        <v>1130</v>
      </c>
      <c r="J12" s="13">
        <f t="shared" si="3"/>
        <v>41.676216926189404</v>
      </c>
      <c r="K12" s="13">
        <f t="shared" si="4"/>
        <v>1079.6124765641446</v>
      </c>
    </row>
    <row r="13" spans="1:11">
      <c r="A13" s="1">
        <v>9</v>
      </c>
      <c r="B13" s="32">
        <v>80</v>
      </c>
      <c r="C13" s="32">
        <f t="shared" si="5"/>
        <v>760</v>
      </c>
      <c r="D13" s="13">
        <f t="shared" si="0"/>
        <v>12.666666666666666</v>
      </c>
      <c r="E13" s="1">
        <v>41</v>
      </c>
      <c r="F13" s="1">
        <f t="shared" si="2"/>
        <v>538</v>
      </c>
      <c r="G13" s="40">
        <v>11</v>
      </c>
      <c r="H13" s="23">
        <v>0</v>
      </c>
      <c r="I13" s="40">
        <f t="shared" si="1"/>
        <v>1089</v>
      </c>
      <c r="J13" s="13">
        <f t="shared" si="3"/>
        <v>40.646567069908102</v>
      </c>
      <c r="K13" s="13">
        <f t="shared" si="4"/>
        <v>1038.9659094942365</v>
      </c>
    </row>
    <row r="14" spans="1:11">
      <c r="A14" s="37">
        <v>10</v>
      </c>
      <c r="B14" s="32">
        <v>80</v>
      </c>
      <c r="C14" s="32">
        <f t="shared" si="5"/>
        <v>840</v>
      </c>
      <c r="D14" s="13">
        <f t="shared" si="0"/>
        <v>14</v>
      </c>
      <c r="E14" s="3">
        <v>53</v>
      </c>
      <c r="F14" s="37">
        <f t="shared" si="2"/>
        <v>591</v>
      </c>
      <c r="G14" s="40">
        <v>11</v>
      </c>
      <c r="H14" s="40">
        <v>0</v>
      </c>
      <c r="I14" s="40">
        <f t="shared" si="1"/>
        <v>1048</v>
      </c>
      <c r="J14" s="13">
        <f t="shared" ref="J14:J17" si="6">E14*K13/I14</f>
        <v>52.543123285490964</v>
      </c>
      <c r="K14" s="13">
        <f t="shared" ref="K14:K16" si="7">K13-J14</f>
        <v>986.42278620874549</v>
      </c>
    </row>
    <row r="15" spans="1:11">
      <c r="A15" s="37">
        <v>11</v>
      </c>
      <c r="B15" s="32">
        <v>600</v>
      </c>
      <c r="C15" s="32">
        <f t="shared" si="5"/>
        <v>1440</v>
      </c>
      <c r="D15" s="13">
        <f t="shared" si="0"/>
        <v>24</v>
      </c>
      <c r="E15" s="37">
        <v>49</v>
      </c>
      <c r="F15" s="37">
        <f t="shared" si="2"/>
        <v>640</v>
      </c>
      <c r="G15" s="40">
        <v>14</v>
      </c>
      <c r="H15" s="40">
        <v>0</v>
      </c>
      <c r="I15" s="40">
        <f t="shared" si="1"/>
        <v>998</v>
      </c>
      <c r="J15" s="13">
        <f t="shared" si="6"/>
        <v>48.431579683595714</v>
      </c>
      <c r="K15" s="13">
        <f t="shared" si="7"/>
        <v>937.99120652514978</v>
      </c>
    </row>
    <row r="16" spans="1:11">
      <c r="A16" s="37">
        <v>12</v>
      </c>
      <c r="B16" s="32">
        <v>360</v>
      </c>
      <c r="C16" s="32">
        <f t="shared" si="5"/>
        <v>1800</v>
      </c>
      <c r="D16" s="13">
        <f t="shared" si="0"/>
        <v>30</v>
      </c>
      <c r="E16" s="37">
        <v>54</v>
      </c>
      <c r="F16" s="37">
        <f t="shared" si="2"/>
        <v>694</v>
      </c>
      <c r="G16" s="40">
        <v>16</v>
      </c>
      <c r="H16" s="40">
        <v>0</v>
      </c>
      <c r="I16" s="40">
        <f t="shared" si="1"/>
        <v>951</v>
      </c>
      <c r="J16" s="13">
        <f t="shared" si="6"/>
        <v>53.261330338967497</v>
      </c>
      <c r="K16" s="13">
        <f t="shared" si="7"/>
        <v>884.72987618618231</v>
      </c>
    </row>
    <row r="17" spans="1:11">
      <c r="A17" s="37">
        <v>13</v>
      </c>
      <c r="B17" s="32">
        <v>1080</v>
      </c>
      <c r="C17" s="32">
        <f t="shared" si="5"/>
        <v>2880</v>
      </c>
      <c r="D17" s="13">
        <f t="shared" si="0"/>
        <v>48</v>
      </c>
      <c r="E17" s="37">
        <v>65</v>
      </c>
      <c r="F17" s="37">
        <f t="shared" si="2"/>
        <v>759</v>
      </c>
      <c r="G17" s="40">
        <v>18</v>
      </c>
      <c r="H17" s="40">
        <v>0</v>
      </c>
      <c r="I17" s="40">
        <f t="shared" si="1"/>
        <v>899</v>
      </c>
      <c r="J17" s="13">
        <f t="shared" si="6"/>
        <v>63.968233539601613</v>
      </c>
      <c r="K17" s="13">
        <f>K16-J17</f>
        <v>820.76164264658064</v>
      </c>
    </row>
    <row r="19" spans="1:11">
      <c r="A19" s="114" t="s">
        <v>15</v>
      </c>
      <c r="B19" s="115"/>
      <c r="C19" s="115"/>
      <c r="D19" s="115"/>
      <c r="E19" s="116"/>
      <c r="F19" s="1">
        <v>1500</v>
      </c>
    </row>
    <row r="20" spans="1:11">
      <c r="A20" s="114" t="s">
        <v>15</v>
      </c>
      <c r="B20" s="115"/>
      <c r="C20" s="115"/>
      <c r="D20" s="115"/>
      <c r="E20" s="116"/>
      <c r="F20" s="40">
        <v>1575</v>
      </c>
    </row>
  </sheetData>
  <mergeCells count="8">
    <mergeCell ref="A20:E20"/>
    <mergeCell ref="A1:A2"/>
    <mergeCell ref="D1:D2"/>
    <mergeCell ref="G1:G2"/>
    <mergeCell ref="H1:H2"/>
    <mergeCell ref="A19:E19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D10" sqref="D10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18" t="s">
        <v>4</v>
      </c>
      <c r="B1" s="118" t="s">
        <v>118</v>
      </c>
      <c r="C1" s="118" t="s">
        <v>118</v>
      </c>
      <c r="D1" s="118" t="s">
        <v>5</v>
      </c>
      <c r="E1" s="123" t="s">
        <v>18</v>
      </c>
      <c r="F1" s="123"/>
      <c r="G1" s="123"/>
      <c r="H1" s="123"/>
      <c r="I1" s="123" t="s">
        <v>20</v>
      </c>
      <c r="J1" s="123"/>
      <c r="K1" s="123"/>
      <c r="L1" s="123"/>
      <c r="M1" s="123" t="s">
        <v>21</v>
      </c>
      <c r="N1" s="123"/>
      <c r="O1" s="123"/>
      <c r="P1" s="123"/>
      <c r="Q1" s="38" t="s">
        <v>22</v>
      </c>
      <c r="R1" s="38" t="s">
        <v>22</v>
      </c>
      <c r="S1" s="38" t="s">
        <v>22</v>
      </c>
    </row>
    <row r="2" spans="1:19">
      <c r="A2" s="119"/>
      <c r="B2" s="119"/>
      <c r="C2" s="119"/>
      <c r="D2" s="119"/>
      <c r="E2" s="41" t="s">
        <v>19</v>
      </c>
      <c r="F2" s="41" t="s">
        <v>68</v>
      </c>
      <c r="G2" s="41" t="s">
        <v>119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40" t="s">
        <v>6</v>
      </c>
      <c r="B3" s="32">
        <v>-10</v>
      </c>
      <c r="C3" s="32">
        <f>B3</f>
        <v>-10</v>
      </c>
      <c r="D3" s="13">
        <f>C3/60</f>
        <v>-0.16666666666666666</v>
      </c>
      <c r="Q3" s="120"/>
      <c r="R3" s="121"/>
      <c r="S3" s="122"/>
    </row>
    <row r="4" spans="1:19">
      <c r="A4" s="40">
        <v>0</v>
      </c>
      <c r="B4" s="32">
        <v>10</v>
      </c>
      <c r="C4" s="32">
        <f>B4</f>
        <v>10</v>
      </c>
      <c r="D4" s="13">
        <f t="shared" ref="D4:D17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7" si="1">LOG(Q4)</f>
        <v>#DIV/0!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40">
        <v>4</v>
      </c>
      <c r="B8" s="32">
        <v>80</v>
      </c>
      <c r="C8" s="32">
        <f t="shared" ref="C8:C17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40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40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40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40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40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40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40">
        <v>11</v>
      </c>
      <c r="B15" s="32">
        <v>600</v>
      </c>
      <c r="C15" s="32">
        <f t="shared" si="2"/>
        <v>1440</v>
      </c>
      <c r="D15" s="13">
        <f t="shared" si="0"/>
        <v>24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40">
        <v>12</v>
      </c>
      <c r="B16" s="32">
        <v>360</v>
      </c>
      <c r="C16" s="32">
        <f t="shared" si="2"/>
        <v>1800</v>
      </c>
      <c r="D16" s="13">
        <f t="shared" si="0"/>
        <v>30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40">
        <v>13</v>
      </c>
      <c r="B17" s="32">
        <v>1080</v>
      </c>
      <c r="C17" s="32">
        <f t="shared" si="2"/>
        <v>2880</v>
      </c>
      <c r="D17" s="13">
        <f t="shared" si="0"/>
        <v>48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17"/>
  <sheetViews>
    <sheetView topLeftCell="G1" workbookViewId="0">
      <selection activeCell="V18" sqref="V18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18" t="s">
        <v>4</v>
      </c>
      <c r="B1" s="118" t="s">
        <v>118</v>
      </c>
      <c r="C1" s="118" t="s">
        <v>118</v>
      </c>
      <c r="D1" s="118" t="s">
        <v>5</v>
      </c>
      <c r="E1" s="117" t="s">
        <v>120</v>
      </c>
      <c r="F1" s="117"/>
      <c r="G1" s="117"/>
      <c r="H1" s="117"/>
      <c r="I1" s="117" t="s">
        <v>121</v>
      </c>
      <c r="J1" s="117"/>
      <c r="K1" s="117"/>
      <c r="L1" s="117"/>
      <c r="M1" s="117" t="s">
        <v>122</v>
      </c>
      <c r="N1" s="117"/>
      <c r="O1" s="117"/>
      <c r="P1" s="117"/>
      <c r="Q1" s="25" t="s">
        <v>123</v>
      </c>
      <c r="R1" s="25" t="s">
        <v>123</v>
      </c>
      <c r="S1" s="25" t="s">
        <v>123</v>
      </c>
      <c r="T1" s="56" t="s">
        <v>123</v>
      </c>
      <c r="U1" s="75" t="s">
        <v>120</v>
      </c>
      <c r="V1" s="75" t="s">
        <v>121</v>
      </c>
      <c r="W1" s="75" t="s">
        <v>122</v>
      </c>
      <c r="X1" s="75" t="s">
        <v>123</v>
      </c>
    </row>
    <row r="2" spans="1:24">
      <c r="A2" s="119"/>
      <c r="B2" s="119"/>
      <c r="C2" s="119"/>
      <c r="D2" s="119"/>
      <c r="E2" s="24" t="s">
        <v>19</v>
      </c>
      <c r="F2" s="24" t="s">
        <v>68</v>
      </c>
      <c r="G2" s="24" t="s">
        <v>69</v>
      </c>
      <c r="H2" s="24" t="s">
        <v>70</v>
      </c>
      <c r="I2" s="24" t="s">
        <v>19</v>
      </c>
      <c r="J2" s="24" t="s">
        <v>68</v>
      </c>
      <c r="K2" s="24" t="s">
        <v>69</v>
      </c>
      <c r="L2" s="24" t="s">
        <v>70</v>
      </c>
      <c r="M2" s="24" t="s">
        <v>19</v>
      </c>
      <c r="N2" s="24" t="s">
        <v>68</v>
      </c>
      <c r="O2" s="24" t="s">
        <v>69</v>
      </c>
      <c r="P2" s="24" t="s">
        <v>71</v>
      </c>
      <c r="Q2" s="26" t="s">
        <v>70</v>
      </c>
      <c r="R2" s="26" t="s">
        <v>23</v>
      </c>
      <c r="S2" s="26" t="s">
        <v>72</v>
      </c>
      <c r="T2" s="57" t="s">
        <v>139</v>
      </c>
      <c r="U2" s="76" t="s">
        <v>152</v>
      </c>
      <c r="V2" s="76" t="s">
        <v>152</v>
      </c>
      <c r="W2" s="76" t="s">
        <v>152</v>
      </c>
      <c r="X2" s="76" t="s">
        <v>153</v>
      </c>
    </row>
    <row r="3" spans="1:24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43" t="s">
        <v>102</v>
      </c>
      <c r="F3" s="43" t="s">
        <v>102</v>
      </c>
      <c r="G3" s="43" t="s">
        <v>102</v>
      </c>
      <c r="H3" s="44" t="s">
        <v>102</v>
      </c>
      <c r="I3" s="43" t="s">
        <v>102</v>
      </c>
      <c r="J3" s="43" t="s">
        <v>102</v>
      </c>
      <c r="K3" s="43" t="s">
        <v>102</v>
      </c>
      <c r="L3" s="44" t="s">
        <v>102</v>
      </c>
      <c r="M3" s="43" t="s">
        <v>102</v>
      </c>
      <c r="N3" s="43" t="s">
        <v>102</v>
      </c>
      <c r="O3" s="43" t="s">
        <v>102</v>
      </c>
      <c r="P3" s="44" t="s">
        <v>102</v>
      </c>
      <c r="Q3" s="124" t="s">
        <v>102</v>
      </c>
      <c r="R3" s="125"/>
      <c r="S3" s="126"/>
      <c r="T3" s="44" t="s">
        <v>102</v>
      </c>
      <c r="U3" s="44" t="s">
        <v>102</v>
      </c>
      <c r="V3" s="44" t="s">
        <v>102</v>
      </c>
      <c r="W3" s="44" t="s">
        <v>102</v>
      </c>
      <c r="X3" s="44" t="s">
        <v>102</v>
      </c>
    </row>
    <row r="4" spans="1:24">
      <c r="A4" s="63">
        <v>0</v>
      </c>
      <c r="B4" s="64">
        <v>10</v>
      </c>
      <c r="C4" s="64">
        <v>10</v>
      </c>
      <c r="D4" s="13">
        <f t="shared" ref="D4:D17" si="0">C4/60</f>
        <v>0.16666666666666666</v>
      </c>
      <c r="E4" s="32">
        <v>1</v>
      </c>
      <c r="F4" s="32">
        <v>24562</v>
      </c>
      <c r="G4" s="32">
        <v>7</v>
      </c>
      <c r="H4" s="44">
        <f>('Flow cytometer'!F4/'Flow cytometer'!G4)*POWER(10,'Flow cytometer'!E4+2)*10.2</f>
        <v>35790342.857142851</v>
      </c>
      <c r="I4" s="32">
        <v>1</v>
      </c>
      <c r="J4" s="32">
        <v>25562</v>
      </c>
      <c r="K4" s="32">
        <v>7</v>
      </c>
      <c r="L4" s="44">
        <f>('Flow cytometer'!J4/'Flow cytometer'!K4)*POWER(10,'Flow cytometer'!I4+2)*10.2</f>
        <v>37247485.714285716</v>
      </c>
      <c r="M4" s="32">
        <v>1</v>
      </c>
      <c r="N4" s="32">
        <v>23662</v>
      </c>
      <c r="O4" s="32">
        <v>7</v>
      </c>
      <c r="P4" s="44">
        <f>('Flow cytometer'!N4/'Flow cytometer'!O4)*POWER(10,'Flow cytometer'!M4+2)*10.2</f>
        <v>34478914.285714284</v>
      </c>
      <c r="Q4" s="47">
        <f>AVERAGE(H4,L4,P4)*Calculation!I4/Calculation!K3</f>
        <v>35885309.234361947</v>
      </c>
      <c r="R4" s="48">
        <f>STDEV(H4,L4,P4)*Calculation!I4/Calculation!K3</f>
        <v>1386717.5065108391</v>
      </c>
      <c r="S4" s="49">
        <f>LOG(Q4)</f>
        <v>7.5549166930289271</v>
      </c>
      <c r="T4" s="49">
        <f>LN(Q4)</f>
        <v>17.39583855618028</v>
      </c>
      <c r="U4" s="49">
        <f>LOG(H4)</f>
        <v>7.55376585877704</v>
      </c>
      <c r="V4" s="49">
        <f>LOG(L4)</f>
        <v>7.5710969622584061</v>
      </c>
      <c r="W4" s="49">
        <f>LOG(P4)</f>
        <v>7.5375535817713812</v>
      </c>
      <c r="X4" s="49">
        <f xml:space="preserve"> STDEV(U4:W4)*Calculation!I4/Calculation!K3</f>
        <v>1.6796515458895354E-2</v>
      </c>
    </row>
    <row r="5" spans="1:24">
      <c r="A5" s="63">
        <v>1</v>
      </c>
      <c r="B5" s="64">
        <v>110</v>
      </c>
      <c r="C5" s="64">
        <v>120</v>
      </c>
      <c r="D5" s="13">
        <f t="shared" si="0"/>
        <v>2</v>
      </c>
      <c r="E5" s="32">
        <v>2</v>
      </c>
      <c r="F5" s="32">
        <v>4203</v>
      </c>
      <c r="G5" s="32">
        <v>7</v>
      </c>
      <c r="H5" s="44">
        <f>('Flow cytometer'!F5/'Flow cytometer'!G5)*POWER(10,'Flow cytometer'!E5+2)*10.2</f>
        <v>61243714.285714284</v>
      </c>
      <c r="I5" s="32">
        <v>2</v>
      </c>
      <c r="J5" s="32">
        <v>5470</v>
      </c>
      <c r="K5" s="32">
        <v>7</v>
      </c>
      <c r="L5" s="44">
        <f>('Flow cytometer'!J5/'Flow cytometer'!K5)*POWER(10,'Flow cytometer'!I5+2)*10.2</f>
        <v>79705714.285714284</v>
      </c>
      <c r="M5" s="32">
        <v>2</v>
      </c>
      <c r="N5" s="32">
        <v>5975</v>
      </c>
      <c r="O5" s="32">
        <v>7</v>
      </c>
      <c r="P5" s="44">
        <f>('Flow cytometer'!N5/'Flow cytometer'!O5)*POWER(10,'Flow cytometer'!M5+2)*10.2</f>
        <v>87064285.714285702</v>
      </c>
      <c r="Q5" s="47">
        <f>AVERAGE(H5,L5,P5)*Calculation!I5/Calculation!K4</f>
        <v>76102962.472460315</v>
      </c>
      <c r="R5" s="48">
        <f>STDEV(H5,L5,P5)*Calculation!I5/Calculation!K4</f>
        <v>13319450.211925922</v>
      </c>
      <c r="S5" s="49">
        <f t="shared" ref="S5:S17" si="1">LOG(Q5)</f>
        <v>7.8814015629519183</v>
      </c>
      <c r="T5" s="49">
        <f t="shared" ref="T5:T17" si="2">LN(Q5)</f>
        <v>18.147597750753061</v>
      </c>
      <c r="U5" s="49">
        <f t="shared" ref="U5:U17" si="3">LOG(H5)</f>
        <v>7.7870615217530981</v>
      </c>
      <c r="V5" s="49">
        <f t="shared" ref="V5:V16" si="4">LOG(L5)</f>
        <v>7.9014894580810919</v>
      </c>
      <c r="W5" s="49">
        <f t="shared" ref="W5:W17" si="5">LOG(P5)</f>
        <v>7.9398400413678356</v>
      </c>
      <c r="X5" s="49">
        <f xml:space="preserve"> STDEV(U5:W5)*Calculation!I5/Calculation!K4</f>
        <v>7.9586431689235224E-2</v>
      </c>
    </row>
    <row r="6" spans="1:24">
      <c r="A6" s="63">
        <v>2</v>
      </c>
      <c r="B6" s="64">
        <v>80</v>
      </c>
      <c r="C6" s="64">
        <v>200</v>
      </c>
      <c r="D6" s="13">
        <f t="shared" si="0"/>
        <v>3.3333333333333335</v>
      </c>
      <c r="E6" s="32">
        <v>2</v>
      </c>
      <c r="F6" s="32">
        <v>6424</v>
      </c>
      <c r="G6" s="32">
        <v>7</v>
      </c>
      <c r="H6" s="44">
        <f>('Flow cytometer'!F6/'Flow cytometer'!G6)*POWER(10,'Flow cytometer'!E6+2)*10.2</f>
        <v>93606857.142857134</v>
      </c>
      <c r="I6" s="32">
        <v>2</v>
      </c>
      <c r="J6" s="32">
        <v>6676</v>
      </c>
      <c r="K6" s="32">
        <v>7</v>
      </c>
      <c r="L6" s="44">
        <f>('Flow cytometer'!J6/'Flow cytometer'!K6)*POWER(10,'Flow cytometer'!I6+2)*10.2</f>
        <v>97278857.142857134</v>
      </c>
      <c r="M6" s="32">
        <v>2</v>
      </c>
      <c r="N6" s="32">
        <v>7098</v>
      </c>
      <c r="O6" s="32">
        <v>7</v>
      </c>
      <c r="P6" s="44">
        <f>('Flow cytometer'!N6/'Flow cytometer'!O6)*POWER(10,'Flow cytometer'!M6+2)*10.2</f>
        <v>103428000</v>
      </c>
      <c r="Q6" s="47">
        <f>AVERAGE(H6,L6,P6)*Calculation!I6/Calculation!K5</f>
        <v>98300944.410441354</v>
      </c>
      <c r="R6" s="48">
        <f>STDEV(H6,L6,P6)*Calculation!I6/Calculation!K5</f>
        <v>4972297.8581672097</v>
      </c>
      <c r="S6" s="49">
        <f t="shared" si="1"/>
        <v>7.9925576902662465</v>
      </c>
      <c r="T6" s="49">
        <f t="shared" si="2"/>
        <v>18.403544192501979</v>
      </c>
      <c r="U6" s="49">
        <f t="shared" si="3"/>
        <v>7.9713076640182852</v>
      </c>
      <c r="V6" s="49">
        <f t="shared" si="4"/>
        <v>7.98801845975487</v>
      </c>
      <c r="W6" s="49">
        <f t="shared" si="5"/>
        <v>8.0146381267592339</v>
      </c>
      <c r="X6" s="49">
        <f xml:space="preserve"> STDEV(U6:W6)*Calculation!I6/Calculation!K5</f>
        <v>2.1896989761633484E-2</v>
      </c>
    </row>
    <row r="7" spans="1:24">
      <c r="A7" s="63">
        <v>3</v>
      </c>
      <c r="B7" s="64">
        <v>80</v>
      </c>
      <c r="C7" s="64">
        <v>280</v>
      </c>
      <c r="D7" s="13">
        <f t="shared" si="0"/>
        <v>4.666666666666667</v>
      </c>
      <c r="E7" s="32">
        <v>2</v>
      </c>
      <c r="F7" s="32">
        <v>9366</v>
      </c>
      <c r="G7" s="32">
        <v>7</v>
      </c>
      <c r="H7" s="44">
        <f>('Flow cytometer'!F7/'Flow cytometer'!G7)*POWER(10,'Flow cytometer'!E7+2)*10.2</f>
        <v>136476000</v>
      </c>
      <c r="I7" s="32">
        <v>2</v>
      </c>
      <c r="J7" s="32">
        <v>9812</v>
      </c>
      <c r="K7" s="32">
        <v>7</v>
      </c>
      <c r="L7" s="44">
        <f>('Flow cytometer'!J7/'Flow cytometer'!K7)*POWER(10,'Flow cytometer'!I7+2)*10.2</f>
        <v>142974857.14285713</v>
      </c>
      <c r="M7" s="32">
        <v>2</v>
      </c>
      <c r="N7" s="32">
        <v>9789</v>
      </c>
      <c r="O7" s="32">
        <v>7</v>
      </c>
      <c r="P7" s="44">
        <f>('Flow cytometer'!N7/'Flow cytometer'!O7)*POWER(10,'Flow cytometer'!M7+2)*10.2</f>
        <v>142639714.28571427</v>
      </c>
      <c r="Q7" s="47">
        <f>AVERAGE(H7,L7,P7)*Calculation!I7/Calculation!K6</f>
        <v>140978485.82717371</v>
      </c>
      <c r="R7" s="48">
        <f>STDEV(H7,L7,P7)*Calculation!I7/Calculation!K6</f>
        <v>3666532.9736187612</v>
      </c>
      <c r="S7" s="49">
        <f t="shared" si="1"/>
        <v>8.1491528417373562</v>
      </c>
      <c r="T7" s="49">
        <f t="shared" si="2"/>
        <v>18.764117853914502</v>
      </c>
      <c r="U7" s="49">
        <f t="shared" si="3"/>
        <v>8.1350562851937216</v>
      </c>
      <c r="V7" s="49">
        <f t="shared" si="4"/>
        <v>8.1552596712820087</v>
      </c>
      <c r="W7" s="49">
        <f t="shared" si="5"/>
        <v>8.1542404602551972</v>
      </c>
      <c r="X7" s="49">
        <f xml:space="preserve"> STDEV(U7:W7)*Calculation!I7/Calculation!K6</f>
        <v>1.1404406138985352E-2</v>
      </c>
    </row>
    <row r="8" spans="1:24">
      <c r="A8" s="63">
        <v>4</v>
      </c>
      <c r="B8" s="64">
        <v>80</v>
      </c>
      <c r="C8" s="64">
        <v>360</v>
      </c>
      <c r="D8" s="13">
        <f t="shared" si="0"/>
        <v>6</v>
      </c>
      <c r="E8" s="32">
        <v>2</v>
      </c>
      <c r="F8" s="32">
        <v>14819</v>
      </c>
      <c r="G8" s="32">
        <v>7</v>
      </c>
      <c r="H8" s="44">
        <f>('Flow cytometer'!F8/'Flow cytometer'!G8)*POWER(10,'Flow cytometer'!E8+2)*10.2</f>
        <v>215933999.99999997</v>
      </c>
      <c r="I8" s="32">
        <v>2</v>
      </c>
      <c r="J8" s="32">
        <v>16234</v>
      </c>
      <c r="K8" s="32">
        <v>7</v>
      </c>
      <c r="L8" s="44">
        <f>('Flow cytometer'!J8/'Flow cytometer'!K8)*POWER(10,'Flow cytometer'!I8+2)*10.2</f>
        <v>236552571.42857143</v>
      </c>
      <c r="M8" s="32">
        <v>2</v>
      </c>
      <c r="N8" s="32">
        <v>16796</v>
      </c>
      <c r="O8" s="32">
        <v>7</v>
      </c>
      <c r="P8" s="44">
        <f>('Flow cytometer'!N8/'Flow cytometer'!O8)*POWER(10,'Flow cytometer'!M8+2)*10.2</f>
        <v>244741714.2857143</v>
      </c>
      <c r="Q8" s="47">
        <f>AVERAGE(H8,L8,P8)*Calculation!I8/Calculation!K7</f>
        <v>233049729.27363917</v>
      </c>
      <c r="R8" s="48">
        <f>STDEV(H8,L8,P8)*Calculation!I8/Calculation!K7</f>
        <v>14884929.442532217</v>
      </c>
      <c r="S8" s="49">
        <f t="shared" si="1"/>
        <v>8.3674486027629928</v>
      </c>
      <c r="T8" s="49">
        <f t="shared" si="2"/>
        <v>19.266762419115921</v>
      </c>
      <c r="U8" s="49">
        <f t="shared" si="3"/>
        <v>8.3343210297813286</v>
      </c>
      <c r="V8" s="49">
        <f t="shared" si="4"/>
        <v>8.3739276733787467</v>
      </c>
      <c r="W8" s="49">
        <f t="shared" si="5"/>
        <v>8.3887079977135635</v>
      </c>
      <c r="X8" s="49">
        <f xml:space="preserve"> STDEV(U8:W8)*Calculation!I8/Calculation!K7</f>
        <v>2.8199493046034842E-2</v>
      </c>
    </row>
    <row r="9" spans="1:24">
      <c r="A9" s="63">
        <v>5</v>
      </c>
      <c r="B9" s="64">
        <v>80</v>
      </c>
      <c r="C9" s="64">
        <v>440</v>
      </c>
      <c r="D9" s="13">
        <f t="shared" si="0"/>
        <v>7.333333333333333</v>
      </c>
      <c r="E9" s="32">
        <v>2</v>
      </c>
      <c r="F9" s="32">
        <v>19309</v>
      </c>
      <c r="G9" s="32">
        <v>7</v>
      </c>
      <c r="H9" s="44">
        <f>('Flow cytometer'!F9/'Flow cytometer'!G9)*POWER(10,'Flow cytometer'!E9+2)*10.2</f>
        <v>281359714.28571427</v>
      </c>
      <c r="I9" s="32">
        <v>2</v>
      </c>
      <c r="J9" s="32">
        <v>21440</v>
      </c>
      <c r="K9" s="32">
        <v>7</v>
      </c>
      <c r="L9" s="44">
        <f>('Flow cytometer'!J9/'Flow cytometer'!K9)*POWER(10,'Flow cytometer'!I9+2)*10.2</f>
        <v>312411428.57142854</v>
      </c>
      <c r="M9" s="32">
        <v>2</v>
      </c>
      <c r="N9" s="32">
        <v>20456</v>
      </c>
      <c r="O9" s="32">
        <v>7</v>
      </c>
      <c r="P9" s="44">
        <f>('Flow cytometer'!N9/'Flow cytometer'!O9)*POWER(10,'Flow cytometer'!M9+2)*10.2</f>
        <v>298073142.85714281</v>
      </c>
      <c r="Q9" s="47">
        <f>AVERAGE(H9,L9,P9)*Calculation!I9/Calculation!K8</f>
        <v>298333164.36253166</v>
      </c>
      <c r="R9" s="48">
        <f>STDEV(H9,L9,P9)*Calculation!I9/Calculation!K8</f>
        <v>15595970.927898629</v>
      </c>
      <c r="S9" s="49">
        <f t="shared" si="1"/>
        <v>8.4747015346193528</v>
      </c>
      <c r="T9" s="49">
        <f t="shared" si="2"/>
        <v>19.513721421188283</v>
      </c>
      <c r="U9" s="49">
        <f t="shared" si="3"/>
        <v>8.4492619142931034</v>
      </c>
      <c r="V9" s="49">
        <f t="shared" si="4"/>
        <v>8.4947269127683924</v>
      </c>
      <c r="W9" s="49">
        <f t="shared" si="5"/>
        <v>8.4743228467659399</v>
      </c>
      <c r="X9" s="49">
        <f xml:space="preserve"> STDEV(U9:W9)*Calculation!I9/Calculation!K8</f>
        <v>2.2852778391157434E-2</v>
      </c>
    </row>
    <row r="10" spans="1:24">
      <c r="A10" s="63">
        <v>6</v>
      </c>
      <c r="B10" s="64">
        <v>80</v>
      </c>
      <c r="C10" s="64">
        <v>520</v>
      </c>
      <c r="D10" s="13">
        <f t="shared" si="0"/>
        <v>8.6666666666666661</v>
      </c>
      <c r="E10" s="32">
        <v>2</v>
      </c>
      <c r="F10" s="32">
        <v>34794</v>
      </c>
      <c r="G10" s="32">
        <v>7</v>
      </c>
      <c r="H10" s="44">
        <f>('Flow cytometer'!F10/'Flow cytometer'!G10)*POWER(10,'Flow cytometer'!E10+2)*10.2</f>
        <v>506998285.71428567</v>
      </c>
      <c r="I10" s="32">
        <v>2</v>
      </c>
      <c r="J10" s="32">
        <v>36757</v>
      </c>
      <c r="K10" s="32">
        <v>7</v>
      </c>
      <c r="L10" s="44">
        <f>('Flow cytometer'!J10/'Flow cytometer'!K10)*POWER(10,'Flow cytometer'!I10+2)*10.2</f>
        <v>535601999.99999994</v>
      </c>
      <c r="M10" s="32">
        <v>2</v>
      </c>
      <c r="N10" s="32">
        <v>41180</v>
      </c>
      <c r="O10" s="32">
        <v>7</v>
      </c>
      <c r="P10" s="44">
        <f>('Flow cytometer'!N10/'Flow cytometer'!O10)*POWER(10,'Flow cytometer'!M10+2)*10.2</f>
        <v>600051428.57142854</v>
      </c>
      <c r="Q10" s="47">
        <f>AVERAGE(H10,L10,P10)*Calculation!I10/Calculation!K9</f>
        <v>550384111.86474967</v>
      </c>
      <c r="R10" s="48">
        <f>STDEV(H10,L10,P10)*Calculation!I10/Calculation!K9</f>
        <v>47910038.481517226</v>
      </c>
      <c r="S10" s="49">
        <f t="shared" si="1"/>
        <v>8.7406658884740747</v>
      </c>
      <c r="T10" s="49">
        <f t="shared" si="2"/>
        <v>20.12612697764196</v>
      </c>
      <c r="U10" s="49">
        <f t="shared" si="3"/>
        <v>8.7050064908795193</v>
      </c>
      <c r="V10" s="49">
        <f t="shared" si="4"/>
        <v>8.7288421900489741</v>
      </c>
      <c r="W10" s="49">
        <f t="shared" si="5"/>
        <v>8.7781884740296725</v>
      </c>
      <c r="X10" s="49">
        <f xml:space="preserve"> STDEV(U10:W10)*Calculation!I10/Calculation!K9</f>
        <v>3.7517852066318094E-2</v>
      </c>
    </row>
    <row r="11" spans="1:24">
      <c r="A11" s="63">
        <v>7</v>
      </c>
      <c r="B11" s="64">
        <v>80</v>
      </c>
      <c r="C11" s="64">
        <v>600</v>
      </c>
      <c r="D11" s="13">
        <f t="shared" si="0"/>
        <v>10</v>
      </c>
      <c r="E11" s="32">
        <v>3</v>
      </c>
      <c r="F11" s="32">
        <v>5731</v>
      </c>
      <c r="G11" s="32">
        <v>7</v>
      </c>
      <c r="H11" s="44">
        <f>('Flow cytometer'!F11/'Flow cytometer'!G11)*POWER(10,'Flow cytometer'!E11+2)*10.2</f>
        <v>835088571.42857134</v>
      </c>
      <c r="I11" s="32">
        <v>3</v>
      </c>
      <c r="J11" s="32">
        <v>4925</v>
      </c>
      <c r="K11" s="32">
        <v>7</v>
      </c>
      <c r="L11" s="44">
        <f>('Flow cytometer'!J11/'Flow cytometer'!K11)*POWER(10,'Flow cytometer'!I11+2)*10.2</f>
        <v>717642857.14285707</v>
      </c>
      <c r="M11" s="32">
        <v>3</v>
      </c>
      <c r="N11" s="32">
        <v>5126</v>
      </c>
      <c r="O11" s="32">
        <v>7</v>
      </c>
      <c r="P11" s="44">
        <f>('Flow cytometer'!N11/'Flow cytometer'!O11)*POWER(10,'Flow cytometer'!M11+2)*10.2</f>
        <v>746931428.57142854</v>
      </c>
      <c r="Q11" s="47">
        <f>AVERAGE(H11,L11,P11)*Calculation!I11/Calculation!K10</f>
        <v>771826019.11154366</v>
      </c>
      <c r="R11" s="48">
        <f>STDEV(H11,L11,P11)*Calculation!I11/Calculation!K10</f>
        <v>61552785.812783383</v>
      </c>
      <c r="S11" s="49">
        <f t="shared" si="1"/>
        <v>8.8875194150310488</v>
      </c>
      <c r="T11" s="49">
        <f t="shared" si="2"/>
        <v>20.464269718745651</v>
      </c>
      <c r="U11" s="49">
        <f t="shared" si="3"/>
        <v>8.9217325402054097</v>
      </c>
      <c r="V11" s="49">
        <f t="shared" si="4"/>
        <v>8.855908366581291</v>
      </c>
      <c r="W11" s="49">
        <f t="shared" si="5"/>
        <v>8.8732807335958856</v>
      </c>
      <c r="X11" s="49">
        <f xml:space="preserve"> STDEV(U11:W11)*Calculation!I11/Calculation!K10</f>
        <v>3.4347645386247537E-2</v>
      </c>
    </row>
    <row r="12" spans="1:24">
      <c r="A12" s="63">
        <v>8</v>
      </c>
      <c r="B12" s="64">
        <v>80</v>
      </c>
      <c r="C12" s="64">
        <v>680</v>
      </c>
      <c r="D12" s="13">
        <f t="shared" si="0"/>
        <v>11.333333333333334</v>
      </c>
      <c r="E12" s="32">
        <v>3</v>
      </c>
      <c r="F12" s="32">
        <v>3624</v>
      </c>
      <c r="G12" s="32">
        <v>7</v>
      </c>
      <c r="H12" s="44">
        <f>('Flow cytometer'!F12/'Flow cytometer'!G12)*POWER(10,'Flow cytometer'!E12+2)*10.2</f>
        <v>528068571.42857134</v>
      </c>
      <c r="I12" s="32">
        <v>3</v>
      </c>
      <c r="J12" s="32">
        <v>3502</v>
      </c>
      <c r="K12" s="32">
        <v>7</v>
      </c>
      <c r="L12" s="44">
        <f>('Flow cytometer'!J12/'Flow cytometer'!K12)*POWER(10,'Flow cytometer'!I12+2)*10.2</f>
        <v>510291428.57142848</v>
      </c>
      <c r="M12" s="32">
        <v>3</v>
      </c>
      <c r="N12" s="32">
        <v>3576</v>
      </c>
      <c r="O12" s="32">
        <v>7</v>
      </c>
      <c r="P12" s="44">
        <f>('Flow cytometer'!N12/'Flow cytometer'!O12)*POWER(10,'Flow cytometer'!M12+2)*10.2</f>
        <v>521074285.71428567</v>
      </c>
      <c r="Q12" s="47">
        <f>AVERAGE(H12,L12,P12)*Calculation!I12/Calculation!K11</f>
        <v>523849850.35147661</v>
      </c>
      <c r="R12" s="48">
        <f>STDEV(H12,L12,P12)*Calculation!I12/Calculation!K11</f>
        <v>9025178.2441332582</v>
      </c>
      <c r="S12" s="49">
        <f t="shared" si="1"/>
        <v>8.7192068241816596</v>
      </c>
      <c r="T12" s="49">
        <f t="shared" si="2"/>
        <v>20.076715656092645</v>
      </c>
      <c r="U12" s="49">
        <f t="shared" si="3"/>
        <v>8.7226903207524362</v>
      </c>
      <c r="V12" s="49">
        <f t="shared" si="4"/>
        <v>8.7078182734950875</v>
      </c>
      <c r="W12" s="49">
        <f t="shared" si="5"/>
        <v>8.7168996418715405</v>
      </c>
      <c r="X12" s="49">
        <f xml:space="preserve"> STDEV(U12:W12)*Calculation!I12/Calculation!K11</f>
        <v>7.554694807164729E-3</v>
      </c>
    </row>
    <row r="13" spans="1:24">
      <c r="A13" s="63">
        <v>9</v>
      </c>
      <c r="B13" s="64">
        <v>80</v>
      </c>
      <c r="C13" s="64">
        <v>760</v>
      </c>
      <c r="D13" s="13">
        <f t="shared" si="0"/>
        <v>12.666666666666666</v>
      </c>
      <c r="E13" s="32">
        <v>3</v>
      </c>
      <c r="F13" s="32">
        <v>3408</v>
      </c>
      <c r="G13" s="32">
        <v>7</v>
      </c>
      <c r="H13" s="44">
        <f>('Flow cytometer'!F13/'Flow cytometer'!G13)*POWER(10,'Flow cytometer'!E13+2)*10.2</f>
        <v>496594285.71428567</v>
      </c>
      <c r="I13" s="32">
        <v>3</v>
      </c>
      <c r="J13" s="32">
        <v>3223</v>
      </c>
      <c r="K13" s="32">
        <v>7</v>
      </c>
      <c r="L13" s="44">
        <f>('Flow cytometer'!J13/'Flow cytometer'!K13)*POWER(10,'Flow cytometer'!I13+2)*10.2</f>
        <v>469637142.85714281</v>
      </c>
      <c r="M13" s="32">
        <v>3</v>
      </c>
      <c r="N13" s="32">
        <v>3704</v>
      </c>
      <c r="O13" s="32">
        <v>7</v>
      </c>
      <c r="P13" s="44">
        <f>('Flow cytometer'!N13/'Flow cytometer'!O13)*POWER(10,'Flow cytometer'!M13+2)*10.2</f>
        <v>539725714.28571415</v>
      </c>
      <c r="Q13" s="47">
        <f>AVERAGE(H13,L13,P13)*Calculation!I13/Calculation!K12</f>
        <v>506350616.28491944</v>
      </c>
      <c r="R13" s="48">
        <f>STDEV(H13,L13,P13)*Calculation!I13/Calculation!K12</f>
        <v>35661373.703088284</v>
      </c>
      <c r="S13" s="49">
        <f t="shared" si="1"/>
        <v>8.7044513429003452</v>
      </c>
      <c r="T13" s="49">
        <f t="shared" si="2"/>
        <v>20.042739904854336</v>
      </c>
      <c r="U13" s="49">
        <f t="shared" si="3"/>
        <v>8.6960017178423232</v>
      </c>
      <c r="V13" s="49">
        <f t="shared" si="4"/>
        <v>8.6717624372599946</v>
      </c>
      <c r="W13" s="49">
        <f t="shared" si="5"/>
        <v>8.7321731097575572</v>
      </c>
      <c r="X13" s="49">
        <f xml:space="preserve"> STDEV(U13:W13)*Calculation!I13/Calculation!K12</f>
        <v>3.0665446866113961E-2</v>
      </c>
    </row>
    <row r="14" spans="1:24">
      <c r="A14" s="63">
        <v>10</v>
      </c>
      <c r="B14" s="64">
        <v>80</v>
      </c>
      <c r="C14" s="64">
        <v>840</v>
      </c>
      <c r="D14" s="13">
        <f t="shared" si="0"/>
        <v>14</v>
      </c>
      <c r="E14" s="32">
        <v>3</v>
      </c>
      <c r="F14" s="32">
        <v>3250</v>
      </c>
      <c r="G14" s="32">
        <v>7</v>
      </c>
      <c r="H14" s="44">
        <f>('Flow cytometer'!F14/'Flow cytometer'!G14)*POWER(10,'Flow cytometer'!E14+2)*10.2</f>
        <v>473571428.57142848</v>
      </c>
      <c r="I14" s="32">
        <v>3</v>
      </c>
      <c r="J14" s="32">
        <v>3444</v>
      </c>
      <c r="K14" s="32">
        <v>7</v>
      </c>
      <c r="L14" s="44">
        <f>('Flow cytometer'!J14/'Flow cytometer'!K14)*POWER(10,'Flow cytometer'!I14+2)*10.2</f>
        <v>501839999.99999994</v>
      </c>
      <c r="M14" s="32">
        <v>3</v>
      </c>
      <c r="N14" s="32">
        <v>2833</v>
      </c>
      <c r="O14" s="32">
        <v>7</v>
      </c>
      <c r="P14" s="44">
        <f>('Flow cytometer'!N14/'Flow cytometer'!O14)*POWER(10,'Flow cytometer'!M14+2)*10.2</f>
        <v>412808571.4285714</v>
      </c>
      <c r="Q14" s="47">
        <f>AVERAGE(H14,L14,P14)*Calculation!I14/Calculation!K13</f>
        <v>466763649.86419231</v>
      </c>
      <c r="R14" s="48">
        <f>STDEV(H14,L14,P14)*Calculation!I14/Calculation!K13</f>
        <v>45888858.375125296</v>
      </c>
      <c r="S14" s="49">
        <f t="shared" si="1"/>
        <v>8.6690970271546295</v>
      </c>
      <c r="T14" s="49">
        <f t="shared" si="2"/>
        <v>19.961333584445249</v>
      </c>
      <c r="U14" s="49">
        <f t="shared" si="3"/>
        <v>8.6753854927265355</v>
      </c>
      <c r="V14" s="49">
        <f t="shared" si="4"/>
        <v>8.7005652745292785</v>
      </c>
      <c r="W14" s="49">
        <f t="shared" si="5"/>
        <v>8.6157487062680982</v>
      </c>
      <c r="X14" s="49">
        <f xml:space="preserve"> STDEV(U14:W14)*Calculation!I14/Calculation!K13</f>
        <v>4.3937948516737609E-2</v>
      </c>
    </row>
    <row r="15" spans="1:24">
      <c r="A15" s="63">
        <v>11</v>
      </c>
      <c r="B15" s="64">
        <v>600</v>
      </c>
      <c r="C15" s="64">
        <v>1440</v>
      </c>
      <c r="D15" s="13">
        <f t="shared" si="0"/>
        <v>24</v>
      </c>
      <c r="E15" s="32">
        <v>2</v>
      </c>
      <c r="F15" s="32">
        <v>19811</v>
      </c>
      <c r="G15" s="32">
        <v>7</v>
      </c>
      <c r="H15" s="44">
        <f>('Flow cytometer'!F15/'Flow cytometer'!G15)*POWER(10,'Flow cytometer'!E15+2)*10.2</f>
        <v>288674571.42857146</v>
      </c>
      <c r="I15" s="32">
        <v>2</v>
      </c>
      <c r="J15" s="32">
        <v>20249</v>
      </c>
      <c r="K15" s="32">
        <v>7</v>
      </c>
      <c r="L15" s="44">
        <f>('Flow cytometer'!J15/'Flow cytometer'!K15)*POWER(10,'Flow cytometer'!I15+2)*10.2</f>
        <v>295056857.14285713</v>
      </c>
      <c r="M15" s="32">
        <v>2</v>
      </c>
      <c r="N15" s="32">
        <v>20548</v>
      </c>
      <c r="O15" s="32">
        <v>7</v>
      </c>
      <c r="P15" s="44">
        <f>('Flow cytometer'!N15/'Flow cytometer'!O15)*POWER(10,'Flow cytometer'!M15+2)*10.2</f>
        <v>299413714.28571427</v>
      </c>
      <c r="Q15" s="47">
        <f>AVERAGE(H15,L15,P15)*Calculation!I15/Calculation!K14</f>
        <v>297836744.00539523</v>
      </c>
      <c r="R15" s="48">
        <f>STDEV(H15,L15,P15)*Calculation!I15/Calculation!K14</f>
        <v>5464703.8504358828</v>
      </c>
      <c r="S15" s="49">
        <f t="shared" si="1"/>
        <v>8.4739782754658446</v>
      </c>
      <c r="T15" s="49">
        <f t="shared" si="2"/>
        <v>19.512056055443043</v>
      </c>
      <c r="U15" s="49">
        <f t="shared" si="3"/>
        <v>8.4604085297254183</v>
      </c>
      <c r="V15" s="49">
        <f t="shared" si="4"/>
        <v>8.4699057121277015</v>
      </c>
      <c r="W15" s="49">
        <f t="shared" si="5"/>
        <v>8.4762716887999598</v>
      </c>
      <c r="X15" s="49">
        <f xml:space="preserve"> STDEV(U15:W15)*Calculation!I15/Calculation!K14</f>
        <v>8.0766107604119536E-3</v>
      </c>
    </row>
    <row r="16" spans="1:24">
      <c r="A16" s="63">
        <v>12</v>
      </c>
      <c r="B16" s="64">
        <v>360</v>
      </c>
      <c r="C16" s="64">
        <v>1800</v>
      </c>
      <c r="D16" s="13">
        <f t="shared" si="0"/>
        <v>30</v>
      </c>
      <c r="E16" s="32">
        <v>2</v>
      </c>
      <c r="F16" s="32">
        <v>20313</v>
      </c>
      <c r="G16" s="32">
        <v>7</v>
      </c>
      <c r="H16" s="44">
        <f>('Flow cytometer'!F16/'Flow cytometer'!G16)*POWER(10,'Flow cytometer'!E16+2)*10.2</f>
        <v>295989428.57142854</v>
      </c>
      <c r="I16" s="32">
        <v>2</v>
      </c>
      <c r="J16" s="32">
        <v>21589</v>
      </c>
      <c r="K16" s="32">
        <v>7</v>
      </c>
      <c r="L16" s="44">
        <f>('Flow cytometer'!J16/'Flow cytometer'!K16)*POWER(10,'Flow cytometer'!I16+2)*10.2</f>
        <v>314582571.42857146</v>
      </c>
      <c r="M16" s="32">
        <v>2</v>
      </c>
      <c r="N16" s="32">
        <v>19685</v>
      </c>
      <c r="O16" s="32">
        <v>7</v>
      </c>
      <c r="P16" s="44">
        <f>('Flow cytometer'!N16/'Flow cytometer'!O16)*POWER(10,'Flow cytometer'!M16+2)*10.2</f>
        <v>286838571.42857146</v>
      </c>
      <c r="Q16" s="47">
        <f>AVERAGE(H16,L16,P16)*Calculation!I16/Calculation!K15</f>
        <v>303285520.33736956</v>
      </c>
      <c r="R16" s="48">
        <f>STDEV(H16,L16,P16)*Calculation!I16/Calculation!K15</f>
        <v>14333326.31793022</v>
      </c>
      <c r="S16" s="49">
        <f t="shared" si="1"/>
        <v>8.4818516764244407</v>
      </c>
      <c r="T16" s="49">
        <f t="shared" si="2"/>
        <v>19.530185231121475</v>
      </c>
      <c r="U16" s="49">
        <f t="shared" si="3"/>
        <v>8.4712762002647484</v>
      </c>
      <c r="V16" s="49">
        <f t="shared" si="4"/>
        <v>8.4977346580772597</v>
      </c>
      <c r="W16" s="49">
        <f t="shared" si="5"/>
        <v>8.4576375508739083</v>
      </c>
      <c r="X16" s="49">
        <f xml:space="preserve"> STDEV(U16:W16)*Calculation!I16/Calculation!K15</f>
        <v>2.06700003323796E-2</v>
      </c>
    </row>
    <row r="17" spans="1:24">
      <c r="A17" s="63">
        <v>13</v>
      </c>
      <c r="B17" s="64">
        <v>1080</v>
      </c>
      <c r="C17" s="64">
        <v>2880</v>
      </c>
      <c r="D17" s="13">
        <f t="shared" si="0"/>
        <v>48</v>
      </c>
      <c r="E17" s="32">
        <v>2</v>
      </c>
      <c r="F17" s="32">
        <v>15443</v>
      </c>
      <c r="G17" s="32">
        <v>7</v>
      </c>
      <c r="H17" s="44">
        <f>('Flow cytometer'!F17/'Flow cytometer'!G17)*POWER(10,'Flow cytometer'!E17+2)*10.2</f>
        <v>225026571.42857143</v>
      </c>
      <c r="I17" s="32">
        <v>2</v>
      </c>
      <c r="J17" s="32">
        <v>21012</v>
      </c>
      <c r="K17" s="32">
        <v>7</v>
      </c>
      <c r="L17" s="44">
        <f>('Flow cytometer'!J17/'Flow cytometer'!K17)*POWER(10,'Flow cytometer'!I17+2)*10.2</f>
        <v>306174857.14285713</v>
      </c>
      <c r="M17" s="32">
        <v>2</v>
      </c>
      <c r="N17" s="32">
        <v>21085</v>
      </c>
      <c r="O17" s="32">
        <v>7</v>
      </c>
      <c r="P17" s="44">
        <f>('Flow cytometer'!N17/'Flow cytometer'!O17)*POWER(10,'Flow cytometer'!M17+2)*10.2</f>
        <v>307238571.42857146</v>
      </c>
      <c r="Q17" s="47">
        <f>AVERAGE(H17,L17,P17)*Calculation!I17/Calculation!K16</f>
        <v>283987832.62873161</v>
      </c>
      <c r="R17" s="48">
        <f>STDEV(H17,L17,P17)*Calculation!I17/Calculation!K16</f>
        <v>47921728.987790257</v>
      </c>
      <c r="S17" s="49">
        <f t="shared" si="1"/>
        <v>8.4532997332322495</v>
      </c>
      <c r="T17" s="49">
        <f t="shared" si="2"/>
        <v>19.46444195235112</v>
      </c>
      <c r="U17" s="49">
        <f t="shared" si="3"/>
        <v>8.3522338031934034</v>
      </c>
      <c r="V17" s="49">
        <f>LOG(L17)</f>
        <v>8.4859695238787314</v>
      </c>
      <c r="W17" s="49">
        <f t="shared" si="5"/>
        <v>8.4874757370985439</v>
      </c>
      <c r="X17" s="49">
        <f xml:space="preserve"> STDEV(U17:W17)*Calculation!I17/Calculation!K16</f>
        <v>7.8903270441913684E-2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22" workbookViewId="0">
      <selection activeCell="H44" sqref="H44"/>
    </sheetView>
  </sheetViews>
  <sheetFormatPr baseColWidth="10" defaultRowHeight="14" x14ac:dyDescent="0"/>
  <sheetData>
    <row r="1" spans="1:21">
      <c r="A1" s="80"/>
      <c r="B1" s="132" t="s">
        <v>4</v>
      </c>
      <c r="C1" s="134" t="s">
        <v>180</v>
      </c>
      <c r="D1" s="135" t="s">
        <v>18</v>
      </c>
      <c r="E1" s="135"/>
      <c r="F1" s="135"/>
      <c r="G1" s="135"/>
      <c r="H1" s="135" t="s">
        <v>20</v>
      </c>
      <c r="I1" s="135"/>
      <c r="J1" s="135"/>
      <c r="K1" s="135"/>
      <c r="L1" s="135" t="s">
        <v>21</v>
      </c>
      <c r="M1" s="135"/>
      <c r="N1" s="135"/>
      <c r="O1" s="135"/>
      <c r="P1" s="81" t="s">
        <v>22</v>
      </c>
      <c r="Q1" s="81" t="s">
        <v>22</v>
      </c>
      <c r="R1" s="81" t="s">
        <v>22</v>
      </c>
      <c r="S1" s="127" t="s">
        <v>181</v>
      </c>
      <c r="T1" s="80"/>
      <c r="U1" s="80"/>
    </row>
    <row r="2" spans="1:21">
      <c r="A2" s="80"/>
      <c r="B2" s="133"/>
      <c r="C2" s="133"/>
      <c r="D2" s="82" t="s">
        <v>19</v>
      </c>
      <c r="E2" s="82" t="s">
        <v>68</v>
      </c>
      <c r="F2" s="82" t="s">
        <v>69</v>
      </c>
      <c r="G2" s="82" t="s">
        <v>70</v>
      </c>
      <c r="H2" s="82" t="s">
        <v>19</v>
      </c>
      <c r="I2" s="82" t="s">
        <v>68</v>
      </c>
      <c r="J2" s="82" t="s">
        <v>69</v>
      </c>
      <c r="K2" s="82" t="s">
        <v>70</v>
      </c>
      <c r="L2" s="82" t="s">
        <v>19</v>
      </c>
      <c r="M2" s="82" t="s">
        <v>68</v>
      </c>
      <c r="N2" s="82" t="s">
        <v>69</v>
      </c>
      <c r="O2" s="82" t="s">
        <v>71</v>
      </c>
      <c r="P2" s="83" t="s">
        <v>70</v>
      </c>
      <c r="Q2" s="83" t="s">
        <v>23</v>
      </c>
      <c r="R2" s="83" t="s">
        <v>72</v>
      </c>
      <c r="S2" s="128"/>
      <c r="T2" s="80"/>
      <c r="U2" s="80"/>
    </row>
    <row r="3" spans="1:21">
      <c r="A3" s="80"/>
      <c r="B3" s="84"/>
      <c r="C3" s="84"/>
      <c r="D3" s="85"/>
      <c r="E3" s="85"/>
      <c r="F3" s="85"/>
      <c r="G3" s="86"/>
      <c r="H3" s="85"/>
      <c r="I3" s="85"/>
      <c r="J3" s="85"/>
      <c r="K3" s="86"/>
      <c r="L3" s="85"/>
      <c r="M3" s="85"/>
      <c r="N3" s="85"/>
      <c r="O3" s="86"/>
      <c r="P3" s="129"/>
      <c r="Q3" s="130"/>
      <c r="R3" s="131"/>
      <c r="S3" s="80"/>
      <c r="T3" s="80"/>
      <c r="U3" s="80"/>
    </row>
    <row r="4" spans="1:21">
      <c r="A4" s="80"/>
      <c r="B4" s="87" t="s">
        <v>182</v>
      </c>
      <c r="C4" s="88">
        <v>500</v>
      </c>
      <c r="D4" s="88">
        <v>2</v>
      </c>
      <c r="E4" s="88">
        <v>26960</v>
      </c>
      <c r="F4" s="88">
        <v>7</v>
      </c>
      <c r="G4" s="86">
        <f t="shared" ref="G4:G19" si="0">(E4/F4)*(10.2)*POWER(10,D4+2)</f>
        <v>392845714.28571427</v>
      </c>
      <c r="H4" s="88">
        <v>2</v>
      </c>
      <c r="I4" s="88">
        <v>28998</v>
      </c>
      <c r="J4" s="88">
        <v>7</v>
      </c>
      <c r="K4" s="86">
        <f t="shared" ref="K4:K19" si="1">(I4/J4)*(10.2)*POWER(10,H4+2)</f>
        <v>422542285.71428567</v>
      </c>
      <c r="L4" s="88">
        <v>2</v>
      </c>
      <c r="M4" s="88">
        <v>29053</v>
      </c>
      <c r="N4" s="88">
        <v>7</v>
      </c>
      <c r="O4" s="86">
        <f t="shared" ref="O4:O19" si="2">(M4/N4)*(10.2)*POWER(10,L4+2)</f>
        <v>423343714.28571433</v>
      </c>
      <c r="P4" s="89">
        <f t="shared" ref="P4:P19" si="3">AVERAGE(O4,K4,G4)</f>
        <v>412910571.4285714</v>
      </c>
      <c r="Q4" s="89">
        <f t="shared" ref="Q4:Q19" si="4">STDEV(O4,K4,G4)</f>
        <v>17381295.724462688</v>
      </c>
      <c r="R4" s="90">
        <f>LOG(P4)</f>
        <v>8.6158560019212569</v>
      </c>
      <c r="S4" s="80"/>
      <c r="T4" s="80"/>
      <c r="U4" s="80"/>
    </row>
    <row r="5" spans="1:21">
      <c r="A5" s="80"/>
      <c r="B5" s="87" t="s">
        <v>183</v>
      </c>
      <c r="C5" s="88">
        <v>500</v>
      </c>
      <c r="D5" s="88">
        <v>1</v>
      </c>
      <c r="E5" s="88">
        <v>25770</v>
      </c>
      <c r="F5" s="88">
        <v>7</v>
      </c>
      <c r="G5" s="86">
        <f t="shared" si="0"/>
        <v>37550571.428571425</v>
      </c>
      <c r="H5" s="88">
        <v>1</v>
      </c>
      <c r="I5" s="88">
        <v>24760</v>
      </c>
      <c r="J5" s="88">
        <v>7</v>
      </c>
      <c r="K5" s="86">
        <f t="shared" si="1"/>
        <v>36078857.142857142</v>
      </c>
      <c r="L5" s="88">
        <v>1</v>
      </c>
      <c r="M5" s="88">
        <v>27526</v>
      </c>
      <c r="N5" s="88">
        <v>7</v>
      </c>
      <c r="O5" s="86">
        <f t="shared" si="2"/>
        <v>40109314.285714284</v>
      </c>
      <c r="P5" s="89">
        <f t="shared" si="3"/>
        <v>37912914.285714291</v>
      </c>
      <c r="Q5" s="89">
        <f t="shared" si="4"/>
        <v>2039513.5338344474</v>
      </c>
      <c r="R5" s="90">
        <f t="shared" ref="R5:R19" si="5">LOG(P5)</f>
        <v>7.5787871690098934</v>
      </c>
      <c r="S5" s="80"/>
      <c r="T5" s="80"/>
      <c r="U5" s="80"/>
    </row>
    <row r="6" spans="1:21">
      <c r="A6" s="80"/>
      <c r="B6" s="87" t="s">
        <v>184</v>
      </c>
      <c r="C6" s="88">
        <v>500</v>
      </c>
      <c r="D6" s="88">
        <v>0</v>
      </c>
      <c r="E6" s="88">
        <v>2493</v>
      </c>
      <c r="F6" s="88">
        <v>7</v>
      </c>
      <c r="G6" s="86">
        <f t="shared" si="0"/>
        <v>363265.71428571426</v>
      </c>
      <c r="H6" s="88">
        <v>0</v>
      </c>
      <c r="I6" s="88">
        <v>2459</v>
      </c>
      <c r="J6" s="88">
        <v>7</v>
      </c>
      <c r="K6" s="86">
        <f t="shared" si="1"/>
        <v>358311.42857142852</v>
      </c>
      <c r="L6" s="88">
        <v>0</v>
      </c>
      <c r="M6" s="88">
        <v>2550</v>
      </c>
      <c r="N6" s="88">
        <v>7</v>
      </c>
      <c r="O6" s="86">
        <f t="shared" si="2"/>
        <v>371571.42857142852</v>
      </c>
      <c r="P6" s="89">
        <f t="shared" si="3"/>
        <v>364382.8571428571</v>
      </c>
      <c r="Q6" s="89">
        <f t="shared" si="4"/>
        <v>6700.2168712996863</v>
      </c>
      <c r="R6" s="90">
        <f t="shared" si="5"/>
        <v>5.5615579368427026</v>
      </c>
      <c r="S6" s="91" t="s">
        <v>133</v>
      </c>
      <c r="T6" s="80"/>
      <c r="U6" s="80"/>
    </row>
    <row r="7" spans="1:21">
      <c r="A7" s="80"/>
      <c r="B7" s="87" t="s">
        <v>185</v>
      </c>
      <c r="C7" s="88">
        <v>500</v>
      </c>
      <c r="D7" s="88">
        <f>LOG(705/250)</f>
        <v>0.45024910831936105</v>
      </c>
      <c r="E7" s="88">
        <v>946</v>
      </c>
      <c r="F7" s="88">
        <v>7</v>
      </c>
      <c r="G7" s="86">
        <f>(E7/F7)*(1)*POWER(10,D7+2)</f>
        <v>38110.285714285717</v>
      </c>
      <c r="H7" s="88">
        <f>LOG(705/250)</f>
        <v>0.45024910831936105</v>
      </c>
      <c r="I7" s="88">
        <v>885</v>
      </c>
      <c r="J7" s="88">
        <v>7</v>
      </c>
      <c r="K7" s="86">
        <f t="shared" si="1"/>
        <v>363659.1428571429</v>
      </c>
      <c r="L7" s="88">
        <f>LOG(705/250)</f>
        <v>0.45024910831936105</v>
      </c>
      <c r="M7" s="88">
        <v>947</v>
      </c>
      <c r="N7" s="88">
        <v>7</v>
      </c>
      <c r="O7" s="86">
        <f>(M7/N7)*(1)*POWER(10,L7+2)</f>
        <v>38150.571428571435</v>
      </c>
      <c r="P7" s="89">
        <f t="shared" si="3"/>
        <v>146640.00000000003</v>
      </c>
      <c r="Q7" s="89">
        <f t="shared" si="4"/>
        <v>187944.09190121258</v>
      </c>
      <c r="R7" s="90">
        <f t="shared" si="5"/>
        <v>5.1662524519541604</v>
      </c>
      <c r="S7" s="80"/>
      <c r="T7" s="80"/>
      <c r="U7" s="80"/>
    </row>
    <row r="8" spans="1:21">
      <c r="A8" s="80"/>
      <c r="B8" s="87" t="s">
        <v>186</v>
      </c>
      <c r="C8" s="88">
        <v>500</v>
      </c>
      <c r="D8" s="88">
        <f>LOG(705/250)</f>
        <v>0.45024910831936105</v>
      </c>
      <c r="E8" s="88">
        <v>1248</v>
      </c>
      <c r="F8" s="88">
        <v>70</v>
      </c>
      <c r="G8" s="86">
        <f>(E8/F8)*(1)*POWER(10,D8+2)</f>
        <v>5027.6571428571442</v>
      </c>
      <c r="H8" s="88">
        <f>LOG(705/250)</f>
        <v>0.45024910831936105</v>
      </c>
      <c r="I8" s="88">
        <v>1303</v>
      </c>
      <c r="J8" s="88">
        <v>70</v>
      </c>
      <c r="K8" s="86">
        <f t="shared" si="1"/>
        <v>53542.131428571432</v>
      </c>
      <c r="L8" s="88">
        <f>LOG(705/250)</f>
        <v>0.45024910831936105</v>
      </c>
      <c r="M8" s="88">
        <v>1278</v>
      </c>
      <c r="N8" s="88">
        <v>70</v>
      </c>
      <c r="O8" s="86">
        <f>(M8/N8)*(1)*POWER(10,L8+2)</f>
        <v>5148.5142857142864</v>
      </c>
      <c r="P8" s="89">
        <f t="shared" si="3"/>
        <v>21239.434285714287</v>
      </c>
      <c r="Q8" s="89">
        <f t="shared" si="4"/>
        <v>27975.021602129429</v>
      </c>
      <c r="R8" s="90">
        <f t="shared" si="5"/>
        <v>4.3271429450900092</v>
      </c>
      <c r="S8" s="80"/>
      <c r="T8" s="80"/>
      <c r="U8" s="80"/>
    </row>
    <row r="9" spans="1:21">
      <c r="A9" s="80"/>
      <c r="B9" s="87" t="s">
        <v>187</v>
      </c>
      <c r="C9" s="88">
        <v>900</v>
      </c>
      <c r="D9" s="88">
        <v>2</v>
      </c>
      <c r="E9" s="88">
        <v>26822</v>
      </c>
      <c r="F9" s="88">
        <v>7</v>
      </c>
      <c r="G9" s="86">
        <f t="shared" si="0"/>
        <v>390834857.14285713</v>
      </c>
      <c r="H9" s="88">
        <v>2</v>
      </c>
      <c r="I9" s="88">
        <v>25452</v>
      </c>
      <c r="J9" s="88">
        <v>7</v>
      </c>
      <c r="K9" s="86">
        <f t="shared" si="1"/>
        <v>370872000</v>
      </c>
      <c r="L9" s="88">
        <v>2</v>
      </c>
      <c r="M9" s="88">
        <v>29126</v>
      </c>
      <c r="N9" s="88">
        <v>7</v>
      </c>
      <c r="O9" s="86">
        <f t="shared" si="2"/>
        <v>424407428.57142854</v>
      </c>
      <c r="P9" s="89">
        <f t="shared" si="3"/>
        <v>395371428.57142854</v>
      </c>
      <c r="Q9" s="89">
        <f t="shared" si="4"/>
        <v>27054498.485954784</v>
      </c>
      <c r="R9" s="90">
        <f t="shared" si="5"/>
        <v>8.5970052819172</v>
      </c>
      <c r="S9" s="80"/>
      <c r="T9" s="80"/>
      <c r="U9" s="80"/>
    </row>
    <row r="10" spans="1:21">
      <c r="A10" s="80"/>
      <c r="B10" s="87" t="s">
        <v>188</v>
      </c>
      <c r="C10" s="88">
        <v>900</v>
      </c>
      <c r="D10" s="88">
        <v>1</v>
      </c>
      <c r="E10" s="88">
        <v>11669</v>
      </c>
      <c r="F10" s="88">
        <v>7</v>
      </c>
      <c r="G10" s="86">
        <f t="shared" si="0"/>
        <v>17003399.999999996</v>
      </c>
      <c r="H10" s="88">
        <v>1</v>
      </c>
      <c r="I10" s="88">
        <v>13970</v>
      </c>
      <c r="J10" s="88">
        <v>20</v>
      </c>
      <c r="K10" s="86">
        <f t="shared" si="1"/>
        <v>7124700</v>
      </c>
      <c r="L10" s="88">
        <v>1</v>
      </c>
      <c r="M10" s="88">
        <v>12995</v>
      </c>
      <c r="N10" s="88">
        <v>7</v>
      </c>
      <c r="O10" s="86">
        <f t="shared" si="2"/>
        <v>18935571.428571429</v>
      </c>
      <c r="P10" s="89">
        <f t="shared" si="3"/>
        <v>14354557.142857142</v>
      </c>
      <c r="Q10" s="89">
        <f t="shared" si="4"/>
        <v>6335333.2459262749</v>
      </c>
      <c r="R10" s="90">
        <f t="shared" si="5"/>
        <v>7.1569897984779303</v>
      </c>
      <c r="S10" s="91" t="s">
        <v>133</v>
      </c>
      <c r="T10" s="80"/>
      <c r="U10" s="80"/>
    </row>
    <row r="11" spans="1:21">
      <c r="A11" s="80"/>
      <c r="B11" s="87" t="s">
        <v>189</v>
      </c>
      <c r="C11" s="88">
        <v>900</v>
      </c>
      <c r="D11" s="88">
        <v>1</v>
      </c>
      <c r="E11" s="88">
        <v>6123</v>
      </c>
      <c r="F11" s="88">
        <v>7</v>
      </c>
      <c r="G11" s="86">
        <f t="shared" si="0"/>
        <v>8922085.7142857127</v>
      </c>
      <c r="H11" s="88">
        <v>1</v>
      </c>
      <c r="I11" s="88">
        <v>6639</v>
      </c>
      <c r="J11" s="88">
        <v>7</v>
      </c>
      <c r="K11" s="86">
        <f t="shared" si="1"/>
        <v>9673971.4285714272</v>
      </c>
      <c r="L11" s="88">
        <v>1</v>
      </c>
      <c r="M11" s="88">
        <v>7021</v>
      </c>
      <c r="N11" s="88">
        <v>7</v>
      </c>
      <c r="O11" s="86">
        <f t="shared" si="2"/>
        <v>10230599.999999998</v>
      </c>
      <c r="P11" s="89">
        <f t="shared" si="3"/>
        <v>9608885.7142857127</v>
      </c>
      <c r="Q11" s="89">
        <f t="shared" si="4"/>
        <v>656680.68468065432</v>
      </c>
      <c r="R11" s="90">
        <f t="shared" si="5"/>
        <v>6.9826730280228597</v>
      </c>
      <c r="S11" s="91" t="s">
        <v>133</v>
      </c>
      <c r="T11" s="80"/>
      <c r="U11" s="80"/>
    </row>
    <row r="12" spans="1:21">
      <c r="A12" s="80"/>
      <c r="B12" s="87" t="s">
        <v>190</v>
      </c>
      <c r="C12" s="88">
        <v>900</v>
      </c>
      <c r="D12" s="88">
        <v>1</v>
      </c>
      <c r="E12" s="88">
        <v>29009</v>
      </c>
      <c r="F12" s="88">
        <v>7</v>
      </c>
      <c r="G12" s="86">
        <f t="shared" si="0"/>
        <v>42270257.142857142</v>
      </c>
      <c r="H12" s="88">
        <v>1</v>
      </c>
      <c r="I12" s="88">
        <v>29016</v>
      </c>
      <c r="J12" s="88">
        <v>7</v>
      </c>
      <c r="K12" s="86">
        <f t="shared" si="1"/>
        <v>42280457.142857134</v>
      </c>
      <c r="L12" s="88">
        <v>1</v>
      </c>
      <c r="M12" s="88">
        <v>31568</v>
      </c>
      <c r="N12" s="88">
        <v>7</v>
      </c>
      <c r="O12" s="86">
        <f t="shared" si="2"/>
        <v>45999085.714285709</v>
      </c>
      <c r="P12" s="89">
        <f t="shared" si="3"/>
        <v>43516599.999999993</v>
      </c>
      <c r="Q12" s="89">
        <f t="shared" si="4"/>
        <v>2149901.7422255576</v>
      </c>
      <c r="R12" s="90">
        <f t="shared" si="5"/>
        <v>7.6386549561082937</v>
      </c>
      <c r="S12" s="80"/>
      <c r="T12" s="80"/>
      <c r="U12" s="80"/>
    </row>
    <row r="13" spans="1:21">
      <c r="A13" s="80"/>
      <c r="B13" s="87" t="s">
        <v>191</v>
      </c>
      <c r="C13" s="88">
        <v>900</v>
      </c>
      <c r="D13" s="88">
        <v>1</v>
      </c>
      <c r="E13" s="88">
        <v>13542</v>
      </c>
      <c r="F13" s="88">
        <v>7</v>
      </c>
      <c r="G13" s="86">
        <f t="shared" si="0"/>
        <v>19732628.571428571</v>
      </c>
      <c r="H13" s="88">
        <v>1</v>
      </c>
      <c r="I13" s="88">
        <v>14070</v>
      </c>
      <c r="J13" s="88">
        <v>7</v>
      </c>
      <c r="K13" s="86">
        <f t="shared" si="1"/>
        <v>20502000</v>
      </c>
      <c r="L13" s="88">
        <v>1</v>
      </c>
      <c r="M13" s="88">
        <v>15197</v>
      </c>
      <c r="N13" s="88">
        <v>7</v>
      </c>
      <c r="O13" s="86">
        <f t="shared" si="2"/>
        <v>22144199.999999996</v>
      </c>
      <c r="P13" s="89">
        <f t="shared" si="3"/>
        <v>20792942.857142854</v>
      </c>
      <c r="Q13" s="89">
        <f t="shared" si="4"/>
        <v>1231829.938898768</v>
      </c>
      <c r="R13" s="90">
        <f t="shared" si="5"/>
        <v>7.3179159600467427</v>
      </c>
      <c r="S13" s="80"/>
      <c r="T13" s="80"/>
      <c r="U13" s="80"/>
    </row>
    <row r="14" spans="1:21">
      <c r="A14" s="80"/>
      <c r="B14" s="87" t="s">
        <v>192</v>
      </c>
      <c r="C14" s="88">
        <v>900</v>
      </c>
      <c r="D14" s="88">
        <v>1</v>
      </c>
      <c r="E14" s="88">
        <v>6282</v>
      </c>
      <c r="F14" s="88">
        <v>7</v>
      </c>
      <c r="G14" s="86">
        <f t="shared" si="0"/>
        <v>9153771.4285714291</v>
      </c>
      <c r="H14" s="88">
        <v>1</v>
      </c>
      <c r="I14" s="88">
        <v>6343</v>
      </c>
      <c r="J14" s="88">
        <v>7</v>
      </c>
      <c r="K14" s="86">
        <f t="shared" si="1"/>
        <v>9242657.1428571418</v>
      </c>
      <c r="L14" s="88">
        <v>1</v>
      </c>
      <c r="M14" s="88">
        <v>7014</v>
      </c>
      <c r="N14" s="88">
        <v>7</v>
      </c>
      <c r="O14" s="86">
        <f t="shared" si="2"/>
        <v>10220400</v>
      </c>
      <c r="P14" s="89">
        <f t="shared" si="3"/>
        <v>9538942.8571428563</v>
      </c>
      <c r="Q14" s="89">
        <f t="shared" si="4"/>
        <v>591830.25075969705</v>
      </c>
      <c r="R14" s="90">
        <f t="shared" si="5"/>
        <v>6.9795002471622967</v>
      </c>
      <c r="S14" s="80"/>
      <c r="T14" s="80"/>
      <c r="U14" s="80"/>
    </row>
    <row r="15" spans="1:21">
      <c r="A15" s="80"/>
      <c r="B15" s="87" t="s">
        <v>193</v>
      </c>
      <c r="C15" s="88">
        <v>900</v>
      </c>
      <c r="D15" s="88">
        <v>1</v>
      </c>
      <c r="E15" s="88">
        <v>3249</v>
      </c>
      <c r="F15" s="88">
        <v>7</v>
      </c>
      <c r="G15" s="86">
        <f t="shared" si="0"/>
        <v>4734257.1428571427</v>
      </c>
      <c r="H15" s="88">
        <v>1</v>
      </c>
      <c r="I15" s="88">
        <v>3902</v>
      </c>
      <c r="J15" s="88">
        <v>7</v>
      </c>
      <c r="K15" s="86">
        <f t="shared" si="1"/>
        <v>5685771.4285714282</v>
      </c>
      <c r="L15" s="88">
        <v>1</v>
      </c>
      <c r="M15" s="88">
        <v>3833</v>
      </c>
      <c r="N15" s="88">
        <v>7</v>
      </c>
      <c r="O15" s="86">
        <f t="shared" si="2"/>
        <v>5585228.5714285709</v>
      </c>
      <c r="P15" s="89">
        <f t="shared" si="3"/>
        <v>5335085.7142857136</v>
      </c>
      <c r="Q15" s="89">
        <f t="shared" si="4"/>
        <v>522755.62714741344</v>
      </c>
      <c r="R15" s="90">
        <f t="shared" si="5"/>
        <v>6.7271414012566968</v>
      </c>
      <c r="S15" s="80"/>
      <c r="T15" s="80"/>
      <c r="U15" s="80"/>
    </row>
    <row r="16" spans="1:21">
      <c r="A16" s="80"/>
      <c r="B16" s="87" t="s">
        <v>194</v>
      </c>
      <c r="C16" s="88">
        <v>900</v>
      </c>
      <c r="D16" s="88">
        <v>0</v>
      </c>
      <c r="E16" s="88">
        <v>12331</v>
      </c>
      <c r="F16" s="88">
        <v>7</v>
      </c>
      <c r="G16" s="86">
        <f t="shared" si="0"/>
        <v>1796802.857142857</v>
      </c>
      <c r="H16" s="88">
        <v>0</v>
      </c>
      <c r="I16" s="88">
        <v>13246</v>
      </c>
      <c r="J16" s="88">
        <v>7</v>
      </c>
      <c r="K16" s="86">
        <f t="shared" si="1"/>
        <v>1930131.4285714284</v>
      </c>
      <c r="L16" s="88">
        <v>0</v>
      </c>
      <c r="M16" s="88">
        <v>11745</v>
      </c>
      <c r="N16" s="88">
        <v>7</v>
      </c>
      <c r="O16" s="86">
        <f t="shared" si="2"/>
        <v>1711414.2857142854</v>
      </c>
      <c r="P16" s="89">
        <f t="shared" si="3"/>
        <v>1812782.857142857</v>
      </c>
      <c r="Q16" s="89">
        <f t="shared" si="4"/>
        <v>110230.74636823416</v>
      </c>
      <c r="R16" s="90">
        <f t="shared" si="5"/>
        <v>6.2583457855668376</v>
      </c>
      <c r="S16" s="80"/>
      <c r="T16" s="80"/>
      <c r="U16" s="80"/>
    </row>
    <row r="17" spans="1:21">
      <c r="A17" s="80"/>
      <c r="B17" s="87" t="s">
        <v>195</v>
      </c>
      <c r="C17" s="88">
        <v>900</v>
      </c>
      <c r="D17" s="88">
        <v>0</v>
      </c>
      <c r="E17" s="88">
        <v>6389</v>
      </c>
      <c r="F17" s="88">
        <v>7</v>
      </c>
      <c r="G17" s="86">
        <f t="shared" si="0"/>
        <v>930968.57142857136</v>
      </c>
      <c r="H17" s="88">
        <v>0</v>
      </c>
      <c r="I17" s="88">
        <v>4586</v>
      </c>
      <c r="J17" s="88">
        <v>7</v>
      </c>
      <c r="K17" s="86">
        <f t="shared" si="1"/>
        <v>668245.7142857142</v>
      </c>
      <c r="L17" s="88">
        <v>0</v>
      </c>
      <c r="M17" s="88">
        <v>5332</v>
      </c>
      <c r="N17" s="88">
        <v>7</v>
      </c>
      <c r="O17" s="86">
        <f t="shared" si="2"/>
        <v>776948.57142857136</v>
      </c>
      <c r="P17" s="89">
        <f t="shared" si="3"/>
        <v>792054.28571428556</v>
      </c>
      <c r="Q17" s="89">
        <f t="shared" si="4"/>
        <v>132011.21872548491</v>
      </c>
      <c r="R17" s="90">
        <f t="shared" si="5"/>
        <v>5.8987549482286576</v>
      </c>
      <c r="S17" s="80"/>
      <c r="T17" s="80"/>
      <c r="U17" s="80"/>
    </row>
    <row r="18" spans="1:21">
      <c r="A18" s="80"/>
      <c r="B18" s="87" t="s">
        <v>196</v>
      </c>
      <c r="C18" s="88">
        <v>900</v>
      </c>
      <c r="D18" s="88">
        <v>0</v>
      </c>
      <c r="E18" s="88">
        <v>2453</v>
      </c>
      <c r="F18" s="88">
        <v>7</v>
      </c>
      <c r="G18" s="86">
        <f t="shared" si="0"/>
        <v>357437.14285714284</v>
      </c>
      <c r="H18" s="88">
        <v>0</v>
      </c>
      <c r="I18" s="88">
        <v>2433</v>
      </c>
      <c r="J18" s="88">
        <v>7</v>
      </c>
      <c r="K18" s="86">
        <f t="shared" si="1"/>
        <v>354522.8571428571</v>
      </c>
      <c r="L18" s="88">
        <v>0</v>
      </c>
      <c r="M18" s="88">
        <v>1833</v>
      </c>
      <c r="N18" s="88">
        <v>7</v>
      </c>
      <c r="O18" s="86">
        <f t="shared" si="2"/>
        <v>267094.28571428568</v>
      </c>
      <c r="P18" s="89">
        <f t="shared" si="3"/>
        <v>326351.42857142852</v>
      </c>
      <c r="Q18" s="89">
        <f t="shared" si="4"/>
        <v>51338.874159841398</v>
      </c>
      <c r="R18" s="90">
        <f t="shared" si="5"/>
        <v>5.5136855181177333</v>
      </c>
      <c r="S18" s="80"/>
      <c r="T18" s="80"/>
      <c r="U18" s="80"/>
    </row>
    <row r="19" spans="1:21">
      <c r="A19" s="80"/>
      <c r="B19" s="87" t="s">
        <v>197</v>
      </c>
      <c r="C19" s="88">
        <v>900</v>
      </c>
      <c r="D19" s="88">
        <v>0</v>
      </c>
      <c r="E19" s="88">
        <v>2574</v>
      </c>
      <c r="F19" s="88">
        <v>14</v>
      </c>
      <c r="G19" s="86">
        <f t="shared" si="0"/>
        <v>187534.28571428571</v>
      </c>
      <c r="H19" s="88">
        <v>0</v>
      </c>
      <c r="I19" s="88">
        <v>1997</v>
      </c>
      <c r="J19" s="88">
        <v>14</v>
      </c>
      <c r="K19" s="86">
        <f t="shared" si="1"/>
        <v>145495.71428571429</v>
      </c>
      <c r="L19" s="88">
        <v>0</v>
      </c>
      <c r="M19" s="88">
        <v>1974</v>
      </c>
      <c r="N19" s="88">
        <v>14</v>
      </c>
      <c r="O19" s="86">
        <f t="shared" si="2"/>
        <v>143819.99999999997</v>
      </c>
      <c r="P19" s="89">
        <f t="shared" si="3"/>
        <v>158950</v>
      </c>
      <c r="Q19" s="89">
        <f t="shared" si="4"/>
        <v>24768.892727345858</v>
      </c>
      <c r="R19" s="90">
        <f t="shared" si="5"/>
        <v>5.2012605322507914</v>
      </c>
      <c r="S19" s="80"/>
      <c r="T19" s="80"/>
      <c r="U19" s="80"/>
    </row>
    <row r="20" spans="1:21" ht="15" thickBo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1:21" ht="43" thickBot="1">
      <c r="A21" s="80"/>
      <c r="B21" s="92" t="s">
        <v>4</v>
      </c>
      <c r="C21" s="92" t="s">
        <v>198</v>
      </c>
      <c r="D21" s="92" t="s">
        <v>199</v>
      </c>
      <c r="E21" s="92" t="s">
        <v>200</v>
      </c>
      <c r="F21" s="92" t="s">
        <v>201</v>
      </c>
      <c r="G21" s="93" t="s">
        <v>202</v>
      </c>
      <c r="H21" s="94" t="s">
        <v>203</v>
      </c>
      <c r="I21" s="94" t="s">
        <v>204</v>
      </c>
      <c r="J21" s="94" t="s">
        <v>205</v>
      </c>
      <c r="K21" s="94" t="s">
        <v>206</v>
      </c>
      <c r="L21" s="94" t="s">
        <v>207</v>
      </c>
      <c r="M21" s="91" t="s">
        <v>208</v>
      </c>
      <c r="N21" s="80"/>
      <c r="O21" s="80"/>
      <c r="P21" s="80"/>
      <c r="Q21" s="80"/>
      <c r="R21" s="80"/>
      <c r="S21" s="80"/>
      <c r="T21" s="80"/>
      <c r="U21" s="80"/>
    </row>
    <row r="22" spans="1:2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1:21">
      <c r="A23" s="80"/>
      <c r="B23" s="87" t="s">
        <v>182</v>
      </c>
      <c r="C23" s="95">
        <v>13.733217239379883</v>
      </c>
      <c r="D23" s="95">
        <v>13.964070320129395</v>
      </c>
      <c r="E23" s="95">
        <v>13.836982727050781</v>
      </c>
      <c r="F23" s="96">
        <f>AVERAGE(C23:E23)</f>
        <v>13.844756762186686</v>
      </c>
      <c r="G23" s="80">
        <f>150/100*180/4*1000/900</f>
        <v>75</v>
      </c>
      <c r="H23" s="97">
        <f>LOG(G23)/LOG(2)</f>
        <v>6.2288186904958813</v>
      </c>
      <c r="I23" s="95">
        <f>C23-H23</f>
        <v>7.5043985488840015</v>
      </c>
      <c r="J23" s="95">
        <f>D23-H23</f>
        <v>7.7352516296335132</v>
      </c>
      <c r="K23" s="95">
        <f>E23-H23</f>
        <v>7.6081640365548999</v>
      </c>
      <c r="L23" s="96">
        <f>AVERAGE(I23:K23)</f>
        <v>7.6159380716908052</v>
      </c>
      <c r="M23" s="80"/>
      <c r="N23" s="80"/>
      <c r="O23" s="80"/>
      <c r="P23" s="80"/>
      <c r="Q23" s="80"/>
      <c r="R23" s="80"/>
      <c r="S23" s="80"/>
      <c r="T23" s="80"/>
      <c r="U23" s="80"/>
    </row>
    <row r="24" spans="1:21">
      <c r="A24" s="80"/>
      <c r="B24" s="87" t="s">
        <v>183</v>
      </c>
      <c r="C24" s="95">
        <v>17.19072151184082</v>
      </c>
      <c r="D24" s="95">
        <v>17.22271728515625</v>
      </c>
      <c r="E24" s="95">
        <v>17.264667510986328</v>
      </c>
      <c r="F24" s="96">
        <f t="shared" ref="F24:F38" si="6">AVERAGE(C24:E24)</f>
        <v>17.226035435994465</v>
      </c>
      <c r="G24" s="80">
        <f t="shared" ref="G24:G27" si="7">150/100*180/4*1000/900</f>
        <v>75</v>
      </c>
      <c r="H24" s="97">
        <f t="shared" ref="H24:H37" si="8">LOG(G24)/LOG(2)</f>
        <v>6.2288186904958813</v>
      </c>
      <c r="I24" s="95">
        <f t="shared" ref="I24:I38" si="9">C24-H24</f>
        <v>10.961902821344939</v>
      </c>
      <c r="J24" s="95">
        <f t="shared" ref="J24:J38" si="10">D24-H24</f>
        <v>10.993898594660369</v>
      </c>
      <c r="K24" s="95">
        <f t="shared" ref="K24:K38" si="11">E24-H24</f>
        <v>11.035848820490447</v>
      </c>
      <c r="L24" s="96">
        <f t="shared" ref="L24:L38" si="12">AVERAGE(I24:K24)</f>
        <v>10.997216745498585</v>
      </c>
      <c r="M24" s="80"/>
      <c r="N24" s="80"/>
      <c r="O24" s="80"/>
      <c r="P24" s="80"/>
      <c r="Q24" s="80"/>
      <c r="R24" s="80"/>
      <c r="S24" s="80"/>
      <c r="T24" s="80"/>
      <c r="U24" s="80"/>
    </row>
    <row r="25" spans="1:21">
      <c r="A25" s="80"/>
      <c r="B25" s="87" t="s">
        <v>184</v>
      </c>
      <c r="C25" s="95">
        <v>20.897546768188477</v>
      </c>
      <c r="D25" s="95">
        <v>20.622665405273438</v>
      </c>
      <c r="E25" s="95">
        <v>20.75037956237793</v>
      </c>
      <c r="F25" s="96">
        <f t="shared" si="6"/>
        <v>20.756863911946613</v>
      </c>
      <c r="G25" s="80">
        <f t="shared" si="7"/>
        <v>75</v>
      </c>
      <c r="H25" s="97">
        <f t="shared" si="8"/>
        <v>6.2288186904958813</v>
      </c>
      <c r="I25" s="95">
        <f t="shared" si="9"/>
        <v>14.668728077692595</v>
      </c>
      <c r="J25" s="95">
        <f t="shared" si="10"/>
        <v>14.393846714777556</v>
      </c>
      <c r="K25" s="95">
        <f t="shared" si="11"/>
        <v>14.521560871882048</v>
      </c>
      <c r="L25" s="96">
        <f t="shared" si="12"/>
        <v>14.528045221450734</v>
      </c>
      <c r="M25" s="91" t="s">
        <v>133</v>
      </c>
      <c r="N25" s="80"/>
      <c r="O25" s="80"/>
      <c r="P25" s="80"/>
      <c r="Q25" s="80"/>
      <c r="R25" s="80"/>
      <c r="S25" s="80"/>
      <c r="T25" s="80"/>
      <c r="U25" s="80"/>
    </row>
    <row r="26" spans="1:21">
      <c r="A26" s="80"/>
      <c r="B26" s="87" t="s">
        <v>185</v>
      </c>
      <c r="C26" s="95">
        <v>25.132444381713867</v>
      </c>
      <c r="D26" s="95">
        <v>25.147838592529297</v>
      </c>
      <c r="E26" s="95">
        <v>25.181661605834961</v>
      </c>
      <c r="F26" s="96">
        <f t="shared" si="6"/>
        <v>25.153981526692707</v>
      </c>
      <c r="G26" s="80">
        <f t="shared" si="7"/>
        <v>75</v>
      </c>
      <c r="H26" s="97">
        <f t="shared" si="8"/>
        <v>6.2288186904958813</v>
      </c>
      <c r="I26" s="95">
        <f t="shared" si="9"/>
        <v>18.903625691217986</v>
      </c>
      <c r="J26" s="95">
        <f t="shared" si="10"/>
        <v>18.919019902033416</v>
      </c>
      <c r="K26" s="95">
        <f t="shared" si="11"/>
        <v>18.95284291533908</v>
      </c>
      <c r="L26" s="96">
        <f t="shared" si="12"/>
        <v>18.925162836196829</v>
      </c>
      <c r="M26" s="80"/>
      <c r="N26" s="80"/>
      <c r="O26" s="80"/>
      <c r="P26" s="80"/>
      <c r="Q26" s="80"/>
      <c r="R26" s="80"/>
      <c r="S26" s="80"/>
      <c r="T26" s="80"/>
      <c r="U26" s="80"/>
    </row>
    <row r="27" spans="1:21">
      <c r="A27" s="80"/>
      <c r="B27" s="87" t="s">
        <v>186</v>
      </c>
      <c r="C27" s="95">
        <v>28.415132522583008</v>
      </c>
      <c r="D27" s="95">
        <v>28.359806060791016</v>
      </c>
      <c r="E27" s="95">
        <v>28.363668441772461</v>
      </c>
      <c r="F27" s="96">
        <f t="shared" si="6"/>
        <v>28.379535675048828</v>
      </c>
      <c r="G27" s="80">
        <f t="shared" si="7"/>
        <v>75</v>
      </c>
      <c r="H27" s="97">
        <f t="shared" si="8"/>
        <v>6.2288186904958813</v>
      </c>
      <c r="I27" s="95">
        <f t="shared" si="9"/>
        <v>22.186313832087126</v>
      </c>
      <c r="J27" s="95">
        <f t="shared" si="10"/>
        <v>22.130987370295134</v>
      </c>
      <c r="K27" s="95">
        <f t="shared" si="11"/>
        <v>22.13484975127658</v>
      </c>
      <c r="L27" s="96">
        <f t="shared" si="12"/>
        <v>22.150716984552947</v>
      </c>
      <c r="M27" s="80"/>
      <c r="N27" s="80"/>
      <c r="O27" s="80"/>
      <c r="P27" s="80"/>
      <c r="Q27" s="80"/>
      <c r="R27" s="80"/>
      <c r="S27" s="80"/>
      <c r="T27" s="80"/>
      <c r="U27" s="80"/>
    </row>
    <row r="28" spans="1:21">
      <c r="A28" s="80"/>
      <c r="B28" s="87" t="s">
        <v>187</v>
      </c>
      <c r="C28" s="95">
        <v>14.936457633972168</v>
      </c>
      <c r="D28" s="95">
        <v>14.999619483947754</v>
      </c>
      <c r="E28" s="95">
        <v>15.074687957763672</v>
      </c>
      <c r="F28" s="96">
        <f t="shared" si="6"/>
        <v>15.003588358561197</v>
      </c>
      <c r="G28" s="80">
        <f>150/100*180/4*1000/500</f>
        <v>135</v>
      </c>
      <c r="H28" s="97">
        <f t="shared" si="8"/>
        <v>7.0768155970508309</v>
      </c>
      <c r="I28" s="95">
        <f t="shared" si="9"/>
        <v>7.8596420369213371</v>
      </c>
      <c r="J28" s="95">
        <f t="shared" si="10"/>
        <v>7.9228038868969231</v>
      </c>
      <c r="K28" s="95">
        <f t="shared" si="11"/>
        <v>7.997872360712841</v>
      </c>
      <c r="L28" s="96">
        <f t="shared" si="12"/>
        <v>7.9267727615103674</v>
      </c>
      <c r="M28" s="80"/>
      <c r="N28" s="80"/>
      <c r="O28" s="80"/>
      <c r="P28" s="80"/>
      <c r="Q28" s="80"/>
      <c r="R28" s="80"/>
      <c r="S28" s="80"/>
      <c r="T28" s="80"/>
      <c r="U28" s="80"/>
    </row>
    <row r="29" spans="1:21">
      <c r="A29" s="80"/>
      <c r="B29" s="87" t="s">
        <v>188</v>
      </c>
      <c r="C29" s="95">
        <v>16.18989372253418</v>
      </c>
      <c r="D29" s="95">
        <v>15.8782958984375</v>
      </c>
      <c r="E29" s="95">
        <v>15.960098266601562</v>
      </c>
      <c r="F29" s="96">
        <f t="shared" si="6"/>
        <v>16.009429295857746</v>
      </c>
      <c r="G29" s="80">
        <f t="shared" ref="G29:G37" si="13">150/100*180/4*1000/500</f>
        <v>135</v>
      </c>
      <c r="H29" s="97">
        <f t="shared" si="8"/>
        <v>7.0768155970508309</v>
      </c>
      <c r="I29" s="95">
        <f t="shared" si="9"/>
        <v>9.1130781254833479</v>
      </c>
      <c r="J29" s="95">
        <f t="shared" si="10"/>
        <v>8.8014803013866683</v>
      </c>
      <c r="K29" s="95">
        <f t="shared" si="11"/>
        <v>8.8832826695507308</v>
      </c>
      <c r="L29" s="96">
        <f t="shared" si="12"/>
        <v>8.9326136988069162</v>
      </c>
      <c r="M29" s="91" t="s">
        <v>133</v>
      </c>
      <c r="N29" s="80"/>
      <c r="O29" s="80"/>
      <c r="P29" s="80"/>
      <c r="Q29" s="80"/>
      <c r="R29" s="80"/>
      <c r="S29" s="80"/>
      <c r="T29" s="80"/>
      <c r="U29" s="80"/>
    </row>
    <row r="30" spans="1:21">
      <c r="A30" s="80"/>
      <c r="B30" s="87" t="s">
        <v>189</v>
      </c>
      <c r="C30" s="95">
        <v>16.854721069335938</v>
      </c>
      <c r="D30" s="95">
        <v>16.93126106262207</v>
      </c>
      <c r="E30" s="95">
        <v>17.05010986328125</v>
      </c>
      <c r="F30" s="96">
        <f t="shared" si="6"/>
        <v>16.945363998413086</v>
      </c>
      <c r="G30" s="80">
        <f t="shared" si="13"/>
        <v>135</v>
      </c>
      <c r="H30" s="97">
        <f t="shared" si="8"/>
        <v>7.0768155970508309</v>
      </c>
      <c r="I30" s="95">
        <f t="shared" si="9"/>
        <v>9.7779054722851058</v>
      </c>
      <c r="J30" s="95">
        <f t="shared" si="10"/>
        <v>9.8544454655712386</v>
      </c>
      <c r="K30" s="95">
        <f t="shared" si="11"/>
        <v>9.9732942662304183</v>
      </c>
      <c r="L30" s="96">
        <f t="shared" si="12"/>
        <v>9.8685484013622542</v>
      </c>
      <c r="M30" s="91" t="s">
        <v>133</v>
      </c>
      <c r="N30" s="80"/>
      <c r="O30" s="80"/>
      <c r="P30" s="80"/>
      <c r="Q30" s="80"/>
      <c r="R30" s="80"/>
      <c r="S30" s="80"/>
      <c r="T30" s="80"/>
      <c r="U30" s="80"/>
    </row>
    <row r="31" spans="1:21">
      <c r="A31" s="80"/>
      <c r="B31" s="87" t="s">
        <v>190</v>
      </c>
      <c r="C31" s="95">
        <v>18.072385787963867</v>
      </c>
      <c r="D31" s="95">
        <v>18.182058334350586</v>
      </c>
      <c r="E31" s="95">
        <v>18.225353240966797</v>
      </c>
      <c r="F31" s="96">
        <f t="shared" si="6"/>
        <v>18.159932454427082</v>
      </c>
      <c r="G31" s="80">
        <f t="shared" si="13"/>
        <v>135</v>
      </c>
      <c r="H31" s="97">
        <f t="shared" si="8"/>
        <v>7.0768155970508309</v>
      </c>
      <c r="I31" s="95">
        <f t="shared" si="9"/>
        <v>10.995570190913035</v>
      </c>
      <c r="J31" s="95">
        <f t="shared" si="10"/>
        <v>11.105242737299754</v>
      </c>
      <c r="K31" s="95">
        <f t="shared" si="11"/>
        <v>11.148537643915965</v>
      </c>
      <c r="L31" s="96">
        <f t="shared" si="12"/>
        <v>11.083116857376252</v>
      </c>
      <c r="M31" s="80"/>
      <c r="N31" s="80"/>
      <c r="O31" s="80"/>
      <c r="P31" s="80"/>
      <c r="Q31" s="80"/>
      <c r="R31" s="80"/>
      <c r="S31" s="80"/>
      <c r="T31" s="80"/>
      <c r="U31" s="80"/>
    </row>
    <row r="32" spans="1:21">
      <c r="A32" s="80"/>
      <c r="B32" s="87" t="s">
        <v>191</v>
      </c>
      <c r="C32" s="95">
        <v>20.280126571655273</v>
      </c>
      <c r="D32" s="95">
        <v>20.968669891357422</v>
      </c>
      <c r="E32" s="95">
        <v>20.306863784790039</v>
      </c>
      <c r="F32" s="96">
        <f t="shared" si="6"/>
        <v>20.518553415934246</v>
      </c>
      <c r="G32" s="80">
        <f t="shared" si="13"/>
        <v>135</v>
      </c>
      <c r="H32" s="97">
        <f t="shared" si="8"/>
        <v>7.0768155970508309</v>
      </c>
      <c r="I32" s="95">
        <f t="shared" si="9"/>
        <v>13.203310974604442</v>
      </c>
      <c r="J32" s="95">
        <f t="shared" si="10"/>
        <v>13.89185429430659</v>
      </c>
      <c r="K32" s="95">
        <f t="shared" si="11"/>
        <v>13.230048187739207</v>
      </c>
      <c r="L32" s="96">
        <f t="shared" si="12"/>
        <v>13.441737818883412</v>
      </c>
      <c r="M32" s="80"/>
      <c r="N32" s="80"/>
      <c r="O32" s="80"/>
      <c r="P32" s="80"/>
      <c r="Q32" s="80"/>
      <c r="R32" s="80"/>
      <c r="S32" s="80"/>
      <c r="T32" s="80"/>
      <c r="U32" s="80"/>
    </row>
    <row r="33" spans="1:21">
      <c r="A33" s="80"/>
      <c r="B33" s="87" t="s">
        <v>192</v>
      </c>
      <c r="C33" s="95">
        <v>21.049312591552734</v>
      </c>
      <c r="D33" s="95">
        <v>21.128349304199219</v>
      </c>
      <c r="E33" s="95">
        <v>21.15723991394043</v>
      </c>
      <c r="F33" s="96">
        <f t="shared" si="6"/>
        <v>21.111633936564129</v>
      </c>
      <c r="G33" s="80">
        <f t="shared" si="13"/>
        <v>135</v>
      </c>
      <c r="H33" s="97">
        <f t="shared" si="8"/>
        <v>7.0768155970508309</v>
      </c>
      <c r="I33" s="95">
        <f t="shared" si="9"/>
        <v>13.972496994501903</v>
      </c>
      <c r="J33" s="95">
        <f t="shared" si="10"/>
        <v>14.051533707148387</v>
      </c>
      <c r="K33" s="95">
        <f t="shared" si="11"/>
        <v>14.080424316889598</v>
      </c>
      <c r="L33" s="96">
        <f t="shared" si="12"/>
        <v>14.034818339513295</v>
      </c>
      <c r="M33" s="80"/>
      <c r="N33" s="80"/>
      <c r="O33" s="80"/>
      <c r="P33" s="80"/>
      <c r="Q33" s="80"/>
      <c r="R33" s="80"/>
      <c r="S33" s="80"/>
      <c r="T33" s="80"/>
      <c r="U33" s="80"/>
    </row>
    <row r="34" spans="1:21">
      <c r="A34" s="80"/>
      <c r="B34" s="87" t="s">
        <v>193</v>
      </c>
      <c r="C34" s="95">
        <v>21.142179489135742</v>
      </c>
      <c r="D34" s="95">
        <v>21.006193161010742</v>
      </c>
      <c r="E34" s="95">
        <v>21.079441070556641</v>
      </c>
      <c r="F34" s="96">
        <f t="shared" si="6"/>
        <v>21.075937906901043</v>
      </c>
      <c r="G34" s="80">
        <f t="shared" si="13"/>
        <v>135</v>
      </c>
      <c r="H34" s="97">
        <f t="shared" si="8"/>
        <v>7.0768155970508309</v>
      </c>
      <c r="I34" s="95">
        <f t="shared" si="9"/>
        <v>14.06536389208491</v>
      </c>
      <c r="J34" s="95">
        <f t="shared" si="10"/>
        <v>13.92937756395991</v>
      </c>
      <c r="K34" s="95">
        <f t="shared" si="11"/>
        <v>14.002625473505809</v>
      </c>
      <c r="L34" s="96">
        <f t="shared" si="12"/>
        <v>13.999122309850209</v>
      </c>
      <c r="M34" s="80"/>
      <c r="N34" s="80"/>
      <c r="O34" s="80"/>
      <c r="P34" s="80"/>
      <c r="Q34" s="80"/>
      <c r="R34" s="80"/>
      <c r="S34" s="80"/>
      <c r="T34" s="80"/>
      <c r="U34" s="80"/>
    </row>
    <row r="35" spans="1:21">
      <c r="A35" s="80"/>
      <c r="B35" s="87" t="s">
        <v>194</v>
      </c>
      <c r="C35" s="95">
        <v>22.919816970825195</v>
      </c>
      <c r="D35" s="95">
        <v>22.845848083496094</v>
      </c>
      <c r="E35" s="95">
        <v>22.840835571289062</v>
      </c>
      <c r="F35" s="96">
        <f t="shared" si="6"/>
        <v>22.868833541870117</v>
      </c>
      <c r="G35" s="80">
        <f t="shared" si="13"/>
        <v>135</v>
      </c>
      <c r="H35" s="97">
        <f t="shared" si="8"/>
        <v>7.0768155970508309</v>
      </c>
      <c r="I35" s="95">
        <f t="shared" si="9"/>
        <v>15.843001373774364</v>
      </c>
      <c r="J35" s="95">
        <f t="shared" si="10"/>
        <v>15.769032486445262</v>
      </c>
      <c r="K35" s="95">
        <f t="shared" si="11"/>
        <v>15.764019974238231</v>
      </c>
      <c r="L35" s="96">
        <f t="shared" si="12"/>
        <v>15.792017944819285</v>
      </c>
      <c r="M35" s="80"/>
      <c r="N35" s="80"/>
      <c r="O35" s="80"/>
      <c r="P35" s="80"/>
      <c r="Q35" s="80"/>
      <c r="R35" s="80"/>
      <c r="S35" s="80"/>
      <c r="T35" s="80"/>
      <c r="U35" s="80"/>
    </row>
    <row r="36" spans="1:21">
      <c r="A36" s="80"/>
      <c r="B36" s="87" t="s">
        <v>195</v>
      </c>
      <c r="C36" s="95">
        <v>23.948450088500977</v>
      </c>
      <c r="D36" s="95">
        <v>24.184415817260742</v>
      </c>
      <c r="E36" s="95">
        <v>24.005857467651367</v>
      </c>
      <c r="F36" s="96">
        <f t="shared" si="6"/>
        <v>24.046241124471027</v>
      </c>
      <c r="G36" s="80">
        <f t="shared" si="13"/>
        <v>135</v>
      </c>
      <c r="H36" s="97">
        <f t="shared" si="8"/>
        <v>7.0768155970508309</v>
      </c>
      <c r="I36" s="95">
        <f t="shared" si="9"/>
        <v>16.871634491450145</v>
      </c>
      <c r="J36" s="95">
        <f t="shared" si="10"/>
        <v>17.10760022020991</v>
      </c>
      <c r="K36" s="95">
        <f t="shared" si="11"/>
        <v>16.929041870600535</v>
      </c>
      <c r="L36" s="96">
        <f t="shared" si="12"/>
        <v>16.969425527420196</v>
      </c>
      <c r="M36" s="80"/>
      <c r="N36" s="80"/>
      <c r="O36" s="80"/>
      <c r="P36" s="80"/>
      <c r="Q36" s="80"/>
      <c r="R36" s="80"/>
      <c r="S36" s="80"/>
      <c r="T36" s="80"/>
      <c r="U36" s="80"/>
    </row>
    <row r="37" spans="1:21">
      <c r="A37" s="80"/>
      <c r="B37" s="87" t="s">
        <v>196</v>
      </c>
      <c r="C37" s="95">
        <v>24.632528305053711</v>
      </c>
      <c r="D37" s="95">
        <v>24.451812744140625</v>
      </c>
      <c r="E37" s="95">
        <v>24.549453735351562</v>
      </c>
      <c r="F37" s="96">
        <f t="shared" si="6"/>
        <v>24.544598261515301</v>
      </c>
      <c r="G37" s="80">
        <f t="shared" si="13"/>
        <v>135</v>
      </c>
      <c r="H37" s="97">
        <f t="shared" si="8"/>
        <v>7.0768155970508309</v>
      </c>
      <c r="I37" s="95">
        <f t="shared" si="9"/>
        <v>17.555712708002879</v>
      </c>
      <c r="J37" s="95">
        <f t="shared" si="10"/>
        <v>17.374997147089793</v>
      </c>
      <c r="K37" s="95">
        <f t="shared" si="11"/>
        <v>17.472638138300731</v>
      </c>
      <c r="L37" s="96">
        <f t="shared" si="12"/>
        <v>17.467782664464469</v>
      </c>
      <c r="M37" s="80"/>
      <c r="N37" s="80"/>
      <c r="O37" s="80"/>
      <c r="P37" s="80"/>
      <c r="Q37" s="80"/>
      <c r="R37" s="80"/>
      <c r="S37" s="80"/>
      <c r="T37" s="80"/>
      <c r="U37" s="80"/>
    </row>
    <row r="38" spans="1:21">
      <c r="A38" s="80"/>
      <c r="B38" s="87" t="s">
        <v>197</v>
      </c>
      <c r="C38" s="88"/>
      <c r="D38" s="88"/>
      <c r="E38" s="88"/>
      <c r="F38" s="96" t="e">
        <f t="shared" si="6"/>
        <v>#DIV/0!</v>
      </c>
      <c r="G38" s="80">
        <v>0</v>
      </c>
      <c r="H38" s="97">
        <v>0</v>
      </c>
      <c r="I38" s="95">
        <f t="shared" si="9"/>
        <v>0</v>
      </c>
      <c r="J38" s="95">
        <f t="shared" si="10"/>
        <v>0</v>
      </c>
      <c r="K38" s="95">
        <f t="shared" si="11"/>
        <v>0</v>
      </c>
      <c r="L38" s="96">
        <f t="shared" si="12"/>
        <v>0</v>
      </c>
      <c r="M38" s="80"/>
      <c r="N38" s="80"/>
      <c r="O38" s="80"/>
      <c r="P38" s="80"/>
      <c r="Q38" s="80"/>
      <c r="R38" s="80"/>
      <c r="S38" s="80"/>
      <c r="T38" s="80"/>
      <c r="U38" s="80"/>
    </row>
    <row r="39" spans="1:21">
      <c r="A39" s="80"/>
      <c r="B39" s="80"/>
      <c r="C39" s="80"/>
      <c r="D39" s="80"/>
      <c r="E39" s="80"/>
      <c r="F39" s="97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1:21">
      <c r="A40" s="80"/>
      <c r="B40" s="87" t="s">
        <v>209</v>
      </c>
      <c r="C40" s="95">
        <v>14.390941619873047</v>
      </c>
      <c r="D40" s="95">
        <v>14.411395072937012</v>
      </c>
      <c r="E40" s="95">
        <v>14.301624298095703</v>
      </c>
      <c r="F40" s="96">
        <f>AVERAGE(C40:E40)</f>
        <v>14.367986996968588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1:2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1:21">
      <c r="A42" s="80"/>
      <c r="B42" s="91" t="s">
        <v>210</v>
      </c>
      <c r="C42" s="80" t="s">
        <v>211</v>
      </c>
      <c r="D42" s="80"/>
      <c r="E42" s="80"/>
      <c r="F42" t="s">
        <v>212</v>
      </c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1:21">
      <c r="A43" s="80"/>
      <c r="B43" s="80" t="s">
        <v>213</v>
      </c>
      <c r="C43" s="80" t="s">
        <v>211</v>
      </c>
      <c r="D43" s="80"/>
      <c r="E43" s="80"/>
      <c r="F43">
        <v>0.35990572856564834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1:21">
      <c r="A44" s="80"/>
      <c r="B44" s="80"/>
      <c r="C44" s="98" t="s">
        <v>214</v>
      </c>
      <c r="D44" s="99">
        <v>-3.2483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1:21">
      <c r="A45" s="80"/>
      <c r="B45" s="80"/>
      <c r="C45" s="98" t="s">
        <v>215</v>
      </c>
      <c r="D45" s="100">
        <v>36.023000000000003</v>
      </c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1:2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1:2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1:21">
      <c r="A48" s="80"/>
      <c r="B48" s="91" t="s">
        <v>216</v>
      </c>
      <c r="C48" s="80"/>
      <c r="D48" s="80">
        <f>-1+ POWER(10,-(1/D44))</f>
        <v>1.0316707994539165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1:2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1:2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1:2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1:2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1:2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topLeftCell="I1" workbookViewId="0">
      <selection activeCell="W4" sqref="W4:W17"/>
    </sheetView>
  </sheetViews>
  <sheetFormatPr baseColWidth="10" defaultRowHeight="14" x14ac:dyDescent="0"/>
  <cols>
    <col min="16" max="16" width="13.5" customWidth="1"/>
    <col min="17" max="17" width="11" customWidth="1"/>
  </cols>
  <sheetData>
    <row r="1" spans="1:31">
      <c r="A1" s="101" t="s">
        <v>217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31">
      <c r="A2" s="118" t="s">
        <v>4</v>
      </c>
      <c r="B2" s="118" t="s">
        <v>118</v>
      </c>
      <c r="C2" s="118" t="s">
        <v>118</v>
      </c>
      <c r="D2" s="118" t="s">
        <v>5</v>
      </c>
      <c r="E2" s="132" t="s">
        <v>218</v>
      </c>
      <c r="F2" s="132" t="s">
        <v>219</v>
      </c>
      <c r="G2" s="132" t="s">
        <v>220</v>
      </c>
      <c r="H2" s="134" t="s">
        <v>221</v>
      </c>
      <c r="I2" s="134" t="s">
        <v>222</v>
      </c>
      <c r="J2" s="134" t="s">
        <v>223</v>
      </c>
      <c r="K2" s="132" t="s">
        <v>224</v>
      </c>
      <c r="L2" s="132" t="s">
        <v>225</v>
      </c>
      <c r="M2" s="132" t="s">
        <v>226</v>
      </c>
      <c r="N2" s="132" t="s">
        <v>227</v>
      </c>
      <c r="O2" s="132" t="s">
        <v>228</v>
      </c>
      <c r="P2" s="134" t="s">
        <v>229</v>
      </c>
      <c r="Q2" s="134" t="s">
        <v>230</v>
      </c>
      <c r="R2" s="134" t="s">
        <v>231</v>
      </c>
      <c r="S2" s="134" t="s">
        <v>232</v>
      </c>
      <c r="U2" s="136" t="s">
        <v>231</v>
      </c>
      <c r="V2" s="137"/>
      <c r="W2" s="137"/>
      <c r="X2" s="137"/>
      <c r="Z2" s="136" t="s">
        <v>232</v>
      </c>
      <c r="AA2" s="137"/>
      <c r="AB2" s="137"/>
      <c r="AC2" s="137"/>
      <c r="AD2" s="137"/>
    </row>
    <row r="3" spans="1:31">
      <c r="A3" s="119"/>
      <c r="B3" s="119"/>
      <c r="C3" s="119"/>
      <c r="D3" s="119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U3" s="138"/>
      <c r="V3" s="139"/>
      <c r="W3" s="139"/>
      <c r="X3" s="139"/>
      <c r="Z3" s="136"/>
      <c r="AA3" s="137"/>
      <c r="AB3" s="137"/>
      <c r="AC3" s="137"/>
      <c r="AD3" s="137"/>
    </row>
    <row r="4" spans="1:31">
      <c r="A4" s="40">
        <v>0</v>
      </c>
      <c r="B4" s="32">
        <v>10</v>
      </c>
      <c r="C4" s="32">
        <f>B4</f>
        <v>10</v>
      </c>
      <c r="D4" s="13">
        <f t="shared" ref="D4:D17" si="0">C4/60</f>
        <v>0.16666666666666666</v>
      </c>
      <c r="E4" s="95">
        <v>22.97593879699707</v>
      </c>
      <c r="F4" s="95">
        <v>23.372676849365234</v>
      </c>
      <c r="G4" s="96">
        <v>23.317323684692383</v>
      </c>
      <c r="H4" s="102">
        <f>E4-$H$69+$H$85</f>
        <v>25.859268389250104</v>
      </c>
      <c r="I4" s="102">
        <f>F4-$H$69+$H$85</f>
        <v>26.256006441618268</v>
      </c>
      <c r="J4" s="102">
        <f>G4-$H$69+$H$85</f>
        <v>26.200653276945417</v>
      </c>
      <c r="K4" s="96">
        <f>((H4-'Calibration F. prausnitzii'!$D$45)/'Calibration F. prausnitzii'!$D$44)+$B$62</f>
        <v>6.7821512234850072</v>
      </c>
      <c r="L4" s="96">
        <f>((I4-'Calibration F. prausnitzii'!$D$45)/'Calibration F. prausnitzii'!$D$44)+$B$62</f>
        <v>6.6600140894862498</v>
      </c>
      <c r="M4" s="96">
        <f>((J4-'Calibration F. prausnitzii'!$D$45)/'Calibration F. prausnitzii'!$D$44)+$B$62</f>
        <v>6.6770547460367062</v>
      </c>
      <c r="N4" s="103">
        <f>AVERAGE(K4:M4)</f>
        <v>6.7064066863359884</v>
      </c>
      <c r="O4" s="103">
        <f>STDEV(K4:M4)</f>
        <v>6.6147729929734125E-2</v>
      </c>
      <c r="P4" s="104">
        <f>(AVERAGE(POWER(10,K4),POWER(10,L4),POWER(10,M4)))*(Calculation!$I4/Calculation!$K3)</f>
        <v>5133469.7700528698</v>
      </c>
      <c r="Q4" s="104">
        <f>(STDEV(POWER(10,K4),POWER(10,L4),POWER(10,M4))*(Calculation!$I4/Calculation!$K3))</f>
        <v>810495.59093027143</v>
      </c>
      <c r="R4" s="103">
        <f>LOG(P4)</f>
        <v>6.7104110088947868</v>
      </c>
      <c r="S4" s="103">
        <f>O4*(Calculation!$I4/Calculation!$K3)</f>
        <v>6.6233360886877063E-2</v>
      </c>
      <c r="U4" s="103">
        <f>R4</f>
        <v>6.7104110088947868</v>
      </c>
      <c r="V4" s="103">
        <f>R22</f>
        <v>6.2370589322081944</v>
      </c>
      <c r="W4" s="103">
        <f>R40</f>
        <v>6.2645194598322584</v>
      </c>
      <c r="X4" s="103">
        <f>AVERAGE(U4:W4)</f>
        <v>6.4039964669784126</v>
      </c>
      <c r="Z4" s="153">
        <f>S4</f>
        <v>6.6233360886877063E-2</v>
      </c>
      <c r="AA4" s="153">
        <f>S22</f>
        <v>1.7399832373560686E-2</v>
      </c>
      <c r="AB4" s="153">
        <f>S40</f>
        <v>6.5053296028549354E-2</v>
      </c>
      <c r="AC4" s="153">
        <f>SUM(Z4:AB4)</f>
        <v>0.14868648928898709</v>
      </c>
      <c r="AD4">
        <f>STDEV(U4:W4)</f>
        <v>0.26571775207485443</v>
      </c>
      <c r="AE4">
        <f>AC4+AD4</f>
        <v>0.41440424136384152</v>
      </c>
    </row>
    <row r="5" spans="1:31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5">
        <v>24.086544036865234</v>
      </c>
      <c r="F5" s="95">
        <v>23.840457916259766</v>
      </c>
      <c r="G5" s="96">
        <v>23.395896911621094</v>
      </c>
      <c r="H5" s="102">
        <f>E5-$H$69+$H$85</f>
        <v>26.969873629118268</v>
      </c>
      <c r="I5" s="102">
        <f>F5-$H$69+$H$85</f>
        <v>26.7237875085128</v>
      </c>
      <c r="J5" s="102">
        <f>G5-$H$69+$H$85</f>
        <v>26.279226503874128</v>
      </c>
      <c r="K5" s="96">
        <f>((H5-'Calibration F. prausnitzii'!$D$45)/'Calibration F. prausnitzii'!$D$44)+$B$62</f>
        <v>6.440247692447798</v>
      </c>
      <c r="L5" s="96">
        <f>((I5-'Calibration F. prausnitzii'!$D$45)/'Calibration F. prausnitzii'!$D$44)+$B$62</f>
        <v>6.5160061262764071</v>
      </c>
      <c r="M5" s="96">
        <f>((J5-'Calibration F. prausnitzii'!$D$45)/'Calibration F. prausnitzii'!$D$44)+$B$62</f>
        <v>6.6528657157966702</v>
      </c>
      <c r="N5" s="103">
        <f t="shared" ref="N5:N17" si="1">AVERAGE(K5:M5)</f>
        <v>6.5363731781736254</v>
      </c>
      <c r="O5" s="103">
        <f t="shared" ref="O5:O17" si="2">STDEV(K5:M5)</f>
        <v>0.10776232442478849</v>
      </c>
      <c r="P5" s="104">
        <f>(AVERAGE(POWER(10,K5),POWER(10,L5),POWER(10,M5)))*(Calculation!$I5/Calculation!$K4)</f>
        <v>3515614.301062684</v>
      </c>
      <c r="Q5" s="104">
        <f>(STDEV(POWER(10,K5),POWER(10,L5),POWER(10,M5))*(Calculation!$I5/Calculation!$K4))</f>
        <v>893976.16288705752</v>
      </c>
      <c r="R5" s="103">
        <f t="shared" ref="R5:R17" si="3">LOG(P5)</f>
        <v>6.5460012224573569</v>
      </c>
      <c r="S5" s="103">
        <f>O5*(Calculation!$I5/Calculation!$K4)</f>
        <v>0.10790182718617192</v>
      </c>
      <c r="U5" s="103">
        <f t="shared" ref="U5:U17" si="4">R5</f>
        <v>6.5460012224573569</v>
      </c>
      <c r="V5" s="103">
        <f t="shared" ref="V5:V17" si="5">R23</f>
        <v>6.6996169176930662</v>
      </c>
      <c r="W5" s="103">
        <f t="shared" ref="W5:W17" si="6">R41</f>
        <v>6.6669960431272797</v>
      </c>
      <c r="X5" s="103">
        <f t="shared" ref="X5:X17" si="7">AVERAGE(U5:W5)</f>
        <v>6.6375380610925676</v>
      </c>
      <c r="Z5" s="153">
        <f t="shared" ref="Z5:Z17" si="8">S5</f>
        <v>0.10790182718617192</v>
      </c>
      <c r="AA5" s="153">
        <f t="shared" ref="AA5:AA17" si="9">S23</f>
        <v>2.5823581483778515E-2</v>
      </c>
      <c r="AB5">
        <v>1.4372390782742508E-2</v>
      </c>
      <c r="AC5">
        <f t="shared" ref="AC5:AC17" si="10">SUM(Z5:AB5)</f>
        <v>0.14809779945269291</v>
      </c>
      <c r="AD5">
        <f>STDEV(U5:W5)</f>
        <v>8.0933769125474703E-2</v>
      </c>
      <c r="AE5">
        <f t="shared" ref="AE5:AE17" si="11">AC5+AD5</f>
        <v>0.22903156857816762</v>
      </c>
    </row>
    <row r="6" spans="1:31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5">
        <v>21.866037368774414</v>
      </c>
      <c r="F6" s="95">
        <v>21.778152465820312</v>
      </c>
      <c r="G6" s="96">
        <v>21.477910995483398</v>
      </c>
      <c r="H6" s="102">
        <f>E6-$H$69+$H$85</f>
        <v>24.749366961027448</v>
      </c>
      <c r="I6" s="102">
        <f>F6-$H$69+$H$85</f>
        <v>24.661482058073346</v>
      </c>
      <c r="J6" s="102">
        <f>G6-$H$69+$H$85</f>
        <v>24.361240587736432</v>
      </c>
      <c r="K6" s="96">
        <f>((H6-'Calibration F. prausnitzii'!$D$45)/'Calibration F. prausnitzii'!$D$44)+$B$62</f>
        <v>7.1238380837573505</v>
      </c>
      <c r="L6" s="96">
        <f>((I6-'Calibration F. prausnitzii'!$D$45)/'Calibration F. prausnitzii'!$D$44)+$B$62</f>
        <v>7.1508937445504124</v>
      </c>
      <c r="M6" s="96">
        <f>((J6-'Calibration F. prausnitzii'!$D$45)/'Calibration F. prausnitzii'!$D$44)+$B$62</f>
        <v>7.2433240836006583</v>
      </c>
      <c r="N6" s="103">
        <f t="shared" si="1"/>
        <v>7.1726853039694731</v>
      </c>
      <c r="O6" s="103">
        <f t="shared" si="2"/>
        <v>6.2652853774386022E-2</v>
      </c>
      <c r="P6" s="104">
        <f>(AVERAGE(POWER(10,K6),POWER(10,L6),POWER(10,M6)))*(Calculation!$I6/Calculation!$K5)</f>
        <v>15018531.683319975</v>
      </c>
      <c r="Q6" s="104">
        <f>(STDEV(POWER(10,K6),POWER(10,L6),POWER(10,M6))*(Calculation!$I6/Calculation!$K5))</f>
        <v>2230856.2895133635</v>
      </c>
      <c r="R6" s="103">
        <f t="shared" si="3"/>
        <v>7.1766274750780745</v>
      </c>
      <c r="S6" s="103">
        <f>O6*(Calculation!$I6/Calculation!$K5)</f>
        <v>6.2778264114996846E-2</v>
      </c>
      <c r="U6" s="103">
        <f t="shared" si="4"/>
        <v>7.1766274750780745</v>
      </c>
      <c r="V6" s="103">
        <f t="shared" si="5"/>
        <v>7.2441456148775201</v>
      </c>
      <c r="W6" s="103">
        <f t="shared" si="6"/>
        <v>7.226130294959991</v>
      </c>
      <c r="X6" s="103">
        <f t="shared" si="7"/>
        <v>7.2156344616385288</v>
      </c>
      <c r="Z6" s="153">
        <f t="shared" si="8"/>
        <v>6.2778264114996846E-2</v>
      </c>
      <c r="AA6" s="153">
        <f t="shared" si="9"/>
        <v>2.5486132019805749E-2</v>
      </c>
      <c r="AB6">
        <v>1.9588165841583273E-2</v>
      </c>
      <c r="AC6">
        <f t="shared" si="10"/>
        <v>0.10785256197638587</v>
      </c>
      <c r="AD6">
        <f t="shared" ref="AD5:AD17" si="12">STDEV(U6:W6)</f>
        <v>3.4961359932478453E-2</v>
      </c>
      <c r="AE6">
        <f t="shared" si="11"/>
        <v>0.14281392190886433</v>
      </c>
    </row>
    <row r="7" spans="1:31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5">
        <v>20.707759857177734</v>
      </c>
      <c r="F7" s="95">
        <v>20.707487106323242</v>
      </c>
      <c r="G7" s="96">
        <v>20.495208740234375</v>
      </c>
      <c r="H7" s="102">
        <f>E7-$H$69+$H$85</f>
        <v>23.591089449430768</v>
      </c>
      <c r="I7" s="102">
        <f>F7-$H$69+$H$85</f>
        <v>23.590816698576276</v>
      </c>
      <c r="J7" s="102">
        <f>G7-$H$69+$H$85</f>
        <v>23.378538332487409</v>
      </c>
      <c r="K7" s="96">
        <f>((H7-'Calibration F. prausnitzii'!$D$45)/'Calibration F. prausnitzii'!$D$44)+$B$62</f>
        <v>7.4804176828081408</v>
      </c>
      <c r="L7" s="96">
        <f>((I7-'Calibration F. prausnitzii'!$D$45)/'Calibration F. prausnitzii'!$D$44)+$B$62</f>
        <v>7.4805016500693213</v>
      </c>
      <c r="M7" s="96">
        <f>((J7-'Calibration F. prausnitzii'!$D$45)/'Calibration F. prausnitzii'!$D$44)+$B$62</f>
        <v>7.5458522537970758</v>
      </c>
      <c r="N7" s="103">
        <f t="shared" si="1"/>
        <v>7.5022571955581796</v>
      </c>
      <c r="O7" s="103">
        <f t="shared" si="2"/>
        <v>3.7754451257630807E-2</v>
      </c>
      <c r="P7" s="104">
        <f>(AVERAGE(POWER(10,K7),POWER(10,L7),POWER(10,M7)))*(Calculation!$I7/Calculation!$K6)</f>
        <v>31932818.680638336</v>
      </c>
      <c r="Q7" s="104">
        <f>(STDEV(POWER(10,K7),POWER(10,L7),POWER(10,M7))*(Calculation!$I7/Calculation!$K6))</f>
        <v>2841962.8125384124</v>
      </c>
      <c r="R7" s="103">
        <f t="shared" si="3"/>
        <v>7.5042372550073164</v>
      </c>
      <c r="S7" s="103">
        <f>O7*(Calculation!$I7/Calculation!$K6)</f>
        <v>3.7830023211764686E-2</v>
      </c>
      <c r="U7" s="103">
        <f t="shared" si="4"/>
        <v>7.5042372550073164</v>
      </c>
      <c r="V7" s="103">
        <f t="shared" si="5"/>
        <v>7.5002515330689556</v>
      </c>
      <c r="W7" s="103">
        <f t="shared" si="6"/>
        <v>6.4761288838787889</v>
      </c>
      <c r="X7" s="103">
        <f t="shared" si="7"/>
        <v>7.1602058906516879</v>
      </c>
      <c r="Z7" s="153">
        <f t="shared" si="8"/>
        <v>3.7830023211764686E-2</v>
      </c>
      <c r="AA7" s="153">
        <f t="shared" si="9"/>
        <v>3.2340672405793851E-2</v>
      </c>
      <c r="AB7">
        <v>2.7772418116470073E-2</v>
      </c>
      <c r="AC7">
        <f t="shared" si="10"/>
        <v>9.7943113734028614E-2</v>
      </c>
      <c r="AD7">
        <f t="shared" si="12"/>
        <v>0.59243141788005149</v>
      </c>
      <c r="AE7">
        <f t="shared" si="11"/>
        <v>0.69037453161408013</v>
      </c>
    </row>
    <row r="8" spans="1:31">
      <c r="A8" s="40">
        <v>4</v>
      </c>
      <c r="B8" s="32">
        <v>80</v>
      </c>
      <c r="C8" s="32">
        <f t="shared" ref="C8:C17" si="13">C7+B8</f>
        <v>360</v>
      </c>
      <c r="D8" s="13">
        <f t="shared" si="0"/>
        <v>6</v>
      </c>
      <c r="E8" s="95">
        <v>22.2008056640625</v>
      </c>
      <c r="F8" s="95">
        <v>21.839914321899414</v>
      </c>
      <c r="G8" s="96">
        <v>22.118766784667969</v>
      </c>
      <c r="H8" s="102">
        <f>E8-$H$69+$H$85</f>
        <v>25.084135256315534</v>
      </c>
      <c r="I8" s="102">
        <f>F8-$H$69+$H$85</f>
        <v>24.723243914152448</v>
      </c>
      <c r="J8" s="102">
        <f>G8-$H$69+$H$85</f>
        <v>25.002096376921003</v>
      </c>
      <c r="K8" s="96">
        <f>((H8-'Calibration F. prausnitzii'!$D$45)/'Calibration F. prausnitzii'!$D$44)+$B$62</f>
        <v>7.020778546372231</v>
      </c>
      <c r="L8" s="96">
        <f>((I8-'Calibration F. prausnitzii'!$D$45)/'Calibration F. prausnitzii'!$D$44)+$B$62</f>
        <v>7.1318801509540393</v>
      </c>
      <c r="M8" s="96">
        <f>((J8-'Calibration F. prausnitzii'!$D$45)/'Calibration F. prausnitzii'!$D$44)+$B$62</f>
        <v>7.0460344892945379</v>
      </c>
      <c r="N8" s="103">
        <f t="shared" si="1"/>
        <v>7.0662310622069358</v>
      </c>
      <c r="O8" s="103">
        <f t="shared" si="2"/>
        <v>5.8239314927439535E-2</v>
      </c>
      <c r="P8" s="104">
        <f>(AVERAGE(POWER(10,K8),POWER(10,L8),POWER(10,M8)))*(Calculation!$I8/Calculation!$K7)</f>
        <v>11751095.58739949</v>
      </c>
      <c r="Q8" s="104">
        <f>(STDEV(POWER(10,K8),POWER(10,L8),POWER(10,M8))*(Calculation!$I8/Calculation!$K7))</f>
        <v>1619538.9937822178</v>
      </c>
      <c r="R8" s="103">
        <f t="shared" si="3"/>
        <v>7.0700783589805996</v>
      </c>
      <c r="S8" s="103">
        <f>O8*(Calculation!$I8/Calculation!$K7)</f>
        <v>5.8399767429188384E-2</v>
      </c>
      <c r="U8" s="103">
        <f t="shared" si="4"/>
        <v>7.0700783589805996</v>
      </c>
      <c r="V8" s="103">
        <f t="shared" si="5"/>
        <v>6.5756787354500918</v>
      </c>
      <c r="W8" s="103">
        <f t="shared" si="6"/>
        <v>6.8571862622966053</v>
      </c>
      <c r="X8" s="103">
        <f t="shared" si="7"/>
        <v>6.8343144522424319</v>
      </c>
      <c r="Z8" s="153">
        <f t="shared" si="8"/>
        <v>5.8399767429188384E-2</v>
      </c>
      <c r="AA8" s="153">
        <f t="shared" si="9"/>
        <v>5.6737024457696697E-2</v>
      </c>
      <c r="AB8">
        <v>2.3390592987717038E-2</v>
      </c>
      <c r="AC8">
        <f t="shared" si="10"/>
        <v>0.13852738487460212</v>
      </c>
      <c r="AD8">
        <f t="shared" si="12"/>
        <v>0.24799211017317177</v>
      </c>
      <c r="AE8">
        <f t="shared" si="11"/>
        <v>0.38651949504777389</v>
      </c>
    </row>
    <row r="9" spans="1:31">
      <c r="A9" s="40">
        <v>5</v>
      </c>
      <c r="B9" s="32">
        <v>80</v>
      </c>
      <c r="C9" s="32">
        <f t="shared" si="13"/>
        <v>440</v>
      </c>
      <c r="D9" s="13">
        <f t="shared" si="0"/>
        <v>7.333333333333333</v>
      </c>
      <c r="E9" s="95">
        <v>19.332695007324219</v>
      </c>
      <c r="F9" s="95">
        <v>19.359819412231445</v>
      </c>
      <c r="G9" s="96">
        <v>18.87873649597168</v>
      </c>
      <c r="H9" s="102">
        <f>E9-$H$69+$H$85</f>
        <v>22.216024599577253</v>
      </c>
      <c r="I9" s="102">
        <f>F9-$H$69+$H$85</f>
        <v>22.243149004484479</v>
      </c>
      <c r="J9" s="102">
        <f>G9-$H$69+$H$85</f>
        <v>21.762066088224714</v>
      </c>
      <c r="K9" s="96">
        <f>((H9-'Calibration F. prausnitzii'!$D$45)/'Calibration F. prausnitzii'!$D$44)+$B$62</f>
        <v>7.9037359877225626</v>
      </c>
      <c r="L9" s="96">
        <f>((I9-'Calibration F. prausnitzii'!$D$45)/'Calibration F. prausnitzii'!$D$44)+$B$62</f>
        <v>7.8953856491124501</v>
      </c>
      <c r="M9" s="96">
        <f>((J9-'Calibration F. prausnitzii'!$D$45)/'Calibration F. prausnitzii'!$D$44)+$B$62</f>
        <v>8.0434886310598586</v>
      </c>
      <c r="N9" s="103">
        <f t="shared" si="1"/>
        <v>7.9475367559649568</v>
      </c>
      <c r="O9" s="103">
        <f t="shared" si="2"/>
        <v>8.3201585257713484E-2</v>
      </c>
      <c r="P9" s="104">
        <f>(AVERAGE(POWER(10,K9),POWER(10,L9),POWER(10,M9)))*(Calculation!$I9/Calculation!$K8)</f>
        <v>90065702.6404358</v>
      </c>
      <c r="Q9" s="104">
        <f>(STDEV(POWER(10,K9),POWER(10,L9),POWER(10,M9))*(Calculation!$I9/Calculation!$K8))</f>
        <v>18079338.552198272</v>
      </c>
      <c r="R9" s="103">
        <f t="shared" si="3"/>
        <v>7.9545594414817478</v>
      </c>
      <c r="S9" s="103">
        <f>O9*(Calculation!$I9/Calculation!$K8)</f>
        <v>8.3495939619210466E-2</v>
      </c>
      <c r="U9" s="103">
        <f t="shared" si="4"/>
        <v>7.9545594414817478</v>
      </c>
      <c r="V9" s="103">
        <f t="shared" si="5"/>
        <v>7.2056782067236549</v>
      </c>
      <c r="W9" s="103">
        <f t="shared" si="6"/>
        <v>6.5379036857637649</v>
      </c>
      <c r="X9" s="103">
        <f t="shared" si="7"/>
        <v>7.2327137779897228</v>
      </c>
      <c r="Z9" s="153">
        <f t="shared" si="8"/>
        <v>8.3495939619210466E-2</v>
      </c>
      <c r="AA9" s="153">
        <f t="shared" si="9"/>
        <v>2.3180726381168262E-2</v>
      </c>
      <c r="AB9">
        <v>6.9282288837143741E-2</v>
      </c>
      <c r="AC9">
        <f t="shared" si="10"/>
        <v>0.17595895483752247</v>
      </c>
      <c r="AD9">
        <f t="shared" si="12"/>
        <v>0.70871473396387374</v>
      </c>
      <c r="AE9">
        <f t="shared" si="11"/>
        <v>0.88467368880139619</v>
      </c>
    </row>
    <row r="10" spans="1:31">
      <c r="A10" s="40">
        <v>6</v>
      </c>
      <c r="B10" s="32">
        <v>80</v>
      </c>
      <c r="C10" s="32">
        <f t="shared" si="13"/>
        <v>520</v>
      </c>
      <c r="D10" s="13">
        <f t="shared" si="0"/>
        <v>8.6666666666666661</v>
      </c>
      <c r="E10" s="95">
        <v>21.540374755859375</v>
      </c>
      <c r="F10" s="95">
        <v>21.18720817565918</v>
      </c>
      <c r="G10" s="96">
        <v>21.13629150390625</v>
      </c>
      <c r="H10" s="102">
        <f>E10-$H$69+$H$85</f>
        <v>24.423704348112409</v>
      </c>
      <c r="I10" s="102">
        <f>F10-$H$69+$H$85</f>
        <v>24.070537767912214</v>
      </c>
      <c r="J10" s="102">
        <f>G10-$H$69+$H$85</f>
        <v>24.019621096159284</v>
      </c>
      <c r="K10" s="96">
        <f>((H10-'Calibration F. prausnitzii'!$D$45)/'Calibration F. prausnitzii'!$D$44)+$B$62</f>
        <v>7.224094406423065</v>
      </c>
      <c r="L10" s="96">
        <f>((I10-'Calibration F. prausnitzii'!$D$45)/'Calibration F. prausnitzii'!$D$44)+$B$62</f>
        <v>7.3328179172441708</v>
      </c>
      <c r="M10" s="96">
        <f>((J10-'Calibration F. prausnitzii'!$D$45)/'Calibration F. prausnitzii'!$D$44)+$B$62</f>
        <v>7.3484927846372461</v>
      </c>
      <c r="N10" s="103">
        <f t="shared" si="1"/>
        <v>7.3018017027681603</v>
      </c>
      <c r="O10" s="103">
        <f t="shared" si="2"/>
        <v>6.7751334273916761E-2</v>
      </c>
      <c r="P10" s="104">
        <f>(AVERAGE(POWER(10,K10),POWER(10,L10),POWER(10,M10)))*(Calculation!$I10/Calculation!$K9)</f>
        <v>20298340.204776045</v>
      </c>
      <c r="Q10" s="104">
        <f>(STDEV(POWER(10,K10),POWER(10,L10),POWER(10,M10))*(Calculation!$I10/Calculation!$K9))</f>
        <v>3021471.0089392681</v>
      </c>
      <c r="R10" s="103">
        <f t="shared" si="3"/>
        <v>7.3074605271064348</v>
      </c>
      <c r="S10" s="103">
        <f>O10*(Calculation!$I10/Calculation!$K9)</f>
        <v>6.8101943250123836E-2</v>
      </c>
      <c r="U10" s="103">
        <f t="shared" si="4"/>
        <v>7.3074605271064348</v>
      </c>
      <c r="V10" s="103">
        <f t="shared" si="5"/>
        <v>7.8758799353645781</v>
      </c>
      <c r="W10" s="103">
        <f t="shared" si="6"/>
        <v>7.7227044368518003</v>
      </c>
      <c r="X10" s="103">
        <f t="shared" si="7"/>
        <v>7.6353482997742708</v>
      </c>
      <c r="Z10" s="153">
        <f t="shared" si="8"/>
        <v>6.8101943250123836E-2</v>
      </c>
      <c r="AA10" s="153">
        <f t="shared" si="9"/>
        <v>1.3675834743560855E-2</v>
      </c>
      <c r="AB10">
        <v>1.0805506583339656E-2</v>
      </c>
      <c r="AC10">
        <f t="shared" si="10"/>
        <v>9.2583284577024347E-2</v>
      </c>
      <c r="AD10">
        <f t="shared" si="12"/>
        <v>0.29410623409741848</v>
      </c>
      <c r="AE10">
        <f t="shared" si="11"/>
        <v>0.38668951867444284</v>
      </c>
    </row>
    <row r="11" spans="1:31">
      <c r="A11" s="40">
        <v>7</v>
      </c>
      <c r="B11" s="32">
        <v>80</v>
      </c>
      <c r="C11" s="32">
        <f t="shared" si="13"/>
        <v>600</v>
      </c>
      <c r="D11" s="13">
        <f t="shared" si="0"/>
        <v>10</v>
      </c>
      <c r="E11" s="95">
        <v>17.237771987915039</v>
      </c>
      <c r="F11" s="95">
        <v>17.480552673339844</v>
      </c>
      <c r="G11" s="96">
        <v>17.832124710083008</v>
      </c>
      <c r="H11" s="102">
        <f>E11-$H$69+$H$85</f>
        <v>20.121101580168073</v>
      </c>
      <c r="I11" s="102">
        <f>F11-$H$69+$H$85</f>
        <v>20.363882265592878</v>
      </c>
      <c r="J11" s="102">
        <f>G11-$H$69+$H$85</f>
        <v>20.715454302336042</v>
      </c>
      <c r="K11" s="96">
        <f>((H11-'Calibration F. prausnitzii'!$D$45)/'Calibration F. prausnitzii'!$D$44)+$B$62</f>
        <v>8.5486650335031804</v>
      </c>
      <c r="L11" s="96">
        <f>((I11-'Calibration F. prausnitzii'!$D$45)/'Calibration F. prausnitzii'!$D$44)+$B$62</f>
        <v>8.4739241889306935</v>
      </c>
      <c r="M11" s="96">
        <f>((J11-'Calibration F. prausnitzii'!$D$45)/'Calibration F. prausnitzii'!$D$44)+$B$62</f>
        <v>8.3656915636364904</v>
      </c>
      <c r="N11" s="103">
        <f t="shared" si="1"/>
        <v>8.462760262023453</v>
      </c>
      <c r="O11" s="103">
        <f t="shared" si="2"/>
        <v>9.1996182620567246E-2</v>
      </c>
      <c r="P11" s="104">
        <f>(AVERAGE(POWER(10,K11),POWER(10,L11),POWER(10,M11)))*(Calculation!$I11/Calculation!$K10)</f>
        <v>296569915.79208529</v>
      </c>
      <c r="Q11" s="104">
        <f>(STDEV(POWER(10,K11),POWER(10,L11),POWER(10,M11))*(Calculation!$I11/Calculation!$K10))</f>
        <v>61291772.206860691</v>
      </c>
      <c r="R11" s="103">
        <f t="shared" si="3"/>
        <v>8.4721270938665096</v>
      </c>
      <c r="S11" s="103">
        <f>O11*(Calculation!$I11/Calculation!$K10)</f>
        <v>9.2628857119137431E-2</v>
      </c>
      <c r="U11" s="103">
        <f t="shared" si="4"/>
        <v>8.4721270938665096</v>
      </c>
      <c r="V11" s="103">
        <f t="shared" si="5"/>
        <v>7.5413236576364833</v>
      </c>
      <c r="W11" s="103">
        <f t="shared" si="6"/>
        <v>7.9839376302488443</v>
      </c>
      <c r="X11" s="103">
        <f t="shared" si="7"/>
        <v>7.9991294605839469</v>
      </c>
      <c r="Z11" s="153">
        <f t="shared" si="8"/>
        <v>9.2628857119137431E-2</v>
      </c>
      <c r="AA11" s="153">
        <f t="shared" si="9"/>
        <v>5.2976131086847907E-2</v>
      </c>
      <c r="AB11">
        <v>6.8529252683928376E-3</v>
      </c>
      <c r="AC11">
        <f t="shared" si="10"/>
        <v>0.15245791347437818</v>
      </c>
      <c r="AD11">
        <f t="shared" si="12"/>
        <v>0.46558764266902969</v>
      </c>
      <c r="AE11">
        <f t="shared" si="11"/>
        <v>0.61804555614340784</v>
      </c>
    </row>
    <row r="12" spans="1:31">
      <c r="A12" s="40">
        <v>8</v>
      </c>
      <c r="B12" s="32">
        <v>80</v>
      </c>
      <c r="C12" s="32">
        <f t="shared" si="13"/>
        <v>680</v>
      </c>
      <c r="D12" s="13">
        <f t="shared" si="0"/>
        <v>11.333333333333334</v>
      </c>
      <c r="E12" s="95">
        <v>20.746862411499023</v>
      </c>
      <c r="F12" s="95">
        <v>20.704702377319336</v>
      </c>
      <c r="G12" s="96">
        <v>20.759456634521484</v>
      </c>
      <c r="H12" s="102">
        <f>E12-$H$69+$H$85</f>
        <v>23.630192003752057</v>
      </c>
      <c r="I12" s="102">
        <f>F12-$H$69+$H$85</f>
        <v>23.58803196957237</v>
      </c>
      <c r="J12" s="102">
        <f>G12-$H$69+$H$85</f>
        <v>23.642786226774518</v>
      </c>
      <c r="K12" s="96">
        <f>((H12-'Calibration F. prausnitzii'!$D$45)/'Calibration F. prausnitzii'!$D$44)+$B$62</f>
        <v>7.4683798309098286</v>
      </c>
      <c r="L12" s="96">
        <f>((I12-'Calibration F. prausnitzii'!$D$45)/'Calibration F. prausnitzii'!$D$44)+$B$62</f>
        <v>7.4813589381904633</v>
      </c>
      <c r="M12" s="96">
        <f>((J12-'Calibration F. prausnitzii'!$D$45)/'Calibration F. prausnitzii'!$D$44)+$B$62</f>
        <v>7.4645026573044158</v>
      </c>
      <c r="N12" s="103">
        <f t="shared" si="1"/>
        <v>7.4714138088015689</v>
      </c>
      <c r="O12" s="103">
        <f t="shared" si="2"/>
        <v>8.8282114673930868E-3</v>
      </c>
      <c r="P12" s="104">
        <f>(AVERAGE(POWER(10,K12),POWER(10,L12),POWER(10,M12)))*(Calculation!$I12/Calculation!$K11)</f>
        <v>29842473.068690866</v>
      </c>
      <c r="Q12" s="104">
        <f>(STDEV(POWER(10,K12),POWER(10,L12),POWER(10,M12))*(Calculation!$I12/Calculation!$K11))</f>
        <v>609393.80554478243</v>
      </c>
      <c r="R12" s="103">
        <f t="shared" si="3"/>
        <v>7.4748348106096563</v>
      </c>
      <c r="S12" s="103">
        <f>O12*(Calculation!$I12/Calculation!$K11)</f>
        <v>8.8967979576262315E-3</v>
      </c>
      <c r="U12" s="103">
        <f t="shared" si="4"/>
        <v>7.4748348106096563</v>
      </c>
      <c r="V12" s="103">
        <f t="shared" si="5"/>
        <v>7.6970279022115982</v>
      </c>
      <c r="W12" s="103">
        <f t="shared" si="6"/>
        <v>8.0037684448256332</v>
      </c>
      <c r="X12" s="103">
        <f t="shared" si="7"/>
        <v>7.7252103858822965</v>
      </c>
      <c r="Z12" s="153">
        <f t="shared" si="8"/>
        <v>8.8967979576262315E-3</v>
      </c>
      <c r="AA12" s="153">
        <f t="shared" si="9"/>
        <v>4.2845136019774098E-2</v>
      </c>
      <c r="AB12">
        <v>2.1910741921738006E-2</v>
      </c>
      <c r="AC12">
        <f t="shared" si="10"/>
        <v>7.3652675899138334E-2</v>
      </c>
      <c r="AD12">
        <f t="shared" si="12"/>
        <v>0.26559063733614008</v>
      </c>
      <c r="AE12">
        <f t="shared" si="11"/>
        <v>0.3392433132352784</v>
      </c>
    </row>
    <row r="13" spans="1:31">
      <c r="A13" s="40">
        <v>9</v>
      </c>
      <c r="B13" s="32">
        <v>80</v>
      </c>
      <c r="C13" s="32">
        <f t="shared" si="13"/>
        <v>760</v>
      </c>
      <c r="D13" s="13">
        <f t="shared" si="0"/>
        <v>12.666666666666666</v>
      </c>
      <c r="E13" s="95">
        <v>15.327271461486816</v>
      </c>
      <c r="F13" s="95">
        <v>15.452556610107422</v>
      </c>
      <c r="G13" s="96">
        <v>15.483016967773438</v>
      </c>
      <c r="H13" s="102">
        <f>E13-$H$69+$H$85</f>
        <v>18.21060105373985</v>
      </c>
      <c r="I13" s="102">
        <f>F13-$H$69+$H$85</f>
        <v>18.335886202360456</v>
      </c>
      <c r="J13" s="102">
        <f>G13-$H$69+$H$85</f>
        <v>18.366346560026471</v>
      </c>
      <c r="K13" s="96">
        <f>((H13-'Calibration F. prausnitzii'!$D$45)/'Calibration F. prausnitzii'!$D$44)+$B$62</f>
        <v>9.1368189990938653</v>
      </c>
      <c r="L13" s="96">
        <f>((I13-'Calibration F. prausnitzii'!$D$45)/'Calibration F. prausnitzii'!$D$44)+$B$62</f>
        <v>9.0982495478053131</v>
      </c>
      <c r="M13" s="96">
        <f>((J13-'Calibration F. prausnitzii'!$D$45)/'Calibration F. prausnitzii'!$D$44)+$B$62</f>
        <v>9.0888722250007632</v>
      </c>
      <c r="N13" s="103">
        <f t="shared" si="1"/>
        <v>9.10798025729998</v>
      </c>
      <c r="O13" s="103">
        <f t="shared" si="2"/>
        <v>2.541138164161779E-2</v>
      </c>
      <c r="P13" s="104">
        <f>(AVERAGE(POWER(10,K13),POWER(10,L13),POWER(10,M13)))*(Calculation!$I13/Calculation!$K12)</f>
        <v>1294912602.2979314</v>
      </c>
      <c r="Q13" s="104">
        <f>(STDEV(POWER(10,K13),POWER(10,L13),POWER(10,M13))*(Calculation!$I13/Calculation!$K12))</f>
        <v>76812496.987741366</v>
      </c>
      <c r="R13" s="103">
        <f t="shared" si="3"/>
        <v>9.1122404575133267</v>
      </c>
      <c r="S13" s="103">
        <f>O13*(Calculation!$I13/Calculation!$K12)</f>
        <v>2.5632340500353228E-2</v>
      </c>
      <c r="U13" s="103">
        <f t="shared" si="4"/>
        <v>9.1122404575133267</v>
      </c>
      <c r="V13" s="103">
        <f t="shared" si="5"/>
        <v>8.3587435117147013</v>
      </c>
      <c r="W13" s="103">
        <f t="shared" si="6"/>
        <v>8.7223012098158357</v>
      </c>
      <c r="X13" s="103">
        <f t="shared" si="7"/>
        <v>8.7310950596812891</v>
      </c>
      <c r="Z13" s="153">
        <f t="shared" si="8"/>
        <v>2.5632340500353228E-2</v>
      </c>
      <c r="AA13" s="153">
        <f t="shared" si="9"/>
        <v>2.516016997645662E-2</v>
      </c>
      <c r="AB13">
        <v>2.6039235354230486E-2</v>
      </c>
      <c r="AC13">
        <f t="shared" si="10"/>
        <v>7.6831745831040327E-2</v>
      </c>
      <c r="AD13">
        <f t="shared" si="12"/>
        <v>0.37682543793984535</v>
      </c>
      <c r="AE13">
        <f t="shared" si="11"/>
        <v>0.45365718377088571</v>
      </c>
    </row>
    <row r="14" spans="1:31">
      <c r="A14" s="40">
        <v>10</v>
      </c>
      <c r="B14" s="32">
        <v>80</v>
      </c>
      <c r="C14" s="32">
        <f t="shared" si="13"/>
        <v>840</v>
      </c>
      <c r="D14" s="13">
        <f t="shared" si="0"/>
        <v>14</v>
      </c>
      <c r="E14" s="95">
        <v>16.430074691772461</v>
      </c>
      <c r="F14" s="95">
        <v>16.625186920166016</v>
      </c>
      <c r="G14" s="96">
        <v>16.685539245605469</v>
      </c>
      <c r="H14" s="102">
        <f>E14-$H$69+$H$85</f>
        <v>19.313404284025495</v>
      </c>
      <c r="I14" s="102">
        <f>F14-$H$69+$H$85</f>
        <v>19.50851651241905</v>
      </c>
      <c r="J14" s="102">
        <f>G14-$H$69+$H$85</f>
        <v>19.568868837858503</v>
      </c>
      <c r="K14" s="96">
        <f>((H14-'Calibration F. prausnitzii'!$D$45)/'Calibration F. prausnitzii'!$D$44)+$B$62</f>
        <v>8.7973173427549654</v>
      </c>
      <c r="L14" s="96">
        <f>((I14-'Calibration F. prausnitzii'!$D$45)/'Calibration F. prausnitzii'!$D$44)+$B$62</f>
        <v>8.7372513918287726</v>
      </c>
      <c r="M14" s="96">
        <f>((J14-'Calibration F. prausnitzii'!$D$45)/'Calibration F. prausnitzii'!$D$44)+$B$62</f>
        <v>8.7186717269457716</v>
      </c>
      <c r="N14" s="103">
        <f t="shared" si="1"/>
        <v>8.7510801538431693</v>
      </c>
      <c r="O14" s="103">
        <f t="shared" si="2"/>
        <v>4.1106072734329077E-2</v>
      </c>
      <c r="P14" s="104">
        <f>(AVERAGE(POWER(10,K14),POWER(10,L14),POWER(10,M14)))*(Calculation!$I14/Calculation!$K13)</f>
        <v>570366935.54507446</v>
      </c>
      <c r="Q14" s="104">
        <f>(STDEV(POWER(10,K14),POWER(10,L14),POWER(10,M14))*(Calculation!$I14/Calculation!$K13))</f>
        <v>55051802.111236244</v>
      </c>
      <c r="R14" s="103">
        <f t="shared" si="3"/>
        <v>8.7561543413064093</v>
      </c>
      <c r="S14" s="103">
        <f>O14*(Calculation!$I14/Calculation!$K13)</f>
        <v>4.1463501190859668E-2</v>
      </c>
      <c r="U14" s="103">
        <f t="shared" si="4"/>
        <v>8.7561543413064093</v>
      </c>
      <c r="V14" s="103">
        <f t="shared" si="5"/>
        <v>9.0140074944488386</v>
      </c>
      <c r="W14" s="103">
        <f t="shared" si="6"/>
        <v>8.7953922647322909</v>
      </c>
      <c r="X14" s="103">
        <f t="shared" si="7"/>
        <v>8.8551847001625124</v>
      </c>
      <c r="Z14" s="153">
        <f t="shared" si="8"/>
        <v>4.1463501190859668E-2</v>
      </c>
      <c r="AA14" s="153">
        <f t="shared" si="9"/>
        <v>4.6191672622100131E-2</v>
      </c>
      <c r="AB14">
        <v>5.0793044670171504E-2</v>
      </c>
      <c r="AC14">
        <f t="shared" si="10"/>
        <v>0.1384482184831313</v>
      </c>
      <c r="AD14">
        <f t="shared" si="12"/>
        <v>0.1389367253370441</v>
      </c>
      <c r="AE14">
        <f t="shared" si="11"/>
        <v>0.27738494382017542</v>
      </c>
    </row>
    <row r="15" spans="1:31">
      <c r="A15" s="40">
        <v>11</v>
      </c>
      <c r="B15" s="32">
        <v>600</v>
      </c>
      <c r="C15" s="32">
        <f t="shared" si="13"/>
        <v>1440</v>
      </c>
      <c r="D15" s="13">
        <f t="shared" si="0"/>
        <v>24</v>
      </c>
      <c r="E15" s="95">
        <v>15.130255699157715</v>
      </c>
      <c r="F15" s="95">
        <v>15.250650405883789</v>
      </c>
      <c r="G15" s="96">
        <v>15.14905834197998</v>
      </c>
      <c r="H15" s="102">
        <f>E15-$H$69+$H$85</f>
        <v>18.013585291410749</v>
      </c>
      <c r="I15" s="102">
        <f>F15-$H$69+$H$85</f>
        <v>18.133979998136823</v>
      </c>
      <c r="J15" s="102">
        <f>G15-$H$69+$H$85</f>
        <v>18.032387934233014</v>
      </c>
      <c r="K15" s="96">
        <f>((H15-'Calibration F. prausnitzii'!$D$45)/'Calibration F. prausnitzii'!$D$44)+$B$62</f>
        <v>9.1974709592973873</v>
      </c>
      <c r="L15" s="96">
        <f>((I15-'Calibration F. prausnitzii'!$D$45)/'Calibration F. prausnitzii'!$D$44)+$B$62</f>
        <v>9.1604070468736349</v>
      </c>
      <c r="M15" s="96">
        <f>((J15-'Calibration F. prausnitzii'!$D$45)/'Calibration F. prausnitzii'!$D$44)+$B$62</f>
        <v>9.1916825029287441</v>
      </c>
      <c r="N15" s="103">
        <f t="shared" si="1"/>
        <v>9.1831868363665876</v>
      </c>
      <c r="O15" s="103">
        <f t="shared" si="2"/>
        <v>1.9939048718291195E-2</v>
      </c>
      <c r="P15" s="104">
        <f>(AVERAGE(POWER(10,K15),POWER(10,L15),POWER(10,M15)))*(Calculation!$I15/Calculation!$K14)</f>
        <v>1543678763.8520901</v>
      </c>
      <c r="Q15" s="104">
        <f>(STDEV(POWER(10,K15),POWER(10,L15),POWER(10,M15))*(Calculation!$I15/Calculation!$K14))</f>
        <v>69998337.430739269</v>
      </c>
      <c r="R15" s="103">
        <f t="shared" si="3"/>
        <v>9.1885569296775724</v>
      </c>
      <c r="S15" s="103">
        <f>O15*(Calculation!$I15/Calculation!$K14)</f>
        <v>2.0173064632190662E-2</v>
      </c>
      <c r="U15" s="103">
        <f t="shared" si="4"/>
        <v>9.1885569296775724</v>
      </c>
      <c r="V15" s="103">
        <f t="shared" si="5"/>
        <v>9.2886910152845523</v>
      </c>
      <c r="W15" s="103">
        <f t="shared" si="6"/>
        <v>9.274495562606365</v>
      </c>
      <c r="X15" s="103">
        <f t="shared" si="7"/>
        <v>9.2505811691894966</v>
      </c>
      <c r="Z15" s="153">
        <f t="shared" si="8"/>
        <v>2.0173064632190662E-2</v>
      </c>
      <c r="AA15" s="153">
        <f t="shared" si="9"/>
        <v>1.7917135584747543E-2</v>
      </c>
      <c r="AB15">
        <v>0.10809410332118571</v>
      </c>
      <c r="AC15">
        <f t="shared" si="10"/>
        <v>0.14618430353812392</v>
      </c>
      <c r="AD15">
        <f t="shared" si="12"/>
        <v>5.4181476857493131E-2</v>
      </c>
      <c r="AE15">
        <f t="shared" si="11"/>
        <v>0.20036578039561706</v>
      </c>
    </row>
    <row r="16" spans="1:31">
      <c r="A16" s="40">
        <v>12</v>
      </c>
      <c r="B16" s="32">
        <v>360</v>
      </c>
      <c r="C16" s="32">
        <f t="shared" si="13"/>
        <v>1800</v>
      </c>
      <c r="D16" s="13">
        <f t="shared" si="0"/>
        <v>30</v>
      </c>
      <c r="E16" s="95">
        <v>18.305656433105469</v>
      </c>
      <c r="F16" s="95">
        <v>18.180881500244141</v>
      </c>
      <c r="G16" s="96">
        <v>18.258108139038086</v>
      </c>
      <c r="H16" s="102">
        <f>E16-$H$71+$H$85</f>
        <v>18.118522526925069</v>
      </c>
      <c r="I16" s="102">
        <f>F16-$H$71+$H$85</f>
        <v>17.993747594063741</v>
      </c>
      <c r="J16" s="102">
        <f>G16-$H$71+$H$85</f>
        <v>18.070974232857687</v>
      </c>
      <c r="K16" s="96">
        <f>((H16-'Calibration F. prausnitzii'!$D$45)/'Calibration F. prausnitzii'!$D$44)+$B$62</f>
        <v>9.1651656809935602</v>
      </c>
      <c r="L16" s="96">
        <f>((I16-'Calibration F. prausnitzii'!$D$45)/'Calibration F. prausnitzii'!$D$44)+$B$62</f>
        <v>9.2035780606571773</v>
      </c>
      <c r="M16" s="96">
        <f>((J16-'Calibration F. prausnitzii'!$D$45)/'Calibration F. prausnitzii'!$D$44)+$B$62</f>
        <v>9.1798035820702406</v>
      </c>
      <c r="N16" s="103">
        <f t="shared" si="1"/>
        <v>9.1828491079069945</v>
      </c>
      <c r="O16" s="103">
        <f t="shared" si="2"/>
        <v>1.9386442390810381E-2</v>
      </c>
      <c r="P16" s="104">
        <f>(AVERAGE(POWER(10,K16),POWER(10,L16),POWER(10,M16)))*(Calculation!$I16/Calculation!$K15)</f>
        <v>1545682391.0980372</v>
      </c>
      <c r="Q16" s="104">
        <f>(STDEV(POWER(10,K16),POWER(10,L16),POWER(10,M16))*(Calculation!$I16/Calculation!$K15))</f>
        <v>69333139.820203871</v>
      </c>
      <c r="R16" s="103">
        <f t="shared" si="3"/>
        <v>9.1891202593338122</v>
      </c>
      <c r="S16" s="103">
        <f>O16*(Calculation!$I16/Calculation!$K15)</f>
        <v>1.9655308690963026E-2</v>
      </c>
      <c r="U16" s="103">
        <f t="shared" si="4"/>
        <v>9.1891202593338122</v>
      </c>
      <c r="V16" s="103">
        <f t="shared" si="5"/>
        <v>9.3121057392660518</v>
      </c>
      <c r="W16" s="103">
        <f t="shared" si="6"/>
        <v>9.2242377508327529</v>
      </c>
      <c r="X16" s="103">
        <f t="shared" si="7"/>
        <v>9.2418212498108723</v>
      </c>
      <c r="Z16" s="153">
        <f t="shared" si="8"/>
        <v>1.9655308690963026E-2</v>
      </c>
      <c r="AA16" s="153">
        <f t="shared" si="9"/>
        <v>1.5659984346731444E-2</v>
      </c>
      <c r="AB16">
        <v>2.2262032373259327E-2</v>
      </c>
      <c r="AC16">
        <f t="shared" si="10"/>
        <v>5.7577325410953797E-2</v>
      </c>
      <c r="AD16">
        <f t="shared" si="12"/>
        <v>6.3350151110916644E-2</v>
      </c>
      <c r="AE16">
        <f t="shared" si="11"/>
        <v>0.12092747652187044</v>
      </c>
    </row>
    <row r="17" spans="1:31">
      <c r="A17" s="40">
        <v>13</v>
      </c>
      <c r="B17" s="32">
        <v>1080</v>
      </c>
      <c r="C17" s="32">
        <f t="shared" si="13"/>
        <v>2880</v>
      </c>
      <c r="D17" s="13">
        <f t="shared" si="0"/>
        <v>48</v>
      </c>
      <c r="E17" s="95">
        <v>21.205965042114258</v>
      </c>
      <c r="F17" s="95">
        <v>21.163749694824219</v>
      </c>
      <c r="G17" s="96">
        <v>21.530359268188477</v>
      </c>
      <c r="H17" s="102">
        <f>E17-$H$71+$H$85</f>
        <v>21.018831135933858</v>
      </c>
      <c r="I17" s="102">
        <f>F17-$H$71+$H$85</f>
        <v>20.976615788643819</v>
      </c>
      <c r="J17" s="102">
        <f>G17-$H$71+$H$85</f>
        <v>21.343225362008077</v>
      </c>
      <c r="K17" s="96">
        <f>((H17-'Calibration F. prausnitzii'!$D$45)/'Calibration F. prausnitzii'!$D$44)+$B$62</f>
        <v>8.2722959925384334</v>
      </c>
      <c r="L17" s="96">
        <f>((I17-'Calibration F. prausnitzii'!$D$45)/'Calibration F. prausnitzii'!$D$44)+$B$62</f>
        <v>8.2852921281447625</v>
      </c>
      <c r="M17" s="96">
        <f>((J17-'Calibration F. prausnitzii'!$D$45)/'Calibration F. prausnitzii'!$D$44)+$B$62</f>
        <v>8.1724301469963905</v>
      </c>
      <c r="N17" s="103">
        <f t="shared" si="1"/>
        <v>8.2433394225598615</v>
      </c>
      <c r="O17" s="103">
        <f t="shared" si="2"/>
        <v>6.1752076126044463E-2</v>
      </c>
      <c r="P17" s="104">
        <f>(AVERAGE(POWER(10,K17),POWER(10,L17),POWER(10,M17)))*(Calculation!$I17/Calculation!$K16)</f>
        <v>179116087.11627272</v>
      </c>
      <c r="Q17" s="104">
        <f>(STDEV(POWER(10,K17),POWER(10,L17),POWER(10,M17))*(Calculation!$I17/Calculation!$K16))</f>
        <v>24399730.16744417</v>
      </c>
      <c r="R17" s="103">
        <f t="shared" si="3"/>
        <v>8.2531345932866262</v>
      </c>
      <c r="S17" s="103">
        <f>O17*(Calculation!$I17/Calculation!$K16)</f>
        <v>6.2748097392871793E-2</v>
      </c>
      <c r="U17" s="103">
        <f t="shared" si="4"/>
        <v>8.2531345932866262</v>
      </c>
      <c r="V17" s="103">
        <f t="shared" si="5"/>
        <v>8.235497392746451</v>
      </c>
      <c r="W17" s="103">
        <f t="shared" si="6"/>
        <v>7.8160285890831291</v>
      </c>
      <c r="X17" s="103">
        <f t="shared" si="7"/>
        <v>8.1015535250387352</v>
      </c>
      <c r="Z17" s="153">
        <f t="shared" si="8"/>
        <v>6.2748097392871793E-2</v>
      </c>
      <c r="AA17" s="153">
        <f t="shared" si="9"/>
        <v>8.9823560430103047E-2</v>
      </c>
      <c r="AB17">
        <v>2.9313815427451359E-2</v>
      </c>
      <c r="AC17">
        <f t="shared" si="10"/>
        <v>0.1818854732504262</v>
      </c>
      <c r="AD17">
        <f t="shared" si="12"/>
        <v>0.24742904942642327</v>
      </c>
      <c r="AE17">
        <f t="shared" si="11"/>
        <v>0.42931452267684944</v>
      </c>
    </row>
    <row r="18" spans="1:31">
      <c r="A18" s="10"/>
      <c r="B18" s="10"/>
      <c r="C18" s="10"/>
      <c r="D18" s="109"/>
      <c r="E18" s="110"/>
      <c r="F18" s="110"/>
      <c r="G18" s="111"/>
      <c r="H18" s="108"/>
      <c r="I18" s="108"/>
      <c r="J18" s="108"/>
      <c r="K18" s="111"/>
      <c r="L18" s="111"/>
      <c r="M18" s="111"/>
      <c r="N18" s="112"/>
      <c r="O18" s="112"/>
      <c r="P18" s="113"/>
      <c r="Q18" s="113"/>
      <c r="R18" s="112"/>
      <c r="S18" s="112"/>
    </row>
    <row r="19" spans="1:31">
      <c r="A19" s="101" t="s">
        <v>217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1:31">
      <c r="A20" s="118" t="s">
        <v>4</v>
      </c>
      <c r="B20" s="118" t="s">
        <v>118</v>
      </c>
      <c r="C20" s="118" t="s">
        <v>118</v>
      </c>
      <c r="D20" s="118" t="s">
        <v>5</v>
      </c>
      <c r="E20" s="132" t="s">
        <v>218</v>
      </c>
      <c r="F20" s="132" t="s">
        <v>219</v>
      </c>
      <c r="G20" s="132" t="s">
        <v>220</v>
      </c>
      <c r="H20" s="134" t="s">
        <v>221</v>
      </c>
      <c r="I20" s="134" t="s">
        <v>222</v>
      </c>
      <c r="J20" s="134" t="s">
        <v>223</v>
      </c>
      <c r="K20" s="132" t="s">
        <v>224</v>
      </c>
      <c r="L20" s="132" t="s">
        <v>225</v>
      </c>
      <c r="M20" s="132" t="s">
        <v>226</v>
      </c>
      <c r="N20" s="132" t="s">
        <v>227</v>
      </c>
      <c r="O20" s="132" t="s">
        <v>228</v>
      </c>
      <c r="P20" s="134" t="s">
        <v>229</v>
      </c>
      <c r="Q20" s="134" t="s">
        <v>230</v>
      </c>
      <c r="R20" s="134" t="s">
        <v>231</v>
      </c>
      <c r="S20" s="134" t="s">
        <v>232</v>
      </c>
    </row>
    <row r="21" spans="1:31">
      <c r="A21" s="119"/>
      <c r="B21" s="119"/>
      <c r="C21" s="119"/>
      <c r="D21" s="119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</row>
    <row r="22" spans="1:31">
      <c r="A22" s="40">
        <v>0</v>
      </c>
      <c r="B22" s="32">
        <v>10</v>
      </c>
      <c r="C22" s="32">
        <f>B22</f>
        <v>10</v>
      </c>
      <c r="D22" s="13">
        <f t="shared" ref="D22:D35" si="14">C22/60</f>
        <v>0.16666666666666666</v>
      </c>
      <c r="E22" s="95">
        <v>27.810586929321289</v>
      </c>
      <c r="F22" s="95">
        <v>27.768203735351562</v>
      </c>
      <c r="G22" s="96">
        <v>27.880012512207031</v>
      </c>
      <c r="H22" s="102">
        <f>E22-$H$71+$H$85</f>
        <v>27.62345302314089</v>
      </c>
      <c r="I22" s="102">
        <f>F22-$H$71+$H$85</f>
        <v>27.581069829171163</v>
      </c>
      <c r="J22" s="102">
        <f>G22-$H$71+$H$85</f>
        <v>27.692878606026632</v>
      </c>
      <c r="K22" s="96">
        <f>((H22-'Calibration F. prausnitzii'!$D$45)/'Calibration F. prausnitzii'!$D$44)+$B$62</f>
        <v>6.2390410939123733</v>
      </c>
      <c r="L22" s="96">
        <f>((I22-'Calibration F. prausnitzii'!$D$45)/'Calibration F. prausnitzii'!$D$44)+$B$62</f>
        <v>6.2520889016794285</v>
      </c>
      <c r="M22" s="96">
        <f>((J22-'Calibration F. prausnitzii'!$D$45)/'Calibration F. prausnitzii'!$D$44)+$B$62</f>
        <v>6.2176681964319247</v>
      </c>
      <c r="N22" s="103">
        <f>AVERAGE(K22:M22)</f>
        <v>6.2362660640079097</v>
      </c>
      <c r="O22" s="103">
        <f>STDEV(K22:M22)</f>
        <v>1.7377336696452899E-2</v>
      </c>
      <c r="P22" s="104">
        <f>(AVERAGE(POWER(10,K22),POWER(10,L22),POWER(10,M22)))*(Calculation!$I4/Calculation!$K3)</f>
        <v>1726072.097910793</v>
      </c>
      <c r="Q22" s="104">
        <f>(STDEV(POWER(10,K22),POWER(10,L22),POWER(10,M22))*(Calculation!$I4/Calculation!$K3))</f>
        <v>68728.093401607504</v>
      </c>
      <c r="R22" s="103">
        <f>LOG(P22)</f>
        <v>6.2370589322081944</v>
      </c>
      <c r="S22" s="103">
        <f>O22*(Calculation!$I4/Calculation!$K3)</f>
        <v>1.7399832373560686E-2</v>
      </c>
    </row>
    <row r="23" spans="1:31">
      <c r="A23" s="40">
        <v>1</v>
      </c>
      <c r="B23" s="32">
        <v>110</v>
      </c>
      <c r="C23" s="32">
        <f>C22+B23</f>
        <v>120</v>
      </c>
      <c r="D23" s="13">
        <f t="shared" si="14"/>
        <v>2</v>
      </c>
      <c r="E23" s="95">
        <v>26.38463020324707</v>
      </c>
      <c r="F23" s="95">
        <v>26.345407485961914</v>
      </c>
      <c r="G23" s="96">
        <v>26.223949432373047</v>
      </c>
      <c r="H23" s="102">
        <f>E23-$H$71+$H$85</f>
        <v>26.197496297066671</v>
      </c>
      <c r="I23" s="102">
        <f>F23-$H$71+$H$85</f>
        <v>26.158273579781515</v>
      </c>
      <c r="J23" s="102">
        <f>G23-$H$71+$H$85</f>
        <v>26.036815526192647</v>
      </c>
      <c r="K23" s="96">
        <f>((H23-'Calibration F. prausnitzii'!$D$45)/'Calibration F. prausnitzii'!$D$44)+$B$62</f>
        <v>6.6780266328324913</v>
      </c>
      <c r="L23" s="96">
        <f>((I23-'Calibration F. prausnitzii'!$D$45)/'Calibration F. prausnitzii'!$D$44)+$B$62</f>
        <v>6.6901014773004146</v>
      </c>
      <c r="M23" s="96">
        <f>((J23-'Calibration F. prausnitzii'!$D$45)/'Calibration F. prausnitzii'!$D$44)+$B$62</f>
        <v>6.7274927446060415</v>
      </c>
      <c r="N23" s="103">
        <f t="shared" ref="N23:N35" si="15">AVERAGE(K23:M23)</f>
        <v>6.6985402849129825</v>
      </c>
      <c r="O23" s="103">
        <f t="shared" ref="O23:O35" si="16">STDEV(K23:M23)</f>
        <v>2.5790195015544002E-2</v>
      </c>
      <c r="P23" s="104">
        <f>(AVERAGE(POWER(10,K23),POWER(10,L23),POWER(10,M23)))*(Calculation!$I5/Calculation!$K4)</f>
        <v>5007453.4150869623</v>
      </c>
      <c r="Q23" s="104">
        <f>(STDEV(POWER(10,K23),POWER(10,L23),POWER(10,M23))*(Calculation!$I5/Calculation!$K4))</f>
        <v>301070.69396286976</v>
      </c>
      <c r="R23" s="103">
        <f t="shared" ref="R23:R35" si="17">LOG(P23)</f>
        <v>6.6996169176930662</v>
      </c>
      <c r="S23" s="103">
        <f>O23*(Calculation!$I5/Calculation!$K4)</f>
        <v>2.5823581483778515E-2</v>
      </c>
    </row>
    <row r="24" spans="1:31">
      <c r="A24" s="40">
        <v>2</v>
      </c>
      <c r="B24" s="32">
        <v>80</v>
      </c>
      <c r="C24" s="32">
        <f>C23+B24</f>
        <v>200</v>
      </c>
      <c r="D24" s="13">
        <f t="shared" si="14"/>
        <v>3.3333333333333335</v>
      </c>
      <c r="E24" s="95">
        <v>24.607797622680664</v>
      </c>
      <c r="F24" s="95">
        <v>24.455499649047852</v>
      </c>
      <c r="G24" s="96">
        <v>24.58717155456543</v>
      </c>
      <c r="H24" s="102">
        <f>E24-$H$71+$H$85</f>
        <v>24.420663716500265</v>
      </c>
      <c r="I24" s="102">
        <f>F24-$H$71+$H$85</f>
        <v>24.268365742867452</v>
      </c>
      <c r="J24" s="102">
        <f>G24-$H$71+$H$85</f>
        <v>24.40003764838503</v>
      </c>
      <c r="K24" s="96">
        <f>((H24-'Calibration F. prausnitzii'!$D$45)/'Calibration F. prausnitzii'!$D$44)+$B$62</f>
        <v>7.2250304750165277</v>
      </c>
      <c r="L24" s="96">
        <f>((I24-'Calibration F. prausnitzii'!$D$45)/'Calibration F. prausnitzii'!$D$44)+$B$62</f>
        <v>7.2719159146719825</v>
      </c>
      <c r="M24" s="96">
        <f>((J24-'Calibration F. prausnitzii'!$D$45)/'Calibration F. prausnitzii'!$D$44)+$B$62</f>
        <v>7.2313802789494268</v>
      </c>
      <c r="N24" s="103">
        <f t="shared" si="15"/>
        <v>7.2427755562126457</v>
      </c>
      <c r="O24" s="103">
        <f t="shared" si="16"/>
        <v>2.5435219103647357E-2</v>
      </c>
      <c r="P24" s="104">
        <f>(AVERAGE(POWER(10,K24),POWER(10,L24),POWER(10,M24)))*(Calculation!$I6/Calculation!$K5)</f>
        <v>17544686.601652302</v>
      </c>
      <c r="Q24" s="104">
        <f>(STDEV(POWER(10,K24),POWER(10,L24),POWER(10,M24))*(Calculation!$I6/Calculation!$K5))</f>
        <v>1043106.7763718073</v>
      </c>
      <c r="R24" s="103">
        <f t="shared" si="17"/>
        <v>7.2441456148775201</v>
      </c>
      <c r="S24" s="103">
        <f>O24*(Calculation!$I6/Calculation!$K5)</f>
        <v>2.5486132019805749E-2</v>
      </c>
    </row>
    <row r="25" spans="1:31">
      <c r="A25" s="40">
        <v>3</v>
      </c>
      <c r="B25" s="32">
        <v>80</v>
      </c>
      <c r="C25" s="32">
        <f>C24+B25</f>
        <v>280</v>
      </c>
      <c r="D25" s="13">
        <f t="shared" si="14"/>
        <v>4.666666666666667</v>
      </c>
      <c r="E25" s="95">
        <v>23.651088714599609</v>
      </c>
      <c r="F25" s="95">
        <v>23.839910507202148</v>
      </c>
      <c r="G25" s="96">
        <v>23.666534423828125</v>
      </c>
      <c r="H25" s="102">
        <f>E25-$H$71+$H$85</f>
        <v>23.46395480841921</v>
      </c>
      <c r="I25" s="102">
        <f>F25-$H$71+$H$85</f>
        <v>23.652776601021749</v>
      </c>
      <c r="J25" s="102">
        <f>G25-$H$71+$H$85</f>
        <v>23.479400517647726</v>
      </c>
      <c r="K25" s="96">
        <f>((H25-'Calibration F. prausnitzii'!$D$45)/'Calibration F. prausnitzii'!$D$44)+$B$62</f>
        <v>7.5195565065040917</v>
      </c>
      <c r="L25" s="96">
        <f>((I25-'Calibration F. prausnitzii'!$D$45)/'Calibration F. prausnitzii'!$D$44)+$B$62</f>
        <v>7.4614270872378476</v>
      </c>
      <c r="M25" s="96">
        <f>((J25-'Calibration F. prausnitzii'!$D$45)/'Calibration F. prausnitzii'!$D$44)+$B$62</f>
        <v>7.5148014933499763</v>
      </c>
      <c r="N25" s="103">
        <f t="shared" si="15"/>
        <v>7.4985950290306391</v>
      </c>
      <c r="O25" s="103">
        <f t="shared" si="16"/>
        <v>3.2276066370581336E-2</v>
      </c>
      <c r="P25" s="104">
        <f>(AVERAGE(POWER(10,K25),POWER(10,L25),POWER(10,M25)))*(Calculation!$I7/Calculation!$K6)</f>
        <v>31641097.069150783</v>
      </c>
      <c r="Q25" s="104">
        <f>(STDEV(POWER(10,K25),POWER(10,L25),POWER(10,M25))*(Calculation!$I7/Calculation!$K6))</f>
        <v>2300271.7153554279</v>
      </c>
      <c r="R25" s="103">
        <f t="shared" si="17"/>
        <v>7.5002515330689556</v>
      </c>
      <c r="S25" s="103">
        <f>O25*(Calculation!$I7/Calculation!$K6)</f>
        <v>3.2340672405793851E-2</v>
      </c>
    </row>
    <row r="26" spans="1:31">
      <c r="A26" s="40">
        <v>4</v>
      </c>
      <c r="B26" s="32">
        <v>80</v>
      </c>
      <c r="C26" s="32">
        <f t="shared" ref="C26:C35" si="18">C25+B26</f>
        <v>360</v>
      </c>
      <c r="D26" s="13">
        <f t="shared" si="14"/>
        <v>6</v>
      </c>
      <c r="E26" s="95">
        <v>26.709903717041016</v>
      </c>
      <c r="F26" s="95">
        <v>26.921432495117188</v>
      </c>
      <c r="G26" s="96">
        <v>26.555320739746094</v>
      </c>
      <c r="H26" s="102">
        <f>E26-$H$71+$H$85</f>
        <v>26.522769810860616</v>
      </c>
      <c r="I26" s="102">
        <f>F26-$H$71+$H$85</f>
        <v>26.734298588936788</v>
      </c>
      <c r="J26" s="102">
        <f>G26-$H$71+$H$85</f>
        <v>26.368186833565694</v>
      </c>
      <c r="K26" s="96">
        <f>((H26-'Calibration F. prausnitzii'!$D$45)/'Calibration F. prausnitzii'!$D$44)+$B$62</f>
        <v>6.5778900956302788</v>
      </c>
      <c r="L26" s="96">
        <f>((I26-'Calibration F. prausnitzii'!$D$45)/'Calibration F. prausnitzii'!$D$44)+$B$62</f>
        <v>6.5127702550748587</v>
      </c>
      <c r="M26" s="96">
        <f>((J26-'Calibration F. prausnitzii'!$D$45)/'Calibration F. prausnitzii'!$D$44)+$B$62</f>
        <v>6.6254789812919856</v>
      </c>
      <c r="N26" s="103">
        <f t="shared" si="15"/>
        <v>6.5720464439990414</v>
      </c>
      <c r="O26" s="103">
        <f t="shared" si="16"/>
        <v>5.6581140317797311E-2</v>
      </c>
      <c r="P26" s="104">
        <f>(AVERAGE(POWER(10,K26),POWER(10,L26),POWER(10,M26)))*(Calculation!$I8/Calculation!$K7)</f>
        <v>3764252.395494285</v>
      </c>
      <c r="Q26" s="104">
        <f>(STDEV(POWER(10,K26),POWER(10,L26),POWER(10,M26))*(Calculation!$I8/Calculation!$K7))</f>
        <v>484497.06814008096</v>
      </c>
      <c r="R26" s="103">
        <f t="shared" si="17"/>
        <v>6.5756787354500918</v>
      </c>
      <c r="S26" s="103">
        <f>O26*(Calculation!$I8/Calculation!$K7)</f>
        <v>5.6737024457696697E-2</v>
      </c>
    </row>
    <row r="27" spans="1:31">
      <c r="A27" s="40">
        <v>5</v>
      </c>
      <c r="B27" s="32">
        <v>80</v>
      </c>
      <c r="C27" s="32">
        <f t="shared" si="18"/>
        <v>440</v>
      </c>
      <c r="D27" s="13">
        <f t="shared" si="14"/>
        <v>7.333333333333333</v>
      </c>
      <c r="E27" s="95">
        <v>24.635787963867188</v>
      </c>
      <c r="F27" s="95">
        <v>24.76356315612793</v>
      </c>
      <c r="G27" s="96">
        <v>24.631523132324219</v>
      </c>
      <c r="H27" s="102">
        <f>E27-$H$71+$H$85</f>
        <v>24.448654057686788</v>
      </c>
      <c r="I27" s="102">
        <f>F27-$H$71+$H$85</f>
        <v>24.57642924994753</v>
      </c>
      <c r="J27" s="102">
        <f>G27-$H$71+$H$85</f>
        <v>24.444389226143819</v>
      </c>
      <c r="K27" s="96">
        <f>((H27-'Calibration F. prausnitzii'!$D$45)/'Calibration F. prausnitzii'!$D$44)+$B$62</f>
        <v>7.2164135550317594</v>
      </c>
      <c r="L27" s="96">
        <f>((I27-'Calibration F. prausnitzii'!$D$45)/'Calibration F. prausnitzii'!$D$44)+$B$62</f>
        <v>7.1770775354951581</v>
      </c>
      <c r="M27" s="96">
        <f>((J27-'Calibration F. prausnitzii'!$D$45)/'Calibration F. prausnitzii'!$D$44)+$B$62</f>
        <v>7.2177264976611255</v>
      </c>
      <c r="N27" s="103">
        <f t="shared" si="15"/>
        <v>7.2037391960626813</v>
      </c>
      <c r="O27" s="103">
        <f t="shared" si="16"/>
        <v>2.3099005665836676E-2</v>
      </c>
      <c r="P27" s="104">
        <f>(AVERAGE(POWER(10,K27),POWER(10,L27),POWER(10,M27)))*(Calculation!$I9/Calculation!$K8)</f>
        <v>16057510.206148177</v>
      </c>
      <c r="Q27" s="104">
        <f>(STDEV(POWER(10,K27),POWER(10,L27),POWER(10,M27))*(Calculation!$I9/Calculation!$K8))</f>
        <v>840605.76426817151</v>
      </c>
      <c r="R27" s="103">
        <f t="shared" si="17"/>
        <v>7.2056782067236549</v>
      </c>
      <c r="S27" s="103">
        <f>O27*(Calculation!$I9/Calculation!$K8)</f>
        <v>2.3180726381168262E-2</v>
      </c>
    </row>
    <row r="28" spans="1:31">
      <c r="A28" s="40">
        <v>6</v>
      </c>
      <c r="B28" s="32">
        <v>80</v>
      </c>
      <c r="C28" s="32">
        <f t="shared" si="18"/>
        <v>520</v>
      </c>
      <c r="D28" s="13">
        <f t="shared" si="14"/>
        <v>8.6666666666666661</v>
      </c>
      <c r="E28" s="95">
        <v>22.549858093261719</v>
      </c>
      <c r="F28" s="95">
        <v>22.490964889526367</v>
      </c>
      <c r="G28" s="96">
        <v>22.46333122253418</v>
      </c>
      <c r="H28" s="102">
        <f>E28-$H$71+$H$85</f>
        <v>22.362724187081319</v>
      </c>
      <c r="I28" s="102">
        <f>F28-$H$71+$H$85</f>
        <v>22.303830983345968</v>
      </c>
      <c r="J28" s="102">
        <f>G28-$H$71+$H$85</f>
        <v>22.27619731635378</v>
      </c>
      <c r="K28" s="96">
        <f>((H28-'Calibration F. prausnitzii'!$D$45)/'Calibration F. prausnitzii'!$D$44)+$B$62</f>
        <v>7.8585740299280022</v>
      </c>
      <c r="L28" s="96">
        <f>((I28-'Calibration F. prausnitzii'!$D$45)/'Calibration F. prausnitzii'!$D$44)+$B$62</f>
        <v>7.8767044993228712</v>
      </c>
      <c r="M28" s="96">
        <f>((J28-'Calibration F. prausnitzii'!$D$45)/'Calibration F. prausnitzii'!$D$44)+$B$62</f>
        <v>7.8852116159660959</v>
      </c>
      <c r="N28" s="103">
        <f t="shared" si="15"/>
        <v>7.8734967150723234</v>
      </c>
      <c r="O28" s="103">
        <f t="shared" si="16"/>
        <v>1.3605427495406327E-2</v>
      </c>
      <c r="P28" s="104">
        <f>(AVERAGE(POWER(10,K28),POWER(10,L28),POWER(10,M28)))*(Calculation!$I10/Calculation!$K9)</f>
        <v>75141512.979516774</v>
      </c>
      <c r="Q28" s="104">
        <f>(STDEV(POWER(10,K28),POWER(10,L28),POWER(10,M28))*(Calculation!$I10/Calculation!$K9))</f>
        <v>2341376.3047898137</v>
      </c>
      <c r="R28" s="103">
        <f t="shared" si="17"/>
        <v>7.8758799353645781</v>
      </c>
      <c r="S28" s="103">
        <f>O28*(Calculation!$I10/Calculation!$K9)</f>
        <v>1.3675834743560855E-2</v>
      </c>
    </row>
    <row r="29" spans="1:31">
      <c r="A29" s="40">
        <v>7</v>
      </c>
      <c r="B29" s="32">
        <v>80</v>
      </c>
      <c r="C29" s="32">
        <f t="shared" si="18"/>
        <v>600</v>
      </c>
      <c r="D29" s="13">
        <f t="shared" si="14"/>
        <v>10</v>
      </c>
      <c r="E29" s="95">
        <v>23.745687484741211</v>
      </c>
      <c r="F29" s="95">
        <v>23.635112762451172</v>
      </c>
      <c r="G29" s="96">
        <v>23.410297393798828</v>
      </c>
      <c r="H29" s="102">
        <f>E29-$H$71+$H$85</f>
        <v>23.558553578560812</v>
      </c>
      <c r="I29" s="102">
        <f>F29-$H$71+$H$85</f>
        <v>23.447978856270772</v>
      </c>
      <c r="J29" s="102">
        <f>G29-$H$71+$H$85</f>
        <v>23.223163487618429</v>
      </c>
      <c r="K29" s="96">
        <f>((H29-'Calibration F. prausnitzii'!$D$45)/'Calibration F. prausnitzii'!$D$44)+$B$62</f>
        <v>7.4904339592819751</v>
      </c>
      <c r="L29" s="96">
        <f>((I29-'Calibration F. prausnitzii'!$D$45)/'Calibration F. prausnitzii'!$D$44)+$B$62</f>
        <v>7.5244747567114114</v>
      </c>
      <c r="M29" s="96">
        <f>((J29-'Calibration F. prausnitzii'!$D$45)/'Calibration F. prausnitzii'!$D$44)+$B$62</f>
        <v>7.5936849185352404</v>
      </c>
      <c r="N29" s="103">
        <f t="shared" si="15"/>
        <v>7.5361978781762078</v>
      </c>
      <c r="O29" s="103">
        <f t="shared" si="16"/>
        <v>5.2614293013768243E-2</v>
      </c>
      <c r="P29" s="104">
        <f>(AVERAGE(POWER(10,K29),POWER(10,L29),POWER(10,M29)))*(Calculation!$I11/Calculation!$K10)</f>
        <v>34779525.904067516</v>
      </c>
      <c r="Q29" s="104">
        <f>(STDEV(POWER(10,K29),POWER(10,L29),POWER(10,M29))*(Calculation!$I11/Calculation!$K10))</f>
        <v>4285550.4532858748</v>
      </c>
      <c r="R29" s="103">
        <f t="shared" si="17"/>
        <v>7.5413236576364833</v>
      </c>
      <c r="S29" s="103">
        <f>O29*(Calculation!$I11/Calculation!$K10)</f>
        <v>5.2976131086847907E-2</v>
      </c>
    </row>
    <row r="30" spans="1:31">
      <c r="A30" s="40">
        <v>8</v>
      </c>
      <c r="B30" s="32">
        <v>80</v>
      </c>
      <c r="C30" s="32">
        <f t="shared" si="18"/>
        <v>680</v>
      </c>
      <c r="D30" s="13">
        <f t="shared" si="14"/>
        <v>11.333333333333334</v>
      </c>
      <c r="E30" s="95">
        <v>22.983354568481445</v>
      </c>
      <c r="F30" s="95">
        <v>23.040557861328125</v>
      </c>
      <c r="G30" s="96">
        <v>23.245967864990234</v>
      </c>
      <c r="H30" s="102">
        <f>E30-$H$71+$H$85</f>
        <v>22.796220662301046</v>
      </c>
      <c r="I30" s="102">
        <f>F30-$H$71+$H$85</f>
        <v>22.853423955147726</v>
      </c>
      <c r="J30" s="102">
        <f>G30-$H$71+$H$85</f>
        <v>23.058833958809835</v>
      </c>
      <c r="K30" s="96">
        <f>((H30-'Calibration F. prausnitzii'!$D$45)/'Calibration F. prausnitzii'!$D$44)+$B$62</f>
        <v>7.7251206927301688</v>
      </c>
      <c r="L30" s="96">
        <f>((I30-'Calibration F. prausnitzii'!$D$45)/'Calibration F. prausnitzii'!$D$44)+$B$62</f>
        <v>7.7075104680444309</v>
      </c>
      <c r="M30" s="96">
        <f>((J30-'Calibration F. prausnitzii'!$D$45)/'Calibration F. prausnitzii'!$D$44)+$B$62</f>
        <v>7.6442743126209454</v>
      </c>
      <c r="N30" s="103">
        <f t="shared" si="15"/>
        <v>7.692301824465182</v>
      </c>
      <c r="O30" s="103">
        <f t="shared" si="16"/>
        <v>4.2514837690290394E-2</v>
      </c>
      <c r="P30" s="104">
        <f>(AVERAGE(POWER(10,K30),POWER(10,L30),POWER(10,M30)))*(Calculation!$I12/Calculation!$K11)</f>
        <v>49776906.422846675</v>
      </c>
      <c r="Q30" s="104">
        <f>(STDEV(POWER(10,K30),POWER(10,L30),POWER(10,M30))*(Calculation!$I12/Calculation!$K11))</f>
        <v>4754610.5670542913</v>
      </c>
      <c r="R30" s="103">
        <f t="shared" si="17"/>
        <v>7.6970279022115982</v>
      </c>
      <c r="S30" s="103">
        <f>O30*(Calculation!$I12/Calculation!$K11)</f>
        <v>4.2845136019774098E-2</v>
      </c>
    </row>
    <row r="31" spans="1:31">
      <c r="A31" s="40">
        <v>9</v>
      </c>
      <c r="B31" s="32">
        <v>80</v>
      </c>
      <c r="C31" s="32">
        <f t="shared" si="18"/>
        <v>760</v>
      </c>
      <c r="D31" s="13">
        <f t="shared" si="14"/>
        <v>12.666666666666666</v>
      </c>
      <c r="E31" s="95">
        <v>21.007711410522461</v>
      </c>
      <c r="F31" s="95">
        <v>20.849617004394531</v>
      </c>
      <c r="G31" s="96">
        <v>20.959468841552734</v>
      </c>
      <c r="H31" s="102">
        <f>E31-$H$71+$H$85</f>
        <v>20.820577504342062</v>
      </c>
      <c r="I31" s="102">
        <f>F31-$H$71+$H$85</f>
        <v>20.662483098214132</v>
      </c>
      <c r="J31" s="102">
        <f>G31-$H$71+$H$85</f>
        <v>20.772334935372335</v>
      </c>
      <c r="K31" s="96">
        <f>((H31-'Calibration F. prausnitzii'!$D$45)/'Calibration F. prausnitzii'!$D$44)+$B$62</f>
        <v>8.3333290349273135</v>
      </c>
      <c r="L31" s="96">
        <f>((I31-'Calibration F. prausnitzii'!$D$45)/'Calibration F. prausnitzii'!$D$44)+$B$62</f>
        <v>8.3819989256787615</v>
      </c>
      <c r="M31" s="96">
        <f>((J31-'Calibration F. prausnitzii'!$D$45)/'Calibration F. prausnitzii'!$D$44)+$B$62</f>
        <v>8.3481806708506348</v>
      </c>
      <c r="N31" s="103">
        <f t="shared" si="15"/>
        <v>8.3545028771522372</v>
      </c>
      <c r="O31" s="103">
        <f t="shared" si="16"/>
        <v>2.4943281376544692E-2</v>
      </c>
      <c r="P31" s="104">
        <f>(AVERAGE(POWER(10,K31),POWER(10,L31),POWER(10,M31)))*(Calculation!$I13/Calculation!$K12)</f>
        <v>228424935.9007591</v>
      </c>
      <c r="Q31" s="104">
        <f>(STDEV(POWER(10,K31),POWER(10,L31),POWER(10,M31))*(Calculation!$I13/Calculation!$K12))</f>
        <v>13247113.442770017</v>
      </c>
      <c r="R31" s="103">
        <f t="shared" si="17"/>
        <v>8.3587435117147013</v>
      </c>
      <c r="S31" s="103">
        <f>O31*(Calculation!$I13/Calculation!$K12)</f>
        <v>2.516016997645662E-2</v>
      </c>
    </row>
    <row r="32" spans="1:31">
      <c r="A32" s="40">
        <v>10</v>
      </c>
      <c r="B32" s="32">
        <v>80</v>
      </c>
      <c r="C32" s="32">
        <f t="shared" si="18"/>
        <v>840</v>
      </c>
      <c r="D32" s="13">
        <f t="shared" si="14"/>
        <v>14</v>
      </c>
      <c r="E32" s="95">
        <v>18.67469596862793</v>
      </c>
      <c r="F32" s="95">
        <v>18.796817779541016</v>
      </c>
      <c r="G32" s="96">
        <v>18.970693588256836</v>
      </c>
      <c r="H32" s="102">
        <f>E32-$H$71+$H$85</f>
        <v>18.48756206244753</v>
      </c>
      <c r="I32" s="102">
        <f>F32-$H$71+$H$85</f>
        <v>18.609683873360616</v>
      </c>
      <c r="J32" s="102">
        <f>G32-$H$71+$H$85</f>
        <v>18.783559682076437</v>
      </c>
      <c r="K32" s="96">
        <f>((H32-'Calibration F. prausnitzii'!$D$45)/'Calibration F. prausnitzii'!$D$44)+$B$62</f>
        <v>9.0515556278819442</v>
      </c>
      <c r="L32" s="96">
        <f>((I32-'Calibration F. prausnitzii'!$D$45)/'Calibration F. prausnitzii'!$D$44)+$B$62</f>
        <v>9.0139600206679908</v>
      </c>
      <c r="M32" s="96">
        <f>((J32-'Calibration F. prausnitzii'!$D$45)/'Calibration F. prausnitzii'!$D$44)+$B$62</f>
        <v>8.9604317724409732</v>
      </c>
      <c r="N32" s="103">
        <f t="shared" si="15"/>
        <v>9.0086491403303022</v>
      </c>
      <c r="O32" s="103">
        <f t="shared" si="16"/>
        <v>4.5793485836717836E-2</v>
      </c>
      <c r="P32" s="104">
        <f>(AVERAGE(POWER(10,K32),POWER(10,L32),POWER(10,M32)))*(Calculation!$I14/Calculation!$K13)</f>
        <v>1032779227.8720267</v>
      </c>
      <c r="Q32" s="104">
        <f>(STDEV(POWER(10,K32),POWER(10,L32),POWER(10,M32))*(Calculation!$I14/Calculation!$K13))</f>
        <v>107763850.73083767</v>
      </c>
      <c r="R32" s="103">
        <f t="shared" si="17"/>
        <v>9.0140074944488386</v>
      </c>
      <c r="S32" s="103">
        <f>O32*(Calculation!$I14/Calculation!$K13)</f>
        <v>4.6191672622100131E-2</v>
      </c>
    </row>
    <row r="33" spans="1:19">
      <c r="A33" s="40">
        <v>11</v>
      </c>
      <c r="B33" s="32">
        <v>600</v>
      </c>
      <c r="C33" s="32">
        <f t="shared" si="18"/>
        <v>1440</v>
      </c>
      <c r="D33" s="13">
        <f t="shared" si="14"/>
        <v>24</v>
      </c>
      <c r="E33" s="95">
        <v>17.977262496948242</v>
      </c>
      <c r="F33" s="95">
        <v>17.925308227539062</v>
      </c>
      <c r="G33" s="96">
        <v>17.862386703491211</v>
      </c>
      <c r="H33" s="102">
        <f>E33-$H$71+$H$85</f>
        <v>17.790128590767843</v>
      </c>
      <c r="I33" s="102">
        <f>F33-$H$71+$H$85</f>
        <v>17.738174321358663</v>
      </c>
      <c r="J33" s="102">
        <f>G33-$H$71+$H$85</f>
        <v>17.675252797310812</v>
      </c>
      <c r="K33" s="96">
        <f>((H33-'Calibration F. prausnitzii'!$D$45)/'Calibration F. prausnitzii'!$D$44)+$B$62</f>
        <v>9.266262850638368</v>
      </c>
      <c r="L33" s="96">
        <f>((I33-'Calibration F. prausnitzii'!$D$45)/'Calibration F. prausnitzii'!$D$44)+$B$62</f>
        <v>9.2822571459341159</v>
      </c>
      <c r="M33" s="96">
        <f>((J33-'Calibration F. prausnitzii'!$D$45)/'Calibration F. prausnitzii'!$D$44)+$B$62</f>
        <v>9.3016277471864175</v>
      </c>
      <c r="N33" s="103">
        <f t="shared" si="15"/>
        <v>9.2833825812529671</v>
      </c>
      <c r="O33" s="103">
        <f t="shared" si="16"/>
        <v>1.7709289383152835E-2</v>
      </c>
      <c r="P33" s="104">
        <f>(AVERAGE(POWER(10,K33),POWER(10,L33),POWER(10,M33)))*(Calculation!$I15/Calculation!$K14)</f>
        <v>1943976520.9710538</v>
      </c>
      <c r="Q33" s="104">
        <f>(STDEV(POWER(10,K33),POWER(10,L33),POWER(10,M33))*(Calculation!$I15/Calculation!$K14))</f>
        <v>79406520.771044955</v>
      </c>
      <c r="R33" s="103">
        <f t="shared" si="17"/>
        <v>9.2886910152845523</v>
      </c>
      <c r="S33" s="103">
        <f>O33*(Calculation!$I15/Calculation!$K14)</f>
        <v>1.7917135584747543E-2</v>
      </c>
    </row>
    <row r="34" spans="1:19">
      <c r="A34" s="40">
        <v>12</v>
      </c>
      <c r="B34" s="32">
        <v>360</v>
      </c>
      <c r="C34" s="32">
        <f t="shared" si="18"/>
        <v>1800</v>
      </c>
      <c r="D34" s="13">
        <f t="shared" si="14"/>
        <v>30</v>
      </c>
      <c r="E34" s="95">
        <v>17.837150573730469</v>
      </c>
      <c r="F34" s="95">
        <v>17.804763793945312</v>
      </c>
      <c r="G34" s="96">
        <v>17.903207778930664</v>
      </c>
      <c r="H34" s="102">
        <f>E34-$H$71+$H$85</f>
        <v>17.650016667550069</v>
      </c>
      <c r="I34" s="102">
        <f>F34-$H$71+$H$85</f>
        <v>17.617629887764913</v>
      </c>
      <c r="J34" s="102">
        <f>G34-$H$71+$H$85</f>
        <v>17.716073872750265</v>
      </c>
      <c r="K34" s="96">
        <f>((H34-'Calibration F. prausnitzii'!$D$45)/'Calibration F. prausnitzii'!$D$44)+$B$62</f>
        <v>9.3093967739883574</v>
      </c>
      <c r="L34" s="96">
        <f>((I34-'Calibration F. prausnitzii'!$D$45)/'Calibration F. prausnitzii'!$D$44)+$B$62</f>
        <v>9.3193671522739709</v>
      </c>
      <c r="M34" s="96">
        <f>((J34-'Calibration F. prausnitzii'!$D$45)/'Calibration F. prausnitzii'!$D$44)+$B$62</f>
        <v>9.2890608428243038</v>
      </c>
      <c r="N34" s="103">
        <f t="shared" si="15"/>
        <v>9.3059415896955446</v>
      </c>
      <c r="O34" s="103">
        <f t="shared" si="16"/>
        <v>1.5445770359154138E-2</v>
      </c>
      <c r="P34" s="104">
        <f>(AVERAGE(POWER(10,K34),POWER(10,L34),POWER(10,M34)))*(Calculation!$I16/Calculation!$K15)</f>
        <v>2051661643.5846851</v>
      </c>
      <c r="Q34" s="104">
        <f>(STDEV(POWER(10,K34),POWER(10,L34),POWER(10,M34))*(Calculation!$I16/Calculation!$K15))</f>
        <v>72541680.799818322</v>
      </c>
      <c r="R34" s="103">
        <f t="shared" si="17"/>
        <v>9.3121057392660518</v>
      </c>
      <c r="S34" s="103">
        <f>O34*(Calculation!$I16/Calculation!$K15)</f>
        <v>1.5659984346731444E-2</v>
      </c>
    </row>
    <row r="35" spans="1:19">
      <c r="A35" s="40">
        <v>13</v>
      </c>
      <c r="B35" s="32">
        <v>1080</v>
      </c>
      <c r="C35" s="32">
        <f t="shared" si="18"/>
        <v>2880</v>
      </c>
      <c r="D35" s="13">
        <f t="shared" si="14"/>
        <v>48</v>
      </c>
      <c r="E35" s="95">
        <v>21.184299468994141</v>
      </c>
      <c r="F35" s="95">
        <v>21.697727203369141</v>
      </c>
      <c r="G35" s="96">
        <v>21.218198776245117</v>
      </c>
      <c r="H35" s="102">
        <f>E35-$H$71+$H$85</f>
        <v>20.997165562813741</v>
      </c>
      <c r="I35" s="102">
        <f>F35-$H$71+$H$85</f>
        <v>21.510593297188741</v>
      </c>
      <c r="J35" s="102">
        <f>G35-$H$71+$H$85</f>
        <v>21.031064870064718</v>
      </c>
      <c r="K35" s="96">
        <f>((H35-'Calibration F. prausnitzii'!$D$45)/'Calibration F. prausnitzii'!$D$44)+$B$62</f>
        <v>8.278965811557649</v>
      </c>
      <c r="L35" s="96">
        <f>((I35-'Calibration F. prausnitzii'!$D$45)/'Calibration F. prausnitzii'!$D$44)+$B$62</f>
        <v>8.1209053693648094</v>
      </c>
      <c r="M35" s="96">
        <f>((J35-'Calibration F. prausnitzii'!$D$45)/'Calibration F. prausnitzii'!$D$44)+$B$62</f>
        <v>8.2685297966418538</v>
      </c>
      <c r="N35" s="103">
        <f t="shared" si="15"/>
        <v>8.2228003258547719</v>
      </c>
      <c r="O35" s="103">
        <f t="shared" si="16"/>
        <v>8.839776139925154E-2</v>
      </c>
      <c r="P35" s="104">
        <f>(AVERAGE(POWER(10,K35),POWER(10,L35),POWER(10,M35)))*(Calculation!$I17/Calculation!$K16)</f>
        <v>171987701.60577419</v>
      </c>
      <c r="Q35" s="104">
        <f>(STDEV(POWER(10,K35),POWER(10,L35),POWER(10,M35))*(Calculation!$I17/Calculation!$K16))</f>
        <v>32778160.537739664</v>
      </c>
      <c r="R35" s="103">
        <f t="shared" si="17"/>
        <v>8.235497392746451</v>
      </c>
      <c r="S35" s="103">
        <f>O35*(Calculation!$I17/Calculation!$K16)</f>
        <v>8.9823560430103047E-2</v>
      </c>
    </row>
    <row r="36" spans="1:19">
      <c r="A36" s="10"/>
      <c r="B36" s="10"/>
      <c r="C36" s="10"/>
      <c r="D36" s="109"/>
      <c r="E36" s="110"/>
      <c r="F36" s="110"/>
      <c r="G36" s="111"/>
      <c r="H36" s="108"/>
      <c r="I36" s="108"/>
      <c r="J36" s="108"/>
      <c r="K36" s="111"/>
      <c r="L36" s="111"/>
      <c r="M36" s="111"/>
      <c r="N36" s="112"/>
      <c r="O36" s="112"/>
      <c r="P36" s="113"/>
      <c r="Q36" s="113"/>
      <c r="R36" s="112"/>
      <c r="S36" s="112"/>
    </row>
    <row r="37" spans="1:19">
      <c r="A37" s="101" t="s">
        <v>217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1:19">
      <c r="A38" s="118" t="s">
        <v>4</v>
      </c>
      <c r="B38" s="118" t="s">
        <v>118</v>
      </c>
      <c r="C38" s="118" t="s">
        <v>118</v>
      </c>
      <c r="D38" s="118" t="s">
        <v>5</v>
      </c>
      <c r="E38" s="132" t="s">
        <v>218</v>
      </c>
      <c r="F38" s="132" t="s">
        <v>219</v>
      </c>
      <c r="G38" s="132" t="s">
        <v>220</v>
      </c>
      <c r="H38" s="134" t="s">
        <v>221</v>
      </c>
      <c r="I38" s="134" t="s">
        <v>222</v>
      </c>
      <c r="J38" s="134" t="s">
        <v>223</v>
      </c>
      <c r="K38" s="132" t="s">
        <v>224</v>
      </c>
      <c r="L38" s="132" t="s">
        <v>225</v>
      </c>
      <c r="M38" s="132" t="s">
        <v>226</v>
      </c>
      <c r="N38" s="132" t="s">
        <v>227</v>
      </c>
      <c r="O38" s="132" t="s">
        <v>228</v>
      </c>
      <c r="P38" s="134" t="s">
        <v>229</v>
      </c>
      <c r="Q38" s="134" t="s">
        <v>230</v>
      </c>
      <c r="R38" s="134" t="s">
        <v>231</v>
      </c>
      <c r="S38" s="134" t="s">
        <v>232</v>
      </c>
    </row>
    <row r="39" spans="1:19">
      <c r="A39" s="119"/>
      <c r="B39" s="119"/>
      <c r="C39" s="119"/>
      <c r="D39" s="119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</row>
    <row r="40" spans="1:19">
      <c r="A40" s="40">
        <v>0</v>
      </c>
      <c r="B40" s="32">
        <v>10</v>
      </c>
      <c r="C40" s="32">
        <f>B40</f>
        <v>10</v>
      </c>
      <c r="D40" s="13">
        <f t="shared" ref="D40:D53" si="19">C40/60</f>
        <v>0.16666666666666666</v>
      </c>
      <c r="E40" s="95">
        <v>27.5601806640625</v>
      </c>
      <c r="F40" s="95">
        <v>27.972324371337891</v>
      </c>
      <c r="G40" s="96">
        <v>27.687410354614258</v>
      </c>
      <c r="H40" s="102">
        <f>E40-$H$71+$H$85</f>
        <v>27.373046757882101</v>
      </c>
      <c r="I40" s="102">
        <f>F40-$H$71+$H$85</f>
        <v>27.785190465157491</v>
      </c>
      <c r="J40" s="102">
        <f>G40-$H$71+$H$85</f>
        <v>27.500276448433858</v>
      </c>
      <c r="K40" s="96">
        <f>((H40-'Calibration F. prausnitzii'!$D$45)/'Calibration F. prausnitzii'!$D$44)+$B$62</f>
        <v>6.316129498696041</v>
      </c>
      <c r="L40" s="96">
        <f>((I40-'Calibration F. prausnitzii'!$D$45)/'Calibration F. prausnitzii'!$D$44)+$B$62</f>
        <v>6.189249682399705</v>
      </c>
      <c r="M40" s="96">
        <f>((J40-'Calibration F. prausnitzii'!$D$45)/'Calibration F. prausnitzii'!$D$44)+$B$62</f>
        <v>6.2769614136818008</v>
      </c>
      <c r="N40" s="103">
        <f>AVERAGE(K40:M40)</f>
        <v>6.2607801982591829</v>
      </c>
      <c r="O40" s="103">
        <f>STDEV(K40:M40)</f>
        <v>6.4969190738863966E-2</v>
      </c>
      <c r="P40" s="104">
        <f>(AVERAGE(POWER(10,K40),POWER(10,L40),POWER(10,M40)))*(Calculation!$I4/Calculation!$K3)</f>
        <v>1838736.341968497</v>
      </c>
      <c r="Q40" s="104">
        <f>(STDEV(POWER(10,K40),POWER(10,L40),POWER(10,M40))*(Calculation!$I4/Calculation!$K3))</f>
        <v>267069.85063400003</v>
      </c>
      <c r="R40" s="103">
        <f>LOG(P40)</f>
        <v>6.2645194598322584</v>
      </c>
      <c r="S40" s="103">
        <f>O40*(Calculation!$I4/Calculation!$K3)</f>
        <v>6.5053296028549354E-2</v>
      </c>
    </row>
    <row r="41" spans="1:19">
      <c r="A41" s="40">
        <v>1</v>
      </c>
      <c r="B41" s="32">
        <v>110</v>
      </c>
      <c r="C41" s="32">
        <f>C40+B41</f>
        <v>120</v>
      </c>
      <c r="D41" s="13">
        <f t="shared" si="19"/>
        <v>2</v>
      </c>
      <c r="E41" s="95">
        <v>26.467926025390625</v>
      </c>
      <c r="F41" s="95">
        <v>26.425666809082031</v>
      </c>
      <c r="G41" s="96">
        <v>26.374807357788086</v>
      </c>
      <c r="H41" s="102">
        <f>E41-$H$71+$H$85</f>
        <v>26.280792119210226</v>
      </c>
      <c r="I41" s="102">
        <f>F41-$H$71+$H$85</f>
        <v>26.238532902901632</v>
      </c>
      <c r="J41" s="102">
        <f>G41-$H$71+$H$85</f>
        <v>26.187673451607687</v>
      </c>
      <c r="K41" s="96">
        <f>((H41-'Calibration F. prausnitzii'!$D$45)/'Calibration F. prausnitzii'!$D$44)+$B$62</f>
        <v>6.6523837358883799</v>
      </c>
      <c r="L41" s="96">
        <f>((I41-'Calibration F. prausnitzii'!$D$45)/'Calibration F. prausnitzii'!$D$44)+$B$62</f>
        <v>6.6653933767185354</v>
      </c>
      <c r="M41" s="96">
        <f>((J41-'Calibration F. prausnitzii'!$D$45)/'Calibration F. prausnitzii'!$D$44)+$B$62</f>
        <v>6.6810506286022733</v>
      </c>
      <c r="N41" s="103">
        <f t="shared" ref="N41:N53" si="20">AVERAGE(K41:M41)</f>
        <v>6.6662759137363965</v>
      </c>
      <c r="O41" s="103">
        <f t="shared" ref="O41:O53" si="21">STDEV(K41:M41)</f>
        <v>1.4353809186358465E-2</v>
      </c>
      <c r="P41" s="104">
        <f>(AVERAGE(POWER(10,K41),POWER(10,L41),POWER(10,M41)))*(Calculation!$I5/Calculation!$K4)</f>
        <v>4645110.4302656911</v>
      </c>
      <c r="Q41" s="104">
        <f>(STDEV(POWER(10,K41),POWER(10,L41),POWER(10,M41))*(Calculation!$I5/Calculation!$K4))</f>
        <v>153736.77568429758</v>
      </c>
      <c r="R41" s="103">
        <f t="shared" ref="R41:R53" si="22">LOG(P41)</f>
        <v>6.6669960431272797</v>
      </c>
      <c r="S41" s="103">
        <f>O41*(Calculation!$I5/Calculation!$K4)</f>
        <v>1.4372390782742508E-2</v>
      </c>
    </row>
    <row r="42" spans="1:19">
      <c r="A42" s="40">
        <v>2</v>
      </c>
      <c r="B42" s="32">
        <v>80</v>
      </c>
      <c r="C42" s="32">
        <f>C41+B42</f>
        <v>200</v>
      </c>
      <c r="D42" s="13">
        <f t="shared" si="19"/>
        <v>3.3333333333333335</v>
      </c>
      <c r="E42" s="95">
        <v>24.540424346923828</v>
      </c>
      <c r="F42" s="95">
        <v>24.617145538330078</v>
      </c>
      <c r="G42" s="96">
        <v>24.666435241699219</v>
      </c>
      <c r="H42" s="102">
        <f>E42-$H$71+$H$85</f>
        <v>24.353290440743429</v>
      </c>
      <c r="I42" s="102">
        <f>F42-$H$71+$H$85</f>
        <v>24.430011632149679</v>
      </c>
      <c r="J42" s="102">
        <f>G42-$H$71+$H$85</f>
        <v>24.479301335518819</v>
      </c>
      <c r="K42" s="96">
        <f>((H42-'Calibration F. prausnitzii'!$D$45)/'Calibration F. prausnitzii'!$D$44)+$B$62</f>
        <v>7.2457715628953672</v>
      </c>
      <c r="L42" s="96">
        <f>((I42-'Calibration F. prausnitzii'!$D$45)/'Calibration F. prausnitzii'!$D$44)+$B$62</f>
        <v>7.2221526879742548</v>
      </c>
      <c r="M42" s="96">
        <f>((J42-'Calibration F. prausnitzii'!$D$45)/'Calibration F. prausnitzii'!$D$44)+$B$62</f>
        <v>7.2069786882300377</v>
      </c>
      <c r="N42" s="103">
        <f t="shared" si="20"/>
        <v>7.2249676463665535</v>
      </c>
      <c r="O42" s="103">
        <f t="shared" si="21"/>
        <v>1.9549035123574976E-2</v>
      </c>
      <c r="P42" s="104">
        <f>(AVERAGE(POWER(10,K42),POWER(10,L42),POWER(10,M42)))*(Calculation!$I6/Calculation!$K5)</f>
        <v>16831789.646558326</v>
      </c>
      <c r="Q42" s="104">
        <f>(STDEV(POWER(10,K42),POWER(10,L42),POWER(10,M42))*(Calculation!$I6/Calculation!$K5))</f>
        <v>761057.75014885131</v>
      </c>
      <c r="R42" s="103">
        <f t="shared" si="22"/>
        <v>7.226130294959991</v>
      </c>
      <c r="S42" s="103">
        <f>O42*(Calculation!$I6/Calculation!$K5)</f>
        <v>1.9588165841583273E-2</v>
      </c>
    </row>
    <row r="43" spans="1:19">
      <c r="A43" s="40">
        <v>3</v>
      </c>
      <c r="B43" s="32">
        <v>80</v>
      </c>
      <c r="C43" s="32">
        <f>C42+B43</f>
        <v>280</v>
      </c>
      <c r="D43" s="13">
        <f t="shared" si="19"/>
        <v>4.666666666666667</v>
      </c>
      <c r="E43" s="95">
        <v>27.142765045166016</v>
      </c>
      <c r="F43" s="95">
        <v>26.965343475341797</v>
      </c>
      <c r="G43" s="96">
        <v>27.027427673339844</v>
      </c>
      <c r="H43" s="102">
        <f>E43-$H$71+$H$85</f>
        <v>26.955631138985616</v>
      </c>
      <c r="I43" s="102">
        <f>F43-$H$71+$H$85</f>
        <v>26.778209569161397</v>
      </c>
      <c r="J43" s="102">
        <f>G43-$H$71+$H$85</f>
        <v>26.840293767159444</v>
      </c>
      <c r="K43" s="96">
        <f>((H43-'Calibration F. prausnitzii'!$D$45)/'Calibration F. prausnitzii'!$D$44)+$B$62</f>
        <v>6.4446322905861022</v>
      </c>
      <c r="L43" s="96">
        <f>((I43-'Calibration F. prausnitzii'!$D$45)/'Calibration F. prausnitzii'!$D$44)+$B$62</f>
        <v>6.4992521132084642</v>
      </c>
      <c r="M43" s="96">
        <f>((J43-'Calibration F. prausnitzii'!$D$45)/'Calibration F. prausnitzii'!$D$44)+$B$62</f>
        <v>6.4801392855761497</v>
      </c>
      <c r="N43" s="103">
        <f t="shared" si="20"/>
        <v>6.474674563123572</v>
      </c>
      <c r="O43" s="103">
        <f t="shared" si="21"/>
        <v>2.7716937952042092E-2</v>
      </c>
      <c r="P43" s="104">
        <f>(AVERAGE(POWER(10,K43),POWER(10,L43),POWER(10,M43)))*(Calculation!$I7/Calculation!$K6)</f>
        <v>2993152.7710862439</v>
      </c>
      <c r="Q43" s="104">
        <f>(STDEV(POWER(10,K43),POWER(10,L43),POWER(10,M43))*(Calculation!$I7/Calculation!$K6))</f>
        <v>189190.27327291449</v>
      </c>
      <c r="R43" s="103">
        <f t="shared" si="22"/>
        <v>6.4761288838787889</v>
      </c>
      <c r="S43" s="103">
        <f>O43*(Calculation!$I7/Calculation!$K6)</f>
        <v>2.7772418116469591E-2</v>
      </c>
    </row>
    <row r="44" spans="1:19">
      <c r="A44" s="40">
        <v>4</v>
      </c>
      <c r="B44" s="32">
        <v>80</v>
      </c>
      <c r="C44" s="32">
        <f t="shared" ref="C44:C53" si="23">C43+B44</f>
        <v>360</v>
      </c>
      <c r="D44" s="13">
        <f t="shared" si="19"/>
        <v>6</v>
      </c>
      <c r="E44" s="95">
        <v>25.722873687744141</v>
      </c>
      <c r="F44" s="95">
        <v>25.868247985839844</v>
      </c>
      <c r="G44" s="96">
        <v>25.832620620727539</v>
      </c>
      <c r="H44" s="102">
        <f>E44-$H$71+$H$85</f>
        <v>25.535739781563741</v>
      </c>
      <c r="I44" s="102">
        <f>F44-$H$71+$H$85</f>
        <v>25.681114079659444</v>
      </c>
      <c r="J44" s="102">
        <f>G44-$H$71+$H$85</f>
        <v>25.64548671454714</v>
      </c>
      <c r="K44" s="96">
        <f>((H44-'Calibration F. prausnitzii'!$D$45)/'Calibration F. prausnitzii'!$D$44)+$B$62</f>
        <v>6.8817505855163343</v>
      </c>
      <c r="L44" s="96">
        <f>((I44-'Calibration F. prausnitzii'!$D$45)/'Calibration F. prausnitzii'!$D$44)+$B$62</f>
        <v>6.8369966224908438</v>
      </c>
      <c r="M44" s="96">
        <f>((J44-'Calibration F. prausnitzii'!$D$45)/'Calibration F. prausnitzii'!$D$44)+$B$62</f>
        <v>6.8479646257886628</v>
      </c>
      <c r="N44" s="103">
        <f t="shared" si="20"/>
        <v>6.8555706112652812</v>
      </c>
      <c r="O44" s="103">
        <f t="shared" si="21"/>
        <v>2.3326327677639921E-2</v>
      </c>
      <c r="P44" s="104">
        <f>(AVERAGE(POWER(10,K44),POWER(10,L44),POWER(10,M44)))*(Calculation!$I8/Calculation!$K7)</f>
        <v>7197576.0490374463</v>
      </c>
      <c r="Q44" s="104">
        <f>(STDEV(POWER(10,K44),POWER(10,L44),POWER(10,M44))*(Calculation!$I8/Calculation!$K7))</f>
        <v>390954.28273686982</v>
      </c>
      <c r="R44" s="103">
        <f t="shared" si="22"/>
        <v>6.8571862622966053</v>
      </c>
      <c r="S44" s="103">
        <f>O44*(Calculation!$I8/Calculation!$K7)</f>
        <v>2.3390592987717038E-2</v>
      </c>
    </row>
    <row r="45" spans="1:19">
      <c r="A45" s="40">
        <v>5</v>
      </c>
      <c r="B45" s="32">
        <v>80</v>
      </c>
      <c r="C45" s="32">
        <f t="shared" si="23"/>
        <v>440</v>
      </c>
      <c r="D45" s="13">
        <f t="shared" si="19"/>
        <v>7.333333333333333</v>
      </c>
      <c r="E45" s="95">
        <v>27.104076385498047</v>
      </c>
      <c r="F45" s="95">
        <v>26.798025131225586</v>
      </c>
      <c r="G45" s="96">
        <v>26.667110443115234</v>
      </c>
      <c r="H45" s="102">
        <f>E45-$H$71+$H$85</f>
        <v>26.916942479317647</v>
      </c>
      <c r="I45" s="102">
        <f>F45-$H$71+$H$85</f>
        <v>26.610891225045187</v>
      </c>
      <c r="J45" s="102">
        <f>G45-$H$71+$H$85</f>
        <v>26.479976536934835</v>
      </c>
      <c r="K45" s="96">
        <f>((H45-'Calibration F. prausnitzii'!$D$45)/'Calibration F. prausnitzii'!$D$44)+$B$62</f>
        <v>6.4565427236335324</v>
      </c>
      <c r="L45" s="96">
        <f>((I45-'Calibration F. prausnitzii'!$D$45)/'Calibration F. prausnitzii'!$D$44)+$B$62</f>
        <v>6.5507616240652844</v>
      </c>
      <c r="M45" s="96">
        <f>((J45-'Calibration F. prausnitzii'!$D$45)/'Calibration F. prausnitzii'!$D$44)+$B$62</f>
        <v>6.5910641478809273</v>
      </c>
      <c r="N45" s="103">
        <f t="shared" si="20"/>
        <v>6.532789498526582</v>
      </c>
      <c r="O45" s="103">
        <f t="shared" si="21"/>
        <v>6.903804290151247E-2</v>
      </c>
      <c r="P45" s="104">
        <f>(AVERAGE(POWER(10,K45),POWER(10,L45),POWER(10,M45)))*(Calculation!$I9/Calculation!$K8)</f>
        <v>3450672.0470047225</v>
      </c>
      <c r="Q45" s="104">
        <f>(STDEV(POWER(10,K45),POWER(10,L45),POWER(10,M45))*(Calculation!$I9/Calculation!$K8))</f>
        <v>530889.28444957419</v>
      </c>
      <c r="R45" s="103">
        <f t="shared" si="22"/>
        <v>6.5379036857637649</v>
      </c>
      <c r="S45" s="103">
        <f>O45*(Calculation!$I9/Calculation!$K8)</f>
        <v>6.9282288837143741E-2</v>
      </c>
    </row>
    <row r="46" spans="1:19">
      <c r="A46" s="40">
        <v>6</v>
      </c>
      <c r="B46" s="32">
        <v>80</v>
      </c>
      <c r="C46" s="32">
        <f t="shared" si="23"/>
        <v>520</v>
      </c>
      <c r="D46" s="13">
        <f t="shared" si="19"/>
        <v>8.6666666666666661</v>
      </c>
      <c r="E46" s="95">
        <v>22.963884353637695</v>
      </c>
      <c r="F46" s="95">
        <v>22.998712539672852</v>
      </c>
      <c r="G46" s="96">
        <v>23.033721923828125</v>
      </c>
      <c r="H46" s="102">
        <f>E46-$H$71+$H$85</f>
        <v>22.776750447457296</v>
      </c>
      <c r="I46" s="102">
        <f>F46-$H$71+$H$85</f>
        <v>22.811578633492452</v>
      </c>
      <c r="J46" s="102">
        <f>G46-$H$71+$H$85</f>
        <v>22.846588017647726</v>
      </c>
      <c r="K46" s="96">
        <f>((H46-'Calibration F. prausnitzii'!$D$45)/'Calibration F. prausnitzii'!$D$44)+$B$62</f>
        <v>7.731114663374429</v>
      </c>
      <c r="L46" s="96">
        <f>((I46-'Calibration F. prausnitzii'!$D$45)/'Calibration F. prausnitzii'!$D$44)+$B$62</f>
        <v>7.7203926900237043</v>
      </c>
      <c r="M46" s="96">
        <f>((J46-'Calibration F. prausnitzii'!$D$45)/'Calibration F. prausnitzii'!$D$44)+$B$62</f>
        <v>7.7096149342267424</v>
      </c>
      <c r="N46" s="103">
        <f t="shared" si="20"/>
        <v>7.7203740958749592</v>
      </c>
      <c r="O46" s="103">
        <f t="shared" si="21"/>
        <v>1.0749876634768743E-2</v>
      </c>
      <c r="P46" s="104">
        <f>(AVERAGE(POWER(10,K46),POWER(10,L46),POWER(10,M46)))*(Calculation!$I10/Calculation!$K9)</f>
        <v>52808573.579487659</v>
      </c>
      <c r="Q46" s="104">
        <f>(STDEV(POWER(10,K46),POWER(10,L46),POWER(10,M46))*(Calculation!$I10/Calculation!$K9))</f>
        <v>1307002.457366436</v>
      </c>
      <c r="R46" s="103">
        <f t="shared" si="22"/>
        <v>7.7227044368518003</v>
      </c>
      <c r="S46" s="103">
        <f>O46*(Calculation!$I10/Calculation!$K9)</f>
        <v>1.0805506583339656E-2</v>
      </c>
    </row>
    <row r="47" spans="1:19">
      <c r="A47" s="40">
        <v>7</v>
      </c>
      <c r="B47" s="32">
        <v>80</v>
      </c>
      <c r="C47" s="32">
        <f t="shared" si="23"/>
        <v>600</v>
      </c>
      <c r="D47" s="13">
        <f t="shared" si="19"/>
        <v>10</v>
      </c>
      <c r="E47" s="95">
        <v>22.177867889404297</v>
      </c>
      <c r="F47" s="95">
        <v>22.141490936279297</v>
      </c>
      <c r="G47" s="96">
        <v>22.137910842895508</v>
      </c>
      <c r="H47" s="102">
        <f>E47-$H$71+$H$85</f>
        <v>21.990733983223897</v>
      </c>
      <c r="I47" s="102">
        <f>F47-$H$71+$H$85</f>
        <v>21.954357030098897</v>
      </c>
      <c r="J47" s="102">
        <f>G47-$H$71+$H$85</f>
        <v>21.950776936715108</v>
      </c>
      <c r="K47" s="96">
        <f>((H47-'Calibration F. prausnitzii'!$D$45)/'Calibration F. prausnitzii'!$D$44)+$B$62</f>
        <v>7.9730924561378433</v>
      </c>
      <c r="L47" s="96">
        <f>((I47-'Calibration F. prausnitzii'!$D$45)/'Calibration F. prausnitzii'!$D$44)+$B$62</f>
        <v>7.9842912226079967</v>
      </c>
      <c r="M47" s="96">
        <f>((J47-'Calibration F. prausnitzii'!$D$45)/'Calibration F. prausnitzii'!$D$44)+$B$62</f>
        <v>7.9853933663089443</v>
      </c>
      <c r="N47" s="103">
        <f t="shared" si="20"/>
        <v>7.9809256816849272</v>
      </c>
      <c r="O47" s="103">
        <f t="shared" si="21"/>
        <v>6.8061183532179817E-3</v>
      </c>
      <c r="P47" s="104">
        <f>(AVERAGE(POWER(10,K47),POWER(10,L47),POWER(10,M47)))*(Calculation!$I11/Calculation!$K10)</f>
        <v>96369061.647731841</v>
      </c>
      <c r="Q47" s="104">
        <f>(STDEV(POWER(10,K47),POWER(10,L47),POWER(10,M47))*(Calculation!$I11/Calculation!$K10))</f>
        <v>1503572.1160504282</v>
      </c>
      <c r="R47" s="103">
        <f t="shared" si="22"/>
        <v>7.9839376302488443</v>
      </c>
      <c r="S47" s="103">
        <f>O47*(Calculation!$I11/Calculation!$K10)</f>
        <v>6.8529252683928385E-3</v>
      </c>
    </row>
    <row r="48" spans="1:19">
      <c r="A48" s="40">
        <v>8</v>
      </c>
      <c r="B48" s="32">
        <v>80</v>
      </c>
      <c r="C48" s="32">
        <f t="shared" si="23"/>
        <v>680</v>
      </c>
      <c r="D48" s="13">
        <f t="shared" si="19"/>
        <v>11.333333333333334</v>
      </c>
      <c r="E48" s="95">
        <v>22.161949157714844</v>
      </c>
      <c r="F48" s="95">
        <v>22.088258743286133</v>
      </c>
      <c r="G48" s="96">
        <v>22.020746231079102</v>
      </c>
      <c r="H48" s="102">
        <f>E48-$H$71+$H$85</f>
        <v>21.974815251534444</v>
      </c>
      <c r="I48" s="102">
        <f>F48-$H$71+$H$85</f>
        <v>21.901124837105733</v>
      </c>
      <c r="J48" s="102">
        <f>G48-$H$71+$H$85</f>
        <v>21.833612324898702</v>
      </c>
      <c r="K48" s="96">
        <f>((H48-'Calibration F. prausnitzii'!$D$45)/'Calibration F. prausnitzii'!$D$44)+$B$62</f>
        <v>7.9779930908358239</v>
      </c>
      <c r="L48" s="96">
        <f>((I48-'Calibration F. prausnitzii'!$D$45)/'Calibration F. prausnitzii'!$D$44)+$B$62</f>
        <v>8.0006789309456394</v>
      </c>
      <c r="M48" s="96">
        <f>((J48-'Calibration F. prausnitzii'!$D$45)/'Calibration F. prausnitzii'!$D$44)+$B$62</f>
        <v>8.0214628832305355</v>
      </c>
      <c r="N48" s="103">
        <f t="shared" si="20"/>
        <v>8.0000449683373329</v>
      </c>
      <c r="O48" s="103">
        <f t="shared" si="21"/>
        <v>2.1741829365335839E-2</v>
      </c>
      <c r="P48" s="104">
        <f>(AVERAGE(POWER(10,K48),POWER(10,L48),POWER(10,M48)))*(Calculation!$I12/Calculation!$K11)</f>
        <v>100871492.05996387</v>
      </c>
      <c r="Q48" s="104">
        <f>(STDEV(POWER(10,K48),POWER(10,L48),POWER(10,M48))*(Calculation!$I12/Calculation!$K11))</f>
        <v>5042768.2092178464</v>
      </c>
      <c r="R48" s="103">
        <f t="shared" si="22"/>
        <v>8.0037684448256332</v>
      </c>
      <c r="S48" s="103">
        <f>O48*(Calculation!$I12/Calculation!$K11)</f>
        <v>2.1910741921738006E-2</v>
      </c>
    </row>
    <row r="49" spans="1:19">
      <c r="A49" s="40">
        <v>9</v>
      </c>
      <c r="B49" s="32">
        <v>80</v>
      </c>
      <c r="C49" s="32">
        <f t="shared" si="23"/>
        <v>760</v>
      </c>
      <c r="D49" s="13">
        <f t="shared" si="19"/>
        <v>12.666666666666666</v>
      </c>
      <c r="E49" s="95">
        <v>19.67875862121582</v>
      </c>
      <c r="F49" s="95">
        <v>19.749658584594727</v>
      </c>
      <c r="G49" s="96">
        <v>19.845830917358398</v>
      </c>
      <c r="H49" s="102">
        <f>E49-$H$71+$H$85</f>
        <v>19.491624715035421</v>
      </c>
      <c r="I49" s="102">
        <f>F49-$H$71+$H$85</f>
        <v>19.562524678414327</v>
      </c>
      <c r="J49" s="102">
        <f>G49-$H$71+$H$85</f>
        <v>19.658697011177999</v>
      </c>
      <c r="K49" s="96">
        <f>((H49-'Calibration F. prausnitzii'!$D$45)/'Calibration F. prausnitzii'!$D$44)+$B$62</f>
        <v>8.74245158804945</v>
      </c>
      <c r="L49" s="96">
        <f>((I49-'Calibration F. prausnitzii'!$D$45)/'Calibration F. prausnitzii'!$D$44)+$B$62</f>
        <v>8.7206247976117126</v>
      </c>
      <c r="M49" s="96">
        <f>((J49-'Calibration F. prausnitzii'!$D$45)/'Calibration F. prausnitzii'!$D$44)+$B$62</f>
        <v>8.6910178238827864</v>
      </c>
      <c r="N49" s="103">
        <f t="shared" si="20"/>
        <v>8.7180314031813158</v>
      </c>
      <c r="O49" s="103">
        <f t="shared" si="21"/>
        <v>2.5814768933532972E-2</v>
      </c>
      <c r="P49" s="104">
        <f>(AVERAGE(POWER(10,K49),POWER(10,L49),POWER(10,M49)))*(Calculation!$I13/Calculation!$K12)</f>
        <v>527595654.45022506</v>
      </c>
      <c r="Q49" s="104">
        <f>(STDEV(POWER(10,K49),POWER(10,L49),POWER(10,M49))*(Calculation!$I13/Calculation!$K12))</f>
        <v>31207694.099804275</v>
      </c>
      <c r="R49" s="103">
        <f t="shared" si="22"/>
        <v>8.7223012098158357</v>
      </c>
      <c r="S49" s="103">
        <f>O49*(Calculation!$I13/Calculation!$K12)</f>
        <v>2.6039235354230486E-2</v>
      </c>
    </row>
    <row r="50" spans="1:19">
      <c r="A50" s="40">
        <v>10</v>
      </c>
      <c r="B50" s="32">
        <v>80</v>
      </c>
      <c r="C50" s="32">
        <f t="shared" si="23"/>
        <v>840</v>
      </c>
      <c r="D50" s="13">
        <f t="shared" si="19"/>
        <v>14</v>
      </c>
      <c r="E50" s="95">
        <v>19.517189025878906</v>
      </c>
      <c r="F50" s="95">
        <v>19.365940093994141</v>
      </c>
      <c r="G50" s="96">
        <v>19.692775726318359</v>
      </c>
      <c r="H50" s="102">
        <f>E50-$H$71+$H$85</f>
        <v>19.330055119698507</v>
      </c>
      <c r="I50" s="102">
        <f>F50-$H$71+$H$85</f>
        <v>19.178806187813741</v>
      </c>
      <c r="J50" s="102">
        <f>G50-$H$71+$H$85</f>
        <v>19.50564182013796</v>
      </c>
      <c r="K50" s="96">
        <f>((H50-'Calibration F. prausnitzii'!$D$45)/'Calibration F. prausnitzii'!$D$44)+$B$62</f>
        <v>8.7921913274013939</v>
      </c>
      <c r="L50" s="96">
        <f>((I50-'Calibration F. prausnitzii'!$D$45)/'Calibration F. prausnitzii'!$D$44)+$B$62</f>
        <v>8.8387538160523071</v>
      </c>
      <c r="M50" s="96">
        <f>((J50-'Calibration F. prausnitzii'!$D$45)/'Calibration F. prausnitzii'!$D$44)+$B$62</f>
        <v>8.7381363754451531</v>
      </c>
      <c r="N50" s="103">
        <f t="shared" si="20"/>
        <v>8.7896938396329514</v>
      </c>
      <c r="O50" s="103">
        <f t="shared" si="21"/>
        <v>5.0355192606608937E-2</v>
      </c>
      <c r="P50" s="104">
        <f>(AVERAGE(POWER(10,K50),POWER(10,L50),POWER(10,M50)))*(Calculation!$I14/Calculation!$K13)</f>
        <v>624298461.58668888</v>
      </c>
      <c r="Q50" s="104">
        <f>(STDEV(POWER(10,K50),POWER(10,L50),POWER(10,M50))*(Calculation!$I14/Calculation!$K13))</f>
        <v>71954049.806358933</v>
      </c>
      <c r="R50" s="103">
        <f t="shared" si="22"/>
        <v>8.7953922647322909</v>
      </c>
      <c r="S50" s="103">
        <f>O50*(Calculation!$I14/Calculation!$K13)</f>
        <v>5.0793044670171546E-2</v>
      </c>
    </row>
    <row r="51" spans="1:19">
      <c r="A51" s="40">
        <v>11</v>
      </c>
      <c r="B51" s="32">
        <v>600</v>
      </c>
      <c r="C51" s="32">
        <f t="shared" si="23"/>
        <v>1440</v>
      </c>
      <c r="D51" s="13">
        <f t="shared" si="19"/>
        <v>24</v>
      </c>
      <c r="E51" s="95">
        <v>17.891082763671875</v>
      </c>
      <c r="F51" s="95">
        <v>18.381326675415039</v>
      </c>
      <c r="G51" s="96">
        <v>17.710676193237305</v>
      </c>
      <c r="H51" s="102">
        <f>E51-$H$71+$H$85</f>
        <v>17.703948857491476</v>
      </c>
      <c r="I51" s="102">
        <f>F51-$H$71+$H$85</f>
        <v>18.19419276923464</v>
      </c>
      <c r="J51" s="102">
        <f>G51-$H$71+$H$85</f>
        <v>17.523542287056905</v>
      </c>
      <c r="K51" s="96">
        <f>((H51-'Calibration F. prausnitzii'!$D$45)/'Calibration F. prausnitzii'!$D$44)+$B$62</f>
        <v>9.2927935692531403</v>
      </c>
      <c r="L51" s="96">
        <f>((I51-'Calibration F. prausnitzii'!$D$45)/'Calibration F. prausnitzii'!$D$44)+$B$62</f>
        <v>9.1418703442606315</v>
      </c>
      <c r="M51" s="96">
        <f>((J51-'Calibration F. prausnitzii'!$D$45)/'Calibration F. prausnitzii'!$D$44)+$B$62</f>
        <v>9.3483323342793287</v>
      </c>
      <c r="N51" s="103">
        <f t="shared" si="20"/>
        <v>9.2609987492643668</v>
      </c>
      <c r="O51" s="103">
        <f t="shared" si="21"/>
        <v>0.10684016690462927</v>
      </c>
      <c r="P51" s="104">
        <f>(AVERAGE(POWER(10,K51),POWER(10,L51),POWER(10,M51)))*(Calculation!$I15/Calculation!$K14)</f>
        <v>1881462482.3215683</v>
      </c>
      <c r="Q51" s="104">
        <f>(STDEV(POWER(10,K51),POWER(10,L51),POWER(10,M51))*(Calculation!$I15/Calculation!$K14))</f>
        <v>436249359.61753273</v>
      </c>
      <c r="R51" s="103">
        <f t="shared" si="22"/>
        <v>9.274495562606365</v>
      </c>
      <c r="S51" s="103">
        <f>O51*(Calculation!$I15/Calculation!$K14)</f>
        <v>0.10809410332118571</v>
      </c>
    </row>
    <row r="52" spans="1:19">
      <c r="A52" s="40">
        <v>12</v>
      </c>
      <c r="B52" s="32">
        <v>360</v>
      </c>
      <c r="C52" s="32">
        <f t="shared" si="23"/>
        <v>1800</v>
      </c>
      <c r="D52" s="13">
        <f t="shared" si="19"/>
        <v>30</v>
      </c>
      <c r="E52" s="95">
        <v>18.052083969116211</v>
      </c>
      <c r="F52" s="95">
        <v>18.177371978759766</v>
      </c>
      <c r="G52" s="96">
        <v>18.173793792724609</v>
      </c>
      <c r="H52" s="102">
        <f>E52-$H$71+$H$85</f>
        <v>17.864950062935812</v>
      </c>
      <c r="I52" s="102">
        <f>F52-$H$71+$H$85</f>
        <v>17.990238072579366</v>
      </c>
      <c r="J52" s="102">
        <f>G52-$H$71+$H$85</f>
        <v>17.98665988654421</v>
      </c>
      <c r="K52" s="96">
        <f>((H52-'Calibration F. prausnitzii'!$D$45)/'Calibration F. prausnitzii'!$D$44)+$B$62</f>
        <v>9.2432288106272935</v>
      </c>
      <c r="L52" s="96">
        <f>((I52-'Calibration F. prausnitzii'!$D$45)/'Calibration F. prausnitzii'!$D$44)+$B$62</f>
        <v>9.2046584785632746</v>
      </c>
      <c r="M52" s="96">
        <f>((J52-'Calibration F. prausnitzii'!$D$45)/'Calibration F. prausnitzii'!$D$44)+$B$62</f>
        <v>9.2057600350805782</v>
      </c>
      <c r="N52" s="103">
        <f t="shared" si="20"/>
        <v>9.2178824414237166</v>
      </c>
      <c r="O52" s="103">
        <f t="shared" si="21"/>
        <v>2.195750852312877E-2</v>
      </c>
      <c r="P52" s="104">
        <f>(AVERAGE(POWER(10,K52),POWER(10,L52),POWER(10,M52)))*(Calculation!$I16/Calculation!$K15)</f>
        <v>1675860060.3354855</v>
      </c>
      <c r="Q52" s="104">
        <f>(STDEV(POWER(10,K52),POWER(10,L52),POWER(10,M52))*(Calculation!$I16/Calculation!$K15))</f>
        <v>85925656.173411444</v>
      </c>
      <c r="R52" s="103">
        <f t="shared" si="22"/>
        <v>9.2242377508327529</v>
      </c>
      <c r="S52" s="103">
        <f>O52*(Calculation!$I16/Calculation!$K15)</f>
        <v>2.2262032373259327E-2</v>
      </c>
    </row>
    <row r="53" spans="1:19">
      <c r="A53" s="40">
        <v>13</v>
      </c>
      <c r="B53" s="32">
        <v>1080</v>
      </c>
      <c r="C53" s="32">
        <f t="shared" si="23"/>
        <v>2880</v>
      </c>
      <c r="D53" s="13">
        <f t="shared" si="19"/>
        <v>48</v>
      </c>
      <c r="E53" s="95">
        <v>22.814107894897461</v>
      </c>
      <c r="F53" s="95">
        <v>22.629312515258789</v>
      </c>
      <c r="G53" s="96">
        <v>22.694656372070312</v>
      </c>
      <c r="H53" s="102">
        <f>E53-$H$71+$H$85</f>
        <v>22.626973988717062</v>
      </c>
      <c r="I53" s="102">
        <f>F53-$H$71+$H$85</f>
        <v>22.44217860907839</v>
      </c>
      <c r="J53" s="102">
        <f>G53-$H$71+$H$85</f>
        <v>22.507522465889913</v>
      </c>
      <c r="K53" s="96">
        <f>((H53-'Calibration F. prausnitzii'!$D$45)/'Calibration F. prausnitzii'!$D$44)+$B$62</f>
        <v>7.7772238462516974</v>
      </c>
      <c r="L53" s="96">
        <f>((I53-'Calibration F. prausnitzii'!$D$45)/'Calibration F. prausnitzii'!$D$44)+$B$62</f>
        <v>7.8341137208441527</v>
      </c>
      <c r="M53" s="96">
        <f>((J53-'Calibration F. prausnitzii'!$D$45)/'Calibration F. prausnitzii'!$D$44)+$B$62</f>
        <v>7.8139973963631864</v>
      </c>
      <c r="N53" s="103">
        <f t="shared" si="20"/>
        <v>7.8084449878196791</v>
      </c>
      <c r="O53" s="103">
        <f t="shared" si="21"/>
        <v>2.8848507556922851E-2</v>
      </c>
      <c r="P53" s="104">
        <f>(AVERAGE(POWER(10,K53),POWER(10,L53),POWER(10,M53)))*(Calculation!$I17/Calculation!$K16)</f>
        <v>65467926.939728938</v>
      </c>
      <c r="Q53" s="104">
        <f>(STDEV(POWER(10,K53),POWER(10,L53),POWER(10,M53))*(Calculation!$I17/Calculation!$K16))</f>
        <v>4306124.8136593392</v>
      </c>
      <c r="R53" s="103">
        <f t="shared" si="22"/>
        <v>7.8160285890831291</v>
      </c>
      <c r="S53" s="103">
        <f>O53*(Calculation!$I17/Calculation!$K16)</f>
        <v>2.9313815427451359E-2</v>
      </c>
    </row>
    <row r="54" spans="1:19">
      <c r="A54" s="10"/>
      <c r="B54" s="10"/>
      <c r="C54" s="10"/>
      <c r="D54" s="109"/>
      <c r="E54" s="110"/>
      <c r="F54" s="110"/>
      <c r="G54" s="111"/>
      <c r="H54" s="108"/>
      <c r="I54" s="108"/>
      <c r="J54" s="108"/>
      <c r="K54" s="111"/>
      <c r="L54" s="111"/>
      <c r="M54" s="111"/>
      <c r="N54" s="112"/>
      <c r="O54" s="112"/>
      <c r="P54" s="113"/>
      <c r="Q54" s="113"/>
      <c r="R54" s="112"/>
      <c r="S54" s="112"/>
    </row>
    <row r="55" spans="1:19">
      <c r="A55" s="10"/>
      <c r="B55" s="10"/>
      <c r="C55" s="10"/>
      <c r="D55" s="109"/>
      <c r="E55" s="110"/>
      <c r="F55" s="110"/>
      <c r="G55" s="111"/>
      <c r="H55" s="108"/>
      <c r="I55" s="108"/>
      <c r="J55" s="108"/>
      <c r="K55" s="111"/>
      <c r="L55" s="111"/>
      <c r="M55" s="111"/>
      <c r="N55" s="112"/>
      <c r="O55" s="112"/>
      <c r="P55" s="113"/>
      <c r="Q55" s="113"/>
      <c r="R55" s="112"/>
      <c r="S55" s="112"/>
    </row>
    <row r="56" spans="1:19">
      <c r="A56" s="10"/>
      <c r="B56" s="10"/>
      <c r="C56" s="10"/>
      <c r="D56" s="109"/>
      <c r="E56" s="110"/>
      <c r="F56" s="110"/>
      <c r="G56" s="111"/>
      <c r="H56" s="108"/>
      <c r="I56" s="108"/>
      <c r="J56" s="108"/>
      <c r="K56" s="111"/>
      <c r="L56" s="111"/>
      <c r="M56" s="111"/>
      <c r="N56" s="112"/>
      <c r="O56" s="112"/>
      <c r="P56" s="113"/>
      <c r="Q56" s="113"/>
      <c r="R56" s="112"/>
      <c r="S56" s="112"/>
    </row>
    <row r="57" spans="1:19"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1:19"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1:19"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1:19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1:19">
      <c r="A62" s="98" t="s">
        <v>233</v>
      </c>
      <c r="B62" s="105">
        <f>LOG(B63)</f>
        <v>3.6532125137753435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1:19">
      <c r="A63" s="80" t="s">
        <v>234</v>
      </c>
      <c r="B63" s="80">
        <f>20*1800/4/2</f>
        <v>4500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1:19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1:19">
      <c r="A65" s="91" t="s">
        <v>235</v>
      </c>
      <c r="B65" s="80"/>
      <c r="C65" s="80"/>
      <c r="D65" s="80"/>
      <c r="E65" s="106">
        <v>14.390941619873047</v>
      </c>
      <c r="F65" s="102">
        <v>14.411395072937012</v>
      </c>
      <c r="G65" s="102">
        <v>14.301624298095703</v>
      </c>
      <c r="H65" s="102">
        <f>AVERAGE(E65:G65)</f>
        <v>14.367986996968588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1:19">
      <c r="A66" s="107" t="s">
        <v>236</v>
      </c>
      <c r="C66" s="80"/>
      <c r="D66" s="80"/>
      <c r="E66" s="106">
        <v>13.95859432220459</v>
      </c>
      <c r="F66" s="102">
        <v>13.837825775146484</v>
      </c>
      <c r="G66" s="102">
        <v>14.070391654968262</v>
      </c>
      <c r="H66" s="102">
        <f t="shared" ref="H66:H83" si="24">AVERAGE(E66:G66)</f>
        <v>13.955603917439779</v>
      </c>
    </row>
    <row r="67" spans="1:19">
      <c r="A67" s="107" t="s">
        <v>237</v>
      </c>
      <c r="E67" s="106">
        <v>14.085451126098633</v>
      </c>
      <c r="F67" s="102">
        <v>14.111333847045898</v>
      </c>
      <c r="G67" s="102">
        <v>14.077548980712891</v>
      </c>
      <c r="H67" s="102">
        <f t="shared" si="24"/>
        <v>14.091444651285807</v>
      </c>
    </row>
    <row r="68" spans="1:19">
      <c r="A68" s="107" t="s">
        <v>238</v>
      </c>
      <c r="E68" s="106">
        <v>13.838394165039062</v>
      </c>
      <c r="F68" s="102">
        <v>14.03663444519043</v>
      </c>
      <c r="G68" s="102">
        <v>13.97320556640625</v>
      </c>
      <c r="H68" s="102">
        <f t="shared" si="24"/>
        <v>13.949411392211914</v>
      </c>
    </row>
    <row r="69" spans="1:19">
      <c r="A69" s="107" t="s">
        <v>239</v>
      </c>
      <c r="E69" s="106">
        <v>11.618982315063477</v>
      </c>
      <c r="F69" s="102">
        <v>11.485271453857422</v>
      </c>
      <c r="G69" s="102">
        <v>11.470490455627441</v>
      </c>
      <c r="H69" s="102">
        <f t="shared" si="24"/>
        <v>11.524914741516113</v>
      </c>
    </row>
    <row r="70" spans="1:19">
      <c r="A70" s="107" t="s">
        <v>241</v>
      </c>
      <c r="E70" s="106">
        <v>14.489413261413574</v>
      </c>
      <c r="F70" s="102">
        <v>14.78773021697998</v>
      </c>
      <c r="G70" s="102">
        <v>14.708776473999023</v>
      </c>
      <c r="H70" s="102">
        <f t="shared" si="24"/>
        <v>14.661973317464193</v>
      </c>
    </row>
    <row r="71" spans="1:19">
      <c r="A71" s="107" t="s">
        <v>242</v>
      </c>
      <c r="E71" s="106">
        <v>14.322483062744141</v>
      </c>
      <c r="F71" s="102">
        <v>14.812288284301758</v>
      </c>
      <c r="G71" s="102">
        <v>14.651363372802734</v>
      </c>
      <c r="H71" s="102">
        <f t="shared" si="24"/>
        <v>14.595378239949545</v>
      </c>
    </row>
    <row r="72" spans="1:19">
      <c r="A72" s="107" t="s">
        <v>243</v>
      </c>
      <c r="E72" s="106">
        <v>13.079689025878906</v>
      </c>
      <c r="F72" s="102">
        <v>13.297797203063965</v>
      </c>
      <c r="G72" s="102">
        <v>14.48363208770752</v>
      </c>
      <c r="H72" s="102">
        <f t="shared" si="24"/>
        <v>13.620372772216797</v>
      </c>
    </row>
    <row r="73" spans="1:19">
      <c r="A73" s="107" t="s">
        <v>244</v>
      </c>
      <c r="B73" s="80"/>
      <c r="C73" s="80"/>
      <c r="D73" s="80"/>
      <c r="E73" s="106">
        <v>14.77447509765625</v>
      </c>
      <c r="F73" s="102">
        <v>15.046281814575195</v>
      </c>
      <c r="G73" s="102">
        <v>14.986320495605469</v>
      </c>
      <c r="H73" s="102">
        <f t="shared" si="24"/>
        <v>14.935692469278971</v>
      </c>
    </row>
    <row r="74" spans="1:19">
      <c r="A74" s="107" t="s">
        <v>244</v>
      </c>
      <c r="C74" s="80"/>
      <c r="D74" s="80"/>
      <c r="E74" s="106">
        <v>13.851560592651367</v>
      </c>
      <c r="F74" s="102">
        <v>14.262241363525391</v>
      </c>
      <c r="G74" s="102">
        <v>14.016228675842285</v>
      </c>
      <c r="H74" s="102">
        <f t="shared" si="24"/>
        <v>14.043343544006348</v>
      </c>
    </row>
    <row r="75" spans="1:19">
      <c r="A75" s="107" t="s">
        <v>245</v>
      </c>
      <c r="E75" s="106">
        <v>14.028319358825684</v>
      </c>
      <c r="F75" s="102">
        <v>14.285782814025879</v>
      </c>
      <c r="G75" s="102">
        <v>14.480982780456543</v>
      </c>
      <c r="H75" s="102">
        <f t="shared" si="24"/>
        <v>14.265028317769369</v>
      </c>
    </row>
    <row r="76" spans="1:19">
      <c r="A76" s="107" t="s">
        <v>245</v>
      </c>
      <c r="E76" s="106">
        <v>14.83289909362793</v>
      </c>
      <c r="F76" s="102">
        <v>14.839167594909668</v>
      </c>
      <c r="G76" s="102">
        <v>14.813106536865234</v>
      </c>
      <c r="H76" s="102">
        <f t="shared" si="24"/>
        <v>14.828391075134277</v>
      </c>
    </row>
    <row r="77" spans="1:19">
      <c r="A77" s="107" t="s">
        <v>246</v>
      </c>
      <c r="E77" s="106">
        <v>15.412906646728516</v>
      </c>
      <c r="F77" s="102">
        <v>15.433472633361816</v>
      </c>
      <c r="G77" s="102">
        <v>15.37113094329834</v>
      </c>
      <c r="H77" s="102">
        <f t="shared" si="24"/>
        <v>15.405836741129557</v>
      </c>
    </row>
    <row r="78" spans="1:19">
      <c r="A78" s="107" t="s">
        <v>246</v>
      </c>
      <c r="E78" s="106">
        <v>15.125240325927734</v>
      </c>
      <c r="F78" s="102">
        <v>15.287156105041504</v>
      </c>
      <c r="G78" s="102">
        <v>15.169957160949707</v>
      </c>
      <c r="H78" s="102">
        <f t="shared" si="24"/>
        <v>15.194117863972982</v>
      </c>
    </row>
    <row r="79" spans="1:19">
      <c r="A79" s="107" t="s">
        <v>247</v>
      </c>
      <c r="E79" s="106">
        <v>14.932897567749023</v>
      </c>
      <c r="F79" s="102">
        <v>14.934226036071777</v>
      </c>
      <c r="G79" s="102">
        <v>14.918047904968262</v>
      </c>
      <c r="H79" s="102">
        <f t="shared" si="24"/>
        <v>14.928390502929688</v>
      </c>
    </row>
    <row r="80" spans="1:19">
      <c r="A80" s="107" t="s">
        <v>247</v>
      </c>
      <c r="E80" s="106">
        <v>14.112751960754395</v>
      </c>
      <c r="F80" s="102">
        <v>14.298762321472168</v>
      </c>
      <c r="G80" s="102">
        <v>14.374398231506348</v>
      </c>
      <c r="H80" s="102">
        <f t="shared" si="24"/>
        <v>14.261970837910971</v>
      </c>
    </row>
    <row r="81" spans="1:8">
      <c r="A81" s="107" t="s">
        <v>248</v>
      </c>
      <c r="E81" s="106">
        <v>14.954710960388184</v>
      </c>
      <c r="F81" s="102">
        <v>14.841438293457031</v>
      </c>
      <c r="G81" s="102">
        <v>15.281417846679688</v>
      </c>
      <c r="H81" s="102">
        <f t="shared" si="24"/>
        <v>15.025855700174967</v>
      </c>
    </row>
    <row r="82" spans="1:8">
      <c r="A82" s="107" t="s">
        <v>249</v>
      </c>
      <c r="E82" s="106">
        <v>14.948505401611328</v>
      </c>
      <c r="F82" s="102">
        <v>15.147294044494629</v>
      </c>
      <c r="G82" s="102">
        <v>14.959335327148438</v>
      </c>
      <c r="H82" s="102">
        <f t="shared" si="24"/>
        <v>15.018378257751465</v>
      </c>
    </row>
    <row r="83" spans="1:8">
      <c r="A83" s="91" t="s">
        <v>250</v>
      </c>
      <c r="B83" s="80"/>
      <c r="C83" s="80"/>
      <c r="D83" s="80"/>
      <c r="E83" s="106">
        <v>15.064580917358398</v>
      </c>
      <c r="F83" s="102">
        <v>15.123675346374512</v>
      </c>
      <c r="G83" s="102">
        <v>15.059396743774414</v>
      </c>
      <c r="H83" s="102">
        <f t="shared" si="24"/>
        <v>15.082551002502441</v>
      </c>
    </row>
    <row r="84" spans="1:8">
      <c r="A84" s="91"/>
      <c r="B84" s="80"/>
      <c r="C84" s="80"/>
      <c r="D84" s="80"/>
      <c r="E84" s="108"/>
      <c r="F84" s="108"/>
      <c r="G84" s="108"/>
      <c r="H84" s="108"/>
    </row>
    <row r="85" spans="1:8">
      <c r="G85" t="s">
        <v>240</v>
      </c>
      <c r="H85" s="77">
        <f>AVERAGE(H65:H83)</f>
        <v>14.408244333769145</v>
      </c>
    </row>
  </sheetData>
  <mergeCells count="59">
    <mergeCell ref="Z2:AD3"/>
    <mergeCell ref="R38:R39"/>
    <mergeCell ref="S38:S39"/>
    <mergeCell ref="U2:X3"/>
    <mergeCell ref="M38:M39"/>
    <mergeCell ref="N38:N39"/>
    <mergeCell ref="O38:O39"/>
    <mergeCell ref="P38:P39"/>
    <mergeCell ref="Q38:Q39"/>
    <mergeCell ref="P20:P21"/>
    <mergeCell ref="Q20:Q21"/>
    <mergeCell ref="R20:R21"/>
    <mergeCell ref="S20:S21"/>
    <mergeCell ref="N20:N21"/>
    <mergeCell ref="O20:O21"/>
    <mergeCell ref="S2:S3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K20:K21"/>
    <mergeCell ref="L20:L21"/>
    <mergeCell ref="M20:M21"/>
    <mergeCell ref="F20:F21"/>
    <mergeCell ref="G20:G21"/>
    <mergeCell ref="H20:H21"/>
    <mergeCell ref="I20:I21"/>
    <mergeCell ref="J20:J21"/>
    <mergeCell ref="A20:A21"/>
    <mergeCell ref="B20:B21"/>
    <mergeCell ref="C20:C21"/>
    <mergeCell ref="D20:D21"/>
    <mergeCell ref="E20:E21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R2:R3"/>
    <mergeCell ref="M2:M3"/>
    <mergeCell ref="N2:N3"/>
    <mergeCell ref="O2:O3"/>
    <mergeCell ref="P2:P3"/>
    <mergeCell ref="Q2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3" sqref="D3:D17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18" t="s">
        <v>4</v>
      </c>
      <c r="B1" s="118" t="s">
        <v>118</v>
      </c>
      <c r="C1" s="118" t="s">
        <v>118</v>
      </c>
      <c r="D1" s="118" t="s">
        <v>5</v>
      </c>
      <c r="E1" s="118" t="s">
        <v>19</v>
      </c>
      <c r="F1" s="118" t="s">
        <v>24</v>
      </c>
      <c r="G1" s="117" t="s">
        <v>25</v>
      </c>
      <c r="H1" s="114" t="s">
        <v>26</v>
      </c>
      <c r="I1" s="4" t="s">
        <v>27</v>
      </c>
      <c r="J1" s="53" t="s">
        <v>27</v>
      </c>
    </row>
    <row r="2" spans="1:10">
      <c r="A2" s="119"/>
      <c r="B2" s="119"/>
      <c r="C2" s="119"/>
      <c r="D2" s="119"/>
      <c r="E2" s="119"/>
      <c r="F2" s="119"/>
      <c r="G2" s="117"/>
      <c r="H2" s="114"/>
      <c r="I2" s="5" t="s">
        <v>28</v>
      </c>
      <c r="J2" s="54" t="s">
        <v>23</v>
      </c>
    </row>
    <row r="3" spans="1:10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40">
        <v>1</v>
      </c>
      <c r="F3" s="50">
        <v>8.5999999999999993E-2</v>
      </c>
      <c r="G3" s="50">
        <v>8.5999999999999993E-2</v>
      </c>
      <c r="H3" s="50">
        <v>8.5999999999999993E-2</v>
      </c>
      <c r="I3" s="51">
        <f>E3*(AVERAGE(F3:H3)*1.6007-0.0118)</f>
        <v>0.12586020000000001</v>
      </c>
      <c r="J3" s="51">
        <f>E3*(STDEV(F3:H3)*1.6007)</f>
        <v>2.7206696834821082E-17</v>
      </c>
    </row>
    <row r="4" spans="1:10">
      <c r="A4" s="63">
        <v>0</v>
      </c>
      <c r="B4" s="64">
        <v>10</v>
      </c>
      <c r="C4" s="64">
        <v>10</v>
      </c>
      <c r="D4" s="13">
        <f t="shared" ref="D4:D17" si="0">C4/60</f>
        <v>0.16666666666666666</v>
      </c>
      <c r="E4" s="40">
        <v>1</v>
      </c>
      <c r="F4" s="50">
        <v>0.14099999999999999</v>
      </c>
      <c r="G4" s="50">
        <v>0.14099999999999999</v>
      </c>
      <c r="H4" s="50">
        <v>0.14099999999999999</v>
      </c>
      <c r="I4" s="51">
        <f>E4*(AVERAGE(F4:H4)*1.6007-0.0118)</f>
        <v>0.21389869999999997</v>
      </c>
      <c r="J4" s="51">
        <f t="shared" ref="J4:J17" si="1">E4*(STDEV(F4:H4)*1.6007)</f>
        <v>0</v>
      </c>
    </row>
    <row r="5" spans="1:10">
      <c r="A5" s="63">
        <v>1</v>
      </c>
      <c r="B5" s="64">
        <v>110</v>
      </c>
      <c r="C5" s="64">
        <v>120</v>
      </c>
      <c r="D5" s="13">
        <f t="shared" si="0"/>
        <v>2</v>
      </c>
      <c r="E5" s="40">
        <v>1</v>
      </c>
      <c r="F5" s="50">
        <v>0.182</v>
      </c>
      <c r="G5" s="50">
        <v>0.182</v>
      </c>
      <c r="H5" s="50">
        <v>0.182</v>
      </c>
      <c r="I5" s="51">
        <f t="shared" ref="I5:I17" si="2">E5*(AVERAGE(F5:H5)*1.6007-0.0118)</f>
        <v>0.27952740000000004</v>
      </c>
      <c r="J5" s="51">
        <f t="shared" si="1"/>
        <v>5.4413393669642165E-17</v>
      </c>
    </row>
    <row r="6" spans="1:10">
      <c r="A6" s="63">
        <v>2</v>
      </c>
      <c r="B6" s="64">
        <v>80</v>
      </c>
      <c r="C6" s="64">
        <v>200</v>
      </c>
      <c r="D6" s="13">
        <f t="shared" si="0"/>
        <v>3.3333333333333335</v>
      </c>
      <c r="E6" s="40">
        <v>1</v>
      </c>
      <c r="F6" s="50">
        <v>0.22900000000000001</v>
      </c>
      <c r="G6" s="50">
        <v>0.22900000000000001</v>
      </c>
      <c r="H6" s="50">
        <v>0.22900000000000001</v>
      </c>
      <c r="I6" s="51">
        <f t="shared" si="2"/>
        <v>0.35476030000000003</v>
      </c>
      <c r="J6" s="51">
        <f t="shared" si="1"/>
        <v>0</v>
      </c>
    </row>
    <row r="7" spans="1:10">
      <c r="A7" s="63">
        <v>3</v>
      </c>
      <c r="B7" s="64">
        <v>80</v>
      </c>
      <c r="C7" s="64">
        <v>280</v>
      </c>
      <c r="D7" s="13">
        <f t="shared" si="0"/>
        <v>4.666666666666667</v>
      </c>
      <c r="E7" s="40">
        <v>1</v>
      </c>
      <c r="F7" s="50">
        <v>0.27900000000000003</v>
      </c>
      <c r="G7" s="50">
        <v>0.27900000000000003</v>
      </c>
      <c r="H7" s="50">
        <v>0.27900000000000003</v>
      </c>
      <c r="I7" s="51">
        <f t="shared" si="2"/>
        <v>0.43479530000000005</v>
      </c>
      <c r="J7" s="51">
        <f t="shared" si="1"/>
        <v>0</v>
      </c>
    </row>
    <row r="8" spans="1:10">
      <c r="A8" s="63">
        <v>4</v>
      </c>
      <c r="B8" s="64">
        <v>80</v>
      </c>
      <c r="C8" s="64">
        <v>360</v>
      </c>
      <c r="D8" s="13">
        <f t="shared" si="0"/>
        <v>6</v>
      </c>
      <c r="E8" s="40">
        <v>1</v>
      </c>
      <c r="F8" s="50">
        <v>0.36699999999999999</v>
      </c>
      <c r="G8" s="50">
        <v>0.36699999999999999</v>
      </c>
      <c r="H8" s="50">
        <v>0.36699999999999999</v>
      </c>
      <c r="I8" s="51">
        <f t="shared" si="2"/>
        <v>0.57565689999999992</v>
      </c>
      <c r="J8" s="51">
        <f t="shared" si="1"/>
        <v>0</v>
      </c>
    </row>
    <row r="9" spans="1:10">
      <c r="A9" s="63">
        <v>5</v>
      </c>
      <c r="B9" s="64">
        <v>80</v>
      </c>
      <c r="C9" s="64">
        <v>440</v>
      </c>
      <c r="D9" s="13">
        <f t="shared" si="0"/>
        <v>7.333333333333333</v>
      </c>
      <c r="E9" s="40">
        <v>10</v>
      </c>
      <c r="F9" s="50">
        <v>5.2999999999999999E-2</v>
      </c>
      <c r="G9" s="50">
        <v>5.1999999999999998E-2</v>
      </c>
      <c r="H9" s="50">
        <v>5.2999999999999999E-2</v>
      </c>
      <c r="I9" s="51">
        <f t="shared" si="2"/>
        <v>0.72503533333333325</v>
      </c>
      <c r="J9" s="51">
        <f t="shared" si="1"/>
        <v>9.241645758918348E-3</v>
      </c>
    </row>
    <row r="10" spans="1:10">
      <c r="A10" s="63">
        <v>6</v>
      </c>
      <c r="B10" s="64">
        <v>80</v>
      </c>
      <c r="C10" s="64">
        <v>520</v>
      </c>
      <c r="D10" s="13">
        <f t="shared" si="0"/>
        <v>8.6666666666666661</v>
      </c>
      <c r="E10" s="40">
        <v>10</v>
      </c>
      <c r="F10" s="50">
        <v>7.4999999999999997E-2</v>
      </c>
      <c r="G10" s="50">
        <v>7.8E-2</v>
      </c>
      <c r="H10" s="50">
        <v>8.1000000000000003E-2</v>
      </c>
      <c r="I10" s="51">
        <f t="shared" si="2"/>
        <v>1.1305459999999998</v>
      </c>
      <c r="J10" s="51">
        <f t="shared" si="1"/>
        <v>4.8021000000000043E-2</v>
      </c>
    </row>
    <row r="11" spans="1:10">
      <c r="A11" s="63">
        <v>7</v>
      </c>
      <c r="B11" s="64">
        <v>80</v>
      </c>
      <c r="C11" s="64">
        <v>600</v>
      </c>
      <c r="D11" s="13">
        <f t="shared" si="0"/>
        <v>10</v>
      </c>
      <c r="E11" s="40">
        <v>10</v>
      </c>
      <c r="F11" s="50">
        <v>0.111</v>
      </c>
      <c r="G11" s="50">
        <v>0.11</v>
      </c>
      <c r="H11" s="50">
        <v>0.11</v>
      </c>
      <c r="I11" s="51">
        <f t="shared" si="2"/>
        <v>1.6481056666666665</v>
      </c>
      <c r="J11" s="51">
        <f t="shared" si="1"/>
        <v>9.241645758918348E-3</v>
      </c>
    </row>
    <row r="12" spans="1:10">
      <c r="A12" s="63">
        <v>8</v>
      </c>
      <c r="B12" s="64">
        <v>80</v>
      </c>
      <c r="C12" s="64">
        <v>680</v>
      </c>
      <c r="D12" s="13">
        <f t="shared" si="0"/>
        <v>11.333333333333334</v>
      </c>
      <c r="E12" s="40">
        <v>10</v>
      </c>
      <c r="F12" s="50">
        <v>0.13500000000000001</v>
      </c>
      <c r="G12" s="50">
        <v>0.127</v>
      </c>
      <c r="H12" s="50">
        <v>0.127</v>
      </c>
      <c r="I12" s="51">
        <f t="shared" si="2"/>
        <v>1.9575743333333335</v>
      </c>
      <c r="J12" s="51">
        <f t="shared" si="1"/>
        <v>7.3933166071346784E-2</v>
      </c>
    </row>
    <row r="13" spans="1:10">
      <c r="A13" s="63">
        <v>9</v>
      </c>
      <c r="B13" s="64">
        <v>80</v>
      </c>
      <c r="C13" s="64">
        <v>760</v>
      </c>
      <c r="D13" s="13">
        <f t="shared" si="0"/>
        <v>12.666666666666666</v>
      </c>
      <c r="E13" s="40">
        <v>10</v>
      </c>
      <c r="F13" s="50">
        <v>0.16</v>
      </c>
      <c r="G13" s="50">
        <v>0.157</v>
      </c>
      <c r="H13" s="50">
        <v>0.159</v>
      </c>
      <c r="I13" s="51">
        <f t="shared" si="2"/>
        <v>2.421777333333333</v>
      </c>
      <c r="J13" s="51">
        <f t="shared" si="1"/>
        <v>2.4451096383052734E-2</v>
      </c>
    </row>
    <row r="14" spans="1:10">
      <c r="A14" s="63">
        <v>10</v>
      </c>
      <c r="B14" s="64">
        <v>80</v>
      </c>
      <c r="C14" s="64">
        <v>840</v>
      </c>
      <c r="D14" s="13">
        <f t="shared" si="0"/>
        <v>14</v>
      </c>
      <c r="E14" s="40">
        <v>10</v>
      </c>
      <c r="F14" s="50">
        <v>0.16600000000000001</v>
      </c>
      <c r="G14" s="50">
        <v>0.16600000000000001</v>
      </c>
      <c r="H14" s="50">
        <v>0.17100000000000001</v>
      </c>
      <c r="I14" s="51">
        <f t="shared" si="2"/>
        <v>2.5658403333333335</v>
      </c>
      <c r="J14" s="51">
        <f t="shared" si="1"/>
        <v>4.620822879459173E-2</v>
      </c>
    </row>
    <row r="15" spans="1:10">
      <c r="A15" s="63">
        <v>11</v>
      </c>
      <c r="B15" s="64">
        <v>600</v>
      </c>
      <c r="C15" s="64">
        <v>1440</v>
      </c>
      <c r="D15" s="13">
        <f t="shared" si="0"/>
        <v>24</v>
      </c>
      <c r="E15" s="40">
        <v>10</v>
      </c>
      <c r="F15" s="50">
        <v>0.16900000000000001</v>
      </c>
      <c r="G15" s="50">
        <v>0.17399999999999999</v>
      </c>
      <c r="H15" s="50">
        <v>0.17100000000000001</v>
      </c>
      <c r="I15" s="51">
        <f t="shared" si="2"/>
        <v>2.6245326666666671</v>
      </c>
      <c r="J15" s="51">
        <f t="shared" si="1"/>
        <v>4.0283399935126106E-2</v>
      </c>
    </row>
    <row r="16" spans="1:10">
      <c r="A16" s="63">
        <v>12</v>
      </c>
      <c r="B16" s="64">
        <v>360</v>
      </c>
      <c r="C16" s="64">
        <v>1800</v>
      </c>
      <c r="D16" s="13">
        <f t="shared" si="0"/>
        <v>30</v>
      </c>
      <c r="E16" s="40">
        <v>10</v>
      </c>
      <c r="F16" s="50">
        <v>0.14699999999999999</v>
      </c>
      <c r="G16" s="50">
        <v>0.14399999999999999</v>
      </c>
      <c r="H16" s="50">
        <v>0.14499999999999999</v>
      </c>
      <c r="I16" s="51">
        <f t="shared" si="2"/>
        <v>2.2083506666666661</v>
      </c>
      <c r="J16" s="51">
        <f t="shared" si="1"/>
        <v>2.4451096383052734E-2</v>
      </c>
    </row>
    <row r="17" spans="1:10">
      <c r="A17" s="63">
        <v>13</v>
      </c>
      <c r="B17" s="64">
        <v>1080</v>
      </c>
      <c r="C17" s="64">
        <v>2880</v>
      </c>
      <c r="D17" s="13">
        <f t="shared" si="0"/>
        <v>48</v>
      </c>
      <c r="E17" s="40">
        <v>10</v>
      </c>
      <c r="F17" s="50">
        <v>9.6000000000000002E-2</v>
      </c>
      <c r="G17" s="50">
        <v>9.4E-2</v>
      </c>
      <c r="H17" s="50">
        <v>9.9000000000000005E-2</v>
      </c>
      <c r="I17" s="51">
        <f t="shared" si="2"/>
        <v>1.4240076666666668</v>
      </c>
      <c r="J17" s="51">
        <f t="shared" si="1"/>
        <v>4.0283399935126328E-2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7" sqref="D7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18" t="s">
        <v>4</v>
      </c>
      <c r="B1" s="118" t="s">
        <v>118</v>
      </c>
      <c r="C1" s="118" t="s">
        <v>118</v>
      </c>
      <c r="D1" s="118" t="s">
        <v>5</v>
      </c>
      <c r="E1" s="4" t="s">
        <v>29</v>
      </c>
      <c r="F1" s="4" t="s">
        <v>2</v>
      </c>
      <c r="G1" s="4" t="s">
        <v>32</v>
      </c>
    </row>
    <row r="2" spans="1:7">
      <c r="A2" s="119"/>
      <c r="B2" s="119"/>
      <c r="C2" s="119"/>
      <c r="D2" s="119"/>
      <c r="E2" s="5" t="s">
        <v>30</v>
      </c>
      <c r="F2" s="5" t="s">
        <v>31</v>
      </c>
      <c r="G2" s="5" t="s">
        <v>33</v>
      </c>
    </row>
    <row r="3" spans="1:7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1"/>
      <c r="F3" s="1"/>
      <c r="G3" s="1" t="e">
        <f>(F3-$C$19)/E3*1000*Calculation!I4/Calculation!K3</f>
        <v>#DIV/0!</v>
      </c>
    </row>
    <row r="4" spans="1:7">
      <c r="A4" s="63">
        <v>0</v>
      </c>
      <c r="B4" s="64">
        <v>10</v>
      </c>
      <c r="C4" s="64">
        <v>10</v>
      </c>
      <c r="D4" s="13">
        <f t="shared" ref="D4:D17" si="0">C4/60</f>
        <v>0.16666666666666666</v>
      </c>
      <c r="E4" s="1"/>
      <c r="F4" s="1"/>
      <c r="G4" s="1" t="e">
        <f>(F4-$C$19)/E4*1000*Calculation!I5/Calculation!K4</f>
        <v>#DIV/0!</v>
      </c>
    </row>
    <row r="5" spans="1:7">
      <c r="A5" s="63">
        <v>1</v>
      </c>
      <c r="B5" s="64">
        <v>110</v>
      </c>
      <c r="C5" s="64">
        <v>120</v>
      </c>
      <c r="D5" s="13">
        <f t="shared" si="0"/>
        <v>2</v>
      </c>
      <c r="E5" s="1"/>
      <c r="F5" s="1"/>
      <c r="G5" s="1" t="e">
        <f>(F5-$C$19)/E5*1000*Calculation!I6/Calculation!K5</f>
        <v>#DIV/0!</v>
      </c>
    </row>
    <row r="6" spans="1:7">
      <c r="A6" s="63">
        <v>2</v>
      </c>
      <c r="B6" s="64">
        <v>80</v>
      </c>
      <c r="C6" s="64">
        <v>200</v>
      </c>
      <c r="D6" s="13">
        <f t="shared" si="0"/>
        <v>3.3333333333333335</v>
      </c>
      <c r="E6" s="1"/>
      <c r="F6" s="1"/>
      <c r="G6" s="1" t="e">
        <f>(F6-$C$19)/E6*1000*Calculation!I7/Calculation!K6</f>
        <v>#DIV/0!</v>
      </c>
    </row>
    <row r="7" spans="1:7">
      <c r="A7" s="63">
        <v>3</v>
      </c>
      <c r="B7" s="64">
        <v>80</v>
      </c>
      <c r="C7" s="64">
        <v>280</v>
      </c>
      <c r="D7" s="13">
        <f t="shared" si="0"/>
        <v>4.666666666666667</v>
      </c>
      <c r="E7" s="1"/>
      <c r="F7" s="1"/>
      <c r="G7" s="1" t="e">
        <f>(F7-$C$19)/E7*1000*Calculation!I8/Calculation!K7</f>
        <v>#DIV/0!</v>
      </c>
    </row>
    <row r="8" spans="1:7">
      <c r="A8" s="63">
        <v>4</v>
      </c>
      <c r="B8" s="64">
        <v>80</v>
      </c>
      <c r="C8" s="64">
        <v>360</v>
      </c>
      <c r="D8" s="13">
        <f t="shared" si="0"/>
        <v>6</v>
      </c>
      <c r="E8" s="1"/>
      <c r="F8" s="1"/>
      <c r="G8" s="1" t="e">
        <f>(F8-$C$19)/E8*1000*Calculation!I9/Calculation!K8</f>
        <v>#DIV/0!</v>
      </c>
    </row>
    <row r="9" spans="1:7">
      <c r="A9" s="63">
        <v>5</v>
      </c>
      <c r="B9" s="64">
        <v>80</v>
      </c>
      <c r="C9" s="64">
        <v>440</v>
      </c>
      <c r="D9" s="13">
        <f t="shared" si="0"/>
        <v>7.333333333333333</v>
      </c>
      <c r="E9" s="1"/>
      <c r="F9" s="1"/>
      <c r="G9" s="1" t="e">
        <f>(F9-$C$19)/E9*1000*Calculation!I10/Calculation!K9</f>
        <v>#DIV/0!</v>
      </c>
    </row>
    <row r="10" spans="1:7">
      <c r="A10" s="63">
        <v>6</v>
      </c>
      <c r="B10" s="64">
        <v>80</v>
      </c>
      <c r="C10" s="64">
        <v>520</v>
      </c>
      <c r="D10" s="13">
        <f t="shared" si="0"/>
        <v>8.6666666666666661</v>
      </c>
      <c r="E10" s="1"/>
      <c r="F10" s="1"/>
      <c r="G10" s="1" t="e">
        <f>(F10-$C$19)/E10*1000*Calculation!I11/Calculation!K10</f>
        <v>#DIV/0!</v>
      </c>
    </row>
    <row r="11" spans="1:7">
      <c r="A11" s="63">
        <v>7</v>
      </c>
      <c r="B11" s="64">
        <v>80</v>
      </c>
      <c r="C11" s="64">
        <v>600</v>
      </c>
      <c r="D11" s="13">
        <f t="shared" si="0"/>
        <v>10</v>
      </c>
      <c r="E11" s="1"/>
      <c r="F11" s="1"/>
      <c r="G11" s="1" t="e">
        <f>(F11-$C$19)/E11*1000*Calculation!I12/Calculation!K11</f>
        <v>#DIV/0!</v>
      </c>
    </row>
    <row r="12" spans="1:7">
      <c r="A12" s="63">
        <v>8</v>
      </c>
      <c r="B12" s="64">
        <v>80</v>
      </c>
      <c r="C12" s="64">
        <v>680</v>
      </c>
      <c r="D12" s="13">
        <f t="shared" si="0"/>
        <v>11.333333333333334</v>
      </c>
      <c r="E12" s="1"/>
      <c r="F12" s="1"/>
      <c r="G12" s="1" t="e">
        <f>(F12-$C$19)/E12*1000*Calculation!I13/Calculation!K12</f>
        <v>#DIV/0!</v>
      </c>
    </row>
    <row r="13" spans="1:7">
      <c r="A13" s="63">
        <v>9</v>
      </c>
      <c r="B13" s="64">
        <v>80</v>
      </c>
      <c r="C13" s="64">
        <v>760</v>
      </c>
      <c r="D13" s="13">
        <f t="shared" si="0"/>
        <v>12.666666666666666</v>
      </c>
      <c r="E13" s="37"/>
      <c r="F13" s="37"/>
      <c r="G13" s="37" t="e">
        <f>(F13-$C$19)/E13*1000*Calculation!I14/Calculation!K13</f>
        <v>#DIV/0!</v>
      </c>
    </row>
    <row r="14" spans="1:7">
      <c r="A14" s="63">
        <v>10</v>
      </c>
      <c r="B14" s="64">
        <v>80</v>
      </c>
      <c r="C14" s="64">
        <v>840</v>
      </c>
      <c r="D14" s="13">
        <f t="shared" si="0"/>
        <v>14</v>
      </c>
      <c r="E14" s="37"/>
      <c r="F14" s="37"/>
      <c r="G14" s="37" t="e">
        <f>(F14-$C$19)/E14*1000*Calculation!I15/Calculation!K14</f>
        <v>#DIV/0!</v>
      </c>
    </row>
    <row r="15" spans="1:7">
      <c r="A15" s="63">
        <v>11</v>
      </c>
      <c r="B15" s="64">
        <v>600</v>
      </c>
      <c r="C15" s="64">
        <v>1440</v>
      </c>
      <c r="D15" s="13">
        <f t="shared" si="0"/>
        <v>24</v>
      </c>
      <c r="E15" s="37"/>
      <c r="F15" s="37"/>
      <c r="G15" s="37" t="e">
        <f>(F15-$C$19)/E15*1000*Calculation!I16/Calculation!K15</f>
        <v>#DIV/0!</v>
      </c>
    </row>
    <row r="16" spans="1:7">
      <c r="A16" s="63">
        <v>12</v>
      </c>
      <c r="B16" s="64">
        <v>360</v>
      </c>
      <c r="C16" s="64">
        <v>1800</v>
      </c>
      <c r="D16" s="13">
        <f t="shared" si="0"/>
        <v>30</v>
      </c>
      <c r="E16" s="37"/>
      <c r="F16" s="37"/>
      <c r="G16" s="37" t="e">
        <f>(F16-$C$19)/E16*1000*Calculation!I17/Calculation!K16</f>
        <v>#DIV/0!</v>
      </c>
    </row>
    <row r="17" spans="1:7" ht="15" customHeight="1">
      <c r="A17" s="63">
        <v>13</v>
      </c>
      <c r="B17" s="64">
        <v>1080</v>
      </c>
      <c r="C17" s="64">
        <v>2880</v>
      </c>
      <c r="D17" s="13">
        <f t="shared" si="0"/>
        <v>48</v>
      </c>
      <c r="E17" s="37"/>
      <c r="F17" s="37"/>
      <c r="G17" s="37" t="e">
        <f>(F17-$C$19)/E17*1000*Calculation!#REF!/Calculation!K17</f>
        <v>#DIV/0!</v>
      </c>
    </row>
    <row r="19" spans="1:7">
      <c r="A19" s="140" t="s">
        <v>3</v>
      </c>
      <c r="B19" s="141"/>
      <c r="C19" s="1"/>
    </row>
  </sheetData>
  <mergeCells count="5">
    <mergeCell ref="A19:B19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4" t="s">
        <v>50</v>
      </c>
      <c r="B1" s="12">
        <v>70</v>
      </c>
      <c r="C1" s="27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17" t="s">
        <v>5</v>
      </c>
      <c r="B3" s="117" t="s">
        <v>36</v>
      </c>
      <c r="C3" s="117"/>
      <c r="D3" s="117" t="s">
        <v>52</v>
      </c>
      <c r="E3" s="117"/>
      <c r="F3" s="117"/>
      <c r="G3" s="24" t="s">
        <v>53</v>
      </c>
    </row>
    <row r="4" spans="1:10">
      <c r="A4" s="117"/>
      <c r="B4" s="24" t="s">
        <v>54</v>
      </c>
      <c r="C4" s="24" t="s">
        <v>55</v>
      </c>
      <c r="D4" s="24" t="s">
        <v>56</v>
      </c>
      <c r="E4" s="24" t="s">
        <v>57</v>
      </c>
      <c r="F4" s="24" t="s">
        <v>58</v>
      </c>
      <c r="G4" s="24" t="s">
        <v>59</v>
      </c>
    </row>
    <row r="5" spans="1:10">
      <c r="A5" s="12">
        <v>0</v>
      </c>
      <c r="B5" s="12">
        <v>0</v>
      </c>
      <c r="C5" s="12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  <c r="I5" s="77">
        <v>-0.16666666666666666</v>
      </c>
      <c r="J5" t="s">
        <v>156</v>
      </c>
    </row>
    <row r="6" spans="1:10">
      <c r="A6" s="12">
        <v>0.5</v>
      </c>
      <c r="B6" s="12">
        <v>0</v>
      </c>
      <c r="C6" s="12">
        <f t="shared" ref="C6:C69" si="0">B6/1000</f>
        <v>0</v>
      </c>
      <c r="D6" s="12">
        <f>C6/1000*$B$1</f>
        <v>0</v>
      </c>
      <c r="E6" s="12">
        <f>D6/22.4</f>
        <v>0</v>
      </c>
      <c r="F6" s="12">
        <f>E6/Calculation!K$4*1000</f>
        <v>0</v>
      </c>
      <c r="G6" s="12">
        <f>G5+(F6+F5)/2*30</f>
        <v>0</v>
      </c>
      <c r="I6" s="77">
        <v>0.16666666666666666</v>
      </c>
      <c r="J6" t="s">
        <v>157</v>
      </c>
    </row>
    <row r="7" spans="1:10">
      <c r="A7" s="12">
        <v>1</v>
      </c>
      <c r="B7" s="12">
        <v>0</v>
      </c>
      <c r="C7" s="12">
        <f t="shared" si="0"/>
        <v>0</v>
      </c>
      <c r="D7" s="12">
        <f t="shared" ref="D7:D69" si="1">C7/1000*$B$1</f>
        <v>0</v>
      </c>
      <c r="E7" s="12">
        <f t="shared" ref="E7:E69" si="2">D7/22.4</f>
        <v>0</v>
      </c>
      <c r="F7" s="12">
        <f>E7/Calculation!K$4*1000</f>
        <v>0</v>
      </c>
      <c r="G7" s="12">
        <f t="shared" ref="G7:G70" si="3">G6+(F7+F6)/2*30</f>
        <v>0</v>
      </c>
      <c r="I7" s="77">
        <v>2</v>
      </c>
      <c r="J7" t="s">
        <v>158</v>
      </c>
    </row>
    <row r="8" spans="1:10">
      <c r="A8" s="12">
        <v>1.5</v>
      </c>
      <c r="B8" s="12">
        <v>0</v>
      </c>
      <c r="C8" s="12">
        <f t="shared" si="0"/>
        <v>0</v>
      </c>
      <c r="D8" s="12">
        <f t="shared" si="1"/>
        <v>0</v>
      </c>
      <c r="E8" s="12">
        <f t="shared" si="2"/>
        <v>0</v>
      </c>
      <c r="F8" s="12">
        <f>E8/Calculation!K$4*1000</f>
        <v>0</v>
      </c>
      <c r="G8" s="12">
        <f t="shared" si="3"/>
        <v>0</v>
      </c>
      <c r="I8" s="77">
        <v>3.3333333333333335</v>
      </c>
      <c r="J8" t="s">
        <v>159</v>
      </c>
    </row>
    <row r="9" spans="1:10">
      <c r="A9" s="12">
        <v>2</v>
      </c>
      <c r="B9" s="12">
        <v>0</v>
      </c>
      <c r="C9" s="12">
        <f t="shared" si="0"/>
        <v>0</v>
      </c>
      <c r="D9" s="12">
        <f t="shared" si="1"/>
        <v>0</v>
      </c>
      <c r="E9" s="12">
        <f t="shared" si="2"/>
        <v>0</v>
      </c>
      <c r="F9" s="12">
        <f>E9/Calculation!K$5*1000</f>
        <v>0</v>
      </c>
      <c r="G9" s="12">
        <f t="shared" si="3"/>
        <v>0</v>
      </c>
      <c r="I9" s="77">
        <v>4.666666666666667</v>
      </c>
      <c r="J9" t="s">
        <v>160</v>
      </c>
    </row>
    <row r="10" spans="1:10">
      <c r="A10" s="12">
        <v>2.5</v>
      </c>
      <c r="B10" s="12">
        <v>0</v>
      </c>
      <c r="C10" s="12">
        <f t="shared" si="0"/>
        <v>0</v>
      </c>
      <c r="D10" s="12">
        <f t="shared" si="1"/>
        <v>0</v>
      </c>
      <c r="E10" s="12">
        <f t="shared" si="2"/>
        <v>0</v>
      </c>
      <c r="F10" s="12">
        <f>E10/Calculation!K$5*1000</f>
        <v>0</v>
      </c>
      <c r="G10" s="12">
        <f t="shared" si="3"/>
        <v>0</v>
      </c>
      <c r="I10" s="77">
        <v>6</v>
      </c>
      <c r="J10" t="s">
        <v>161</v>
      </c>
    </row>
    <row r="11" spans="1:10">
      <c r="A11" s="12">
        <v>3</v>
      </c>
      <c r="B11" s="12">
        <v>0</v>
      </c>
      <c r="C11" s="12">
        <f t="shared" si="0"/>
        <v>0</v>
      </c>
      <c r="D11" s="12">
        <f t="shared" si="1"/>
        <v>0</v>
      </c>
      <c r="E11" s="12">
        <f t="shared" si="2"/>
        <v>0</v>
      </c>
      <c r="F11" s="12">
        <f>E11/Calculation!K$5*1000</f>
        <v>0</v>
      </c>
      <c r="G11" s="12">
        <f t="shared" si="3"/>
        <v>0</v>
      </c>
      <c r="I11" s="77">
        <v>7.333333333333333</v>
      </c>
      <c r="J11" t="s">
        <v>162</v>
      </c>
    </row>
    <row r="12" spans="1:10">
      <c r="A12" s="12">
        <v>3.5</v>
      </c>
      <c r="B12" s="12">
        <v>0</v>
      </c>
      <c r="C12" s="12">
        <f t="shared" si="0"/>
        <v>0</v>
      </c>
      <c r="D12" s="12">
        <f t="shared" si="1"/>
        <v>0</v>
      </c>
      <c r="E12" s="12">
        <f t="shared" si="2"/>
        <v>0</v>
      </c>
      <c r="F12" s="12">
        <f>E12/Calculation!K$6*1000</f>
        <v>0</v>
      </c>
      <c r="G12" s="12">
        <f t="shared" si="3"/>
        <v>0</v>
      </c>
      <c r="I12" s="77">
        <v>8.6666666666666661</v>
      </c>
      <c r="J12" t="s">
        <v>163</v>
      </c>
    </row>
    <row r="13" spans="1:10">
      <c r="A13" s="12">
        <v>4</v>
      </c>
      <c r="B13" s="12">
        <v>0</v>
      </c>
      <c r="C13" s="12">
        <f t="shared" si="0"/>
        <v>0</v>
      </c>
      <c r="D13" s="12">
        <f t="shared" si="1"/>
        <v>0</v>
      </c>
      <c r="E13" s="12">
        <f t="shared" si="2"/>
        <v>0</v>
      </c>
      <c r="F13" s="12">
        <f>E13/Calculation!K$6*1000</f>
        <v>0</v>
      </c>
      <c r="G13" s="12">
        <f t="shared" si="3"/>
        <v>0</v>
      </c>
      <c r="I13" s="77">
        <v>10</v>
      </c>
      <c r="J13" t="s">
        <v>164</v>
      </c>
    </row>
    <row r="14" spans="1:10">
      <c r="A14" s="12">
        <v>4.5</v>
      </c>
      <c r="B14" s="12">
        <v>0</v>
      </c>
      <c r="C14" s="12">
        <f t="shared" si="0"/>
        <v>0</v>
      </c>
      <c r="D14" s="12">
        <f t="shared" si="1"/>
        <v>0</v>
      </c>
      <c r="E14" s="12">
        <f t="shared" si="2"/>
        <v>0</v>
      </c>
      <c r="F14" s="12">
        <f>E14/Calculation!K$6*1000</f>
        <v>0</v>
      </c>
      <c r="G14" s="12">
        <f t="shared" si="3"/>
        <v>0</v>
      </c>
      <c r="I14" s="77">
        <v>11.333333333333334</v>
      </c>
      <c r="J14" t="s">
        <v>165</v>
      </c>
    </row>
    <row r="15" spans="1:10">
      <c r="A15" s="12">
        <v>5</v>
      </c>
      <c r="B15" s="12">
        <v>0</v>
      </c>
      <c r="C15" s="12">
        <f t="shared" si="0"/>
        <v>0</v>
      </c>
      <c r="D15" s="12">
        <f t="shared" si="1"/>
        <v>0</v>
      </c>
      <c r="E15" s="12">
        <f t="shared" si="2"/>
        <v>0</v>
      </c>
      <c r="F15" s="12">
        <f>E15/Calculation!K$7*1000</f>
        <v>0</v>
      </c>
      <c r="G15" s="12">
        <f t="shared" si="3"/>
        <v>0</v>
      </c>
      <c r="I15" s="77">
        <v>12.666666666666666</v>
      </c>
      <c r="J15" t="s">
        <v>166</v>
      </c>
    </row>
    <row r="16" spans="1:10">
      <c r="A16" s="12">
        <v>5.5</v>
      </c>
      <c r="B16" s="12">
        <v>0</v>
      </c>
      <c r="C16" s="12">
        <f t="shared" si="0"/>
        <v>0</v>
      </c>
      <c r="D16" s="12">
        <f t="shared" si="1"/>
        <v>0</v>
      </c>
      <c r="E16" s="12">
        <f t="shared" si="2"/>
        <v>0</v>
      </c>
      <c r="F16" s="12">
        <f>E16/Calculation!K$7*1000</f>
        <v>0</v>
      </c>
      <c r="G16" s="12">
        <f t="shared" si="3"/>
        <v>0</v>
      </c>
      <c r="I16" s="77">
        <v>14</v>
      </c>
      <c r="J16" t="s">
        <v>167</v>
      </c>
    </row>
    <row r="17" spans="1:10">
      <c r="A17" s="12">
        <v>6</v>
      </c>
      <c r="B17" s="12">
        <v>0</v>
      </c>
      <c r="C17" s="12">
        <f t="shared" si="0"/>
        <v>0</v>
      </c>
      <c r="D17" s="12">
        <f t="shared" si="1"/>
        <v>0</v>
      </c>
      <c r="E17" s="12">
        <f t="shared" si="2"/>
        <v>0</v>
      </c>
      <c r="F17" s="12">
        <f>E17/Calculation!K$8*1000</f>
        <v>0</v>
      </c>
      <c r="G17" s="12">
        <f t="shared" si="3"/>
        <v>0</v>
      </c>
      <c r="I17" s="77">
        <v>24</v>
      </c>
      <c r="J17" t="s">
        <v>168</v>
      </c>
    </row>
    <row r="18" spans="1:10">
      <c r="A18" s="12">
        <v>6.5</v>
      </c>
      <c r="B18" s="12">
        <v>0</v>
      </c>
      <c r="C18" s="12">
        <f t="shared" si="0"/>
        <v>0</v>
      </c>
      <c r="D18" s="12">
        <f t="shared" si="1"/>
        <v>0</v>
      </c>
      <c r="E18" s="12">
        <f t="shared" si="2"/>
        <v>0</v>
      </c>
      <c r="F18" s="12">
        <f>E18/Calculation!K$8*1000</f>
        <v>0</v>
      </c>
      <c r="G18" s="12">
        <f t="shared" si="3"/>
        <v>0</v>
      </c>
      <c r="I18" s="77">
        <v>30</v>
      </c>
      <c r="J18" t="s">
        <v>169</v>
      </c>
    </row>
    <row r="19" spans="1:10">
      <c r="A19" s="12">
        <v>7</v>
      </c>
      <c r="B19" s="12">
        <v>0</v>
      </c>
      <c r="C19" s="12">
        <f t="shared" si="0"/>
        <v>0</v>
      </c>
      <c r="D19" s="12">
        <f t="shared" si="1"/>
        <v>0</v>
      </c>
      <c r="E19" s="12">
        <f t="shared" si="2"/>
        <v>0</v>
      </c>
      <c r="F19" s="12">
        <f>E19/Calculation!K$8*1000</f>
        <v>0</v>
      </c>
      <c r="G19" s="12">
        <f t="shared" si="3"/>
        <v>0</v>
      </c>
      <c r="I19" s="77">
        <v>48</v>
      </c>
      <c r="J19" t="s">
        <v>170</v>
      </c>
    </row>
    <row r="20" spans="1:10">
      <c r="A20" s="12">
        <v>7.5</v>
      </c>
      <c r="B20" s="12">
        <v>0</v>
      </c>
      <c r="C20" s="12">
        <f t="shared" si="0"/>
        <v>0</v>
      </c>
      <c r="D20" s="12">
        <f t="shared" si="1"/>
        <v>0</v>
      </c>
      <c r="E20" s="12">
        <f t="shared" si="2"/>
        <v>0</v>
      </c>
      <c r="F20" s="12">
        <f>E20/Calculation!K$9*1000</f>
        <v>0</v>
      </c>
      <c r="G20" s="12">
        <f t="shared" si="3"/>
        <v>0</v>
      </c>
    </row>
    <row r="21" spans="1:10">
      <c r="A21" s="12">
        <v>8</v>
      </c>
      <c r="B21" s="12">
        <v>0</v>
      </c>
      <c r="C21" s="12">
        <f t="shared" si="0"/>
        <v>0</v>
      </c>
      <c r="D21" s="12">
        <f t="shared" si="1"/>
        <v>0</v>
      </c>
      <c r="E21" s="12">
        <f t="shared" si="2"/>
        <v>0</v>
      </c>
      <c r="F21" s="12">
        <f>E21/Calculation!K$9*1000</f>
        <v>0</v>
      </c>
      <c r="G21" s="12">
        <f t="shared" si="3"/>
        <v>0</v>
      </c>
    </row>
    <row r="22" spans="1:10">
      <c r="A22" s="12">
        <v>8.5</v>
      </c>
      <c r="B22" s="12">
        <v>0</v>
      </c>
      <c r="C22" s="12">
        <f t="shared" si="0"/>
        <v>0</v>
      </c>
      <c r="D22" s="12">
        <f t="shared" si="1"/>
        <v>0</v>
      </c>
      <c r="E22" s="12">
        <f t="shared" si="2"/>
        <v>0</v>
      </c>
      <c r="F22" s="12">
        <f>E22/Calculation!K$9*1000</f>
        <v>0</v>
      </c>
      <c r="G22" s="12">
        <f t="shared" si="3"/>
        <v>0</v>
      </c>
    </row>
    <row r="23" spans="1:10">
      <c r="A23" s="12">
        <v>9</v>
      </c>
      <c r="B23" s="12">
        <v>0</v>
      </c>
      <c r="C23" s="12">
        <f t="shared" si="0"/>
        <v>0</v>
      </c>
      <c r="D23" s="12">
        <f t="shared" si="1"/>
        <v>0</v>
      </c>
      <c r="E23" s="12">
        <f t="shared" si="2"/>
        <v>0</v>
      </c>
      <c r="F23" s="12">
        <f>E23/Calculation!K$10*1000</f>
        <v>0</v>
      </c>
      <c r="G23" s="12">
        <f t="shared" si="3"/>
        <v>0</v>
      </c>
    </row>
    <row r="24" spans="1:10">
      <c r="A24" s="12">
        <v>9.5</v>
      </c>
      <c r="B24" s="12">
        <v>0</v>
      </c>
      <c r="C24" s="12">
        <f t="shared" si="0"/>
        <v>0</v>
      </c>
      <c r="D24" s="12">
        <f t="shared" si="1"/>
        <v>0</v>
      </c>
      <c r="E24" s="12">
        <f t="shared" si="2"/>
        <v>0</v>
      </c>
      <c r="F24" s="12">
        <f>E24/Calculation!K$10*1000</f>
        <v>0</v>
      </c>
      <c r="G24" s="12">
        <f t="shared" si="3"/>
        <v>0</v>
      </c>
    </row>
    <row r="25" spans="1:10">
      <c r="A25" s="12">
        <v>10</v>
      </c>
      <c r="B25" s="12">
        <v>0</v>
      </c>
      <c r="C25" s="12">
        <f t="shared" si="0"/>
        <v>0</v>
      </c>
      <c r="D25" s="12">
        <f t="shared" si="1"/>
        <v>0</v>
      </c>
      <c r="E25" s="12">
        <f t="shared" si="2"/>
        <v>0</v>
      </c>
      <c r="F25" s="12">
        <f>E25/Calculation!K$11*1000</f>
        <v>0</v>
      </c>
      <c r="G25" s="12">
        <f t="shared" si="3"/>
        <v>0</v>
      </c>
    </row>
    <row r="26" spans="1:10">
      <c r="A26" s="12">
        <v>10.5</v>
      </c>
      <c r="B26" s="12">
        <v>0</v>
      </c>
      <c r="C26" s="12">
        <f t="shared" si="0"/>
        <v>0</v>
      </c>
      <c r="D26" s="12">
        <f t="shared" si="1"/>
        <v>0</v>
      </c>
      <c r="E26" s="12">
        <f t="shared" si="2"/>
        <v>0</v>
      </c>
      <c r="F26" s="12">
        <f>E26/Calculation!K$11*1000</f>
        <v>0</v>
      </c>
      <c r="G26" s="12">
        <f t="shared" si="3"/>
        <v>0</v>
      </c>
    </row>
    <row r="27" spans="1:10">
      <c r="A27" s="12">
        <v>11</v>
      </c>
      <c r="B27" s="12">
        <v>0</v>
      </c>
      <c r="C27" s="12">
        <f t="shared" si="0"/>
        <v>0</v>
      </c>
      <c r="D27" s="12">
        <f t="shared" si="1"/>
        <v>0</v>
      </c>
      <c r="E27" s="12">
        <f t="shared" si="2"/>
        <v>0</v>
      </c>
      <c r="F27" s="12">
        <f>E27/Calculation!K$11*1000</f>
        <v>0</v>
      </c>
      <c r="G27" s="12">
        <f t="shared" si="3"/>
        <v>0</v>
      </c>
    </row>
    <row r="28" spans="1:10">
      <c r="A28" s="12">
        <v>11.5</v>
      </c>
      <c r="B28" s="12">
        <v>0</v>
      </c>
      <c r="C28" s="12">
        <f t="shared" si="0"/>
        <v>0</v>
      </c>
      <c r="D28" s="12">
        <f t="shared" si="1"/>
        <v>0</v>
      </c>
      <c r="E28" s="12">
        <f t="shared" si="2"/>
        <v>0</v>
      </c>
      <c r="F28" s="12">
        <f>E28/Calculation!K$12*1000</f>
        <v>0</v>
      </c>
      <c r="G28" s="12">
        <f t="shared" si="3"/>
        <v>0</v>
      </c>
    </row>
    <row r="29" spans="1:10">
      <c r="A29" s="12">
        <v>12</v>
      </c>
      <c r="B29" s="12">
        <v>0</v>
      </c>
      <c r="C29" s="12">
        <f t="shared" si="0"/>
        <v>0</v>
      </c>
      <c r="D29" s="12">
        <f t="shared" si="1"/>
        <v>0</v>
      </c>
      <c r="E29" s="12">
        <f t="shared" si="2"/>
        <v>0</v>
      </c>
      <c r="F29" s="12">
        <f>E29/Calculation!K$12*1000</f>
        <v>0</v>
      </c>
      <c r="G29" s="12">
        <f t="shared" si="3"/>
        <v>0</v>
      </c>
    </row>
    <row r="30" spans="1:10">
      <c r="A30" s="12">
        <v>12.5</v>
      </c>
      <c r="B30" s="12">
        <v>0</v>
      </c>
      <c r="C30" s="12">
        <f t="shared" si="0"/>
        <v>0</v>
      </c>
      <c r="D30" s="12">
        <f t="shared" si="1"/>
        <v>0</v>
      </c>
      <c r="E30" s="12">
        <f t="shared" si="2"/>
        <v>0</v>
      </c>
      <c r="F30" s="12">
        <f>E30/Calculation!K$12*1000</f>
        <v>0</v>
      </c>
      <c r="G30" s="12">
        <f t="shared" si="3"/>
        <v>0</v>
      </c>
    </row>
    <row r="31" spans="1:10">
      <c r="A31" s="12">
        <v>13</v>
      </c>
      <c r="B31" s="12">
        <v>0</v>
      </c>
      <c r="C31" s="12">
        <f t="shared" si="0"/>
        <v>0</v>
      </c>
      <c r="D31" s="12">
        <f t="shared" si="1"/>
        <v>0</v>
      </c>
      <c r="E31" s="12">
        <f t="shared" si="2"/>
        <v>0</v>
      </c>
      <c r="F31" s="12">
        <f>E31/Calculation!K$13*1000</f>
        <v>0</v>
      </c>
      <c r="G31" s="12">
        <f t="shared" si="3"/>
        <v>0</v>
      </c>
    </row>
    <row r="32" spans="1:10">
      <c r="A32" s="12">
        <v>13.5</v>
      </c>
      <c r="B32" s="12">
        <v>0</v>
      </c>
      <c r="C32" s="12">
        <f t="shared" si="0"/>
        <v>0</v>
      </c>
      <c r="D32" s="12">
        <f t="shared" si="1"/>
        <v>0</v>
      </c>
      <c r="E32" s="12">
        <f t="shared" si="2"/>
        <v>0</v>
      </c>
      <c r="F32" s="12">
        <f>E32/Calculation!K$13*1000</f>
        <v>0</v>
      </c>
      <c r="G32" s="12">
        <f t="shared" si="3"/>
        <v>0</v>
      </c>
    </row>
    <row r="33" spans="1:7">
      <c r="A33" s="12">
        <v>14</v>
      </c>
      <c r="B33" s="12">
        <v>0</v>
      </c>
      <c r="C33" s="12">
        <f t="shared" si="0"/>
        <v>0</v>
      </c>
      <c r="D33" s="12">
        <f t="shared" si="1"/>
        <v>0</v>
      </c>
      <c r="E33" s="12">
        <f t="shared" si="2"/>
        <v>0</v>
      </c>
      <c r="F33" s="12">
        <f>E33/Calculation!K$14*1000</f>
        <v>0</v>
      </c>
      <c r="G33" s="12">
        <f t="shared" si="3"/>
        <v>0</v>
      </c>
    </row>
    <row r="34" spans="1:7">
      <c r="A34" s="12">
        <v>14.5</v>
      </c>
      <c r="B34" s="12">
        <v>0</v>
      </c>
      <c r="C34" s="12">
        <f t="shared" si="0"/>
        <v>0</v>
      </c>
      <c r="D34" s="12">
        <f t="shared" si="1"/>
        <v>0</v>
      </c>
      <c r="E34" s="12">
        <f t="shared" si="2"/>
        <v>0</v>
      </c>
      <c r="F34" s="12">
        <f>E34/Calculation!K$14*1000</f>
        <v>0</v>
      </c>
      <c r="G34" s="12">
        <f t="shared" si="3"/>
        <v>0</v>
      </c>
    </row>
    <row r="35" spans="1:7">
      <c r="A35" s="12">
        <v>15</v>
      </c>
      <c r="B35" s="12">
        <v>0</v>
      </c>
      <c r="C35" s="12">
        <f t="shared" si="0"/>
        <v>0</v>
      </c>
      <c r="D35" s="12">
        <f t="shared" si="1"/>
        <v>0</v>
      </c>
      <c r="E35" s="12">
        <f t="shared" si="2"/>
        <v>0</v>
      </c>
      <c r="F35" s="12">
        <f>E35/Calculation!K$14*1000</f>
        <v>0</v>
      </c>
      <c r="G35" s="12">
        <f t="shared" si="3"/>
        <v>0</v>
      </c>
    </row>
    <row r="36" spans="1:7">
      <c r="A36" s="12">
        <v>15.5</v>
      </c>
      <c r="B36" s="12">
        <v>0</v>
      </c>
      <c r="C36" s="12">
        <f t="shared" si="0"/>
        <v>0</v>
      </c>
      <c r="D36" s="12">
        <f t="shared" si="1"/>
        <v>0</v>
      </c>
      <c r="E36" s="12">
        <f t="shared" si="2"/>
        <v>0</v>
      </c>
      <c r="F36" s="12">
        <f>E36/Calculation!K$14*1000</f>
        <v>0</v>
      </c>
      <c r="G36" s="12">
        <f t="shared" si="3"/>
        <v>0</v>
      </c>
    </row>
    <row r="37" spans="1:7">
      <c r="A37" s="12">
        <v>16</v>
      </c>
      <c r="B37" s="12">
        <v>0</v>
      </c>
      <c r="C37" s="12">
        <f t="shared" si="0"/>
        <v>0</v>
      </c>
      <c r="D37" s="12">
        <f t="shared" si="1"/>
        <v>0</v>
      </c>
      <c r="E37" s="12">
        <f t="shared" si="2"/>
        <v>0</v>
      </c>
      <c r="F37" s="12">
        <f>E37/Calculation!K$14*1000</f>
        <v>0</v>
      </c>
      <c r="G37" s="12">
        <f t="shared" si="3"/>
        <v>0</v>
      </c>
    </row>
    <row r="38" spans="1:7">
      <c r="A38" s="12">
        <v>16.5</v>
      </c>
      <c r="B38" s="12">
        <v>0</v>
      </c>
      <c r="C38" s="12">
        <f t="shared" si="0"/>
        <v>0</v>
      </c>
      <c r="D38" s="12">
        <f t="shared" si="1"/>
        <v>0</v>
      </c>
      <c r="E38" s="12">
        <f t="shared" si="2"/>
        <v>0</v>
      </c>
      <c r="F38" s="12">
        <f>E38/Calculation!K$14*1000</f>
        <v>0</v>
      </c>
      <c r="G38" s="12">
        <f t="shared" si="3"/>
        <v>0</v>
      </c>
    </row>
    <row r="39" spans="1:7">
      <c r="A39" s="12">
        <v>17</v>
      </c>
      <c r="B39" s="12">
        <v>0</v>
      </c>
      <c r="C39" s="12">
        <f t="shared" si="0"/>
        <v>0</v>
      </c>
      <c r="D39" s="12">
        <f t="shared" si="1"/>
        <v>0</v>
      </c>
      <c r="E39" s="12">
        <f t="shared" si="2"/>
        <v>0</v>
      </c>
      <c r="F39" s="12">
        <f>E39/Calculation!K$14*1000</f>
        <v>0</v>
      </c>
      <c r="G39" s="12">
        <f t="shared" si="3"/>
        <v>0</v>
      </c>
    </row>
    <row r="40" spans="1:7">
      <c r="A40" s="12">
        <v>17.5</v>
      </c>
      <c r="B40" s="12">
        <v>0</v>
      </c>
      <c r="C40" s="12">
        <f t="shared" si="0"/>
        <v>0</v>
      </c>
      <c r="D40" s="12">
        <f t="shared" si="1"/>
        <v>0</v>
      </c>
      <c r="E40" s="12">
        <f t="shared" si="2"/>
        <v>0</v>
      </c>
      <c r="F40" s="12">
        <f>E40/Calculation!K$14*1000</f>
        <v>0</v>
      </c>
      <c r="G40" s="12">
        <f t="shared" si="3"/>
        <v>0</v>
      </c>
    </row>
    <row r="41" spans="1:7">
      <c r="A41" s="12">
        <v>18</v>
      </c>
      <c r="B41" s="12">
        <v>0</v>
      </c>
      <c r="C41" s="12">
        <f t="shared" si="0"/>
        <v>0</v>
      </c>
      <c r="D41" s="12">
        <f t="shared" si="1"/>
        <v>0</v>
      </c>
      <c r="E41" s="12">
        <f t="shared" si="2"/>
        <v>0</v>
      </c>
      <c r="F41" s="12">
        <f>E41/Calculation!K$14*1000</f>
        <v>0</v>
      </c>
      <c r="G41" s="12">
        <f t="shared" si="3"/>
        <v>0</v>
      </c>
    </row>
    <row r="42" spans="1:7">
      <c r="A42" s="12">
        <v>18.5</v>
      </c>
      <c r="B42" s="12">
        <v>0</v>
      </c>
      <c r="C42" s="12">
        <f t="shared" si="0"/>
        <v>0</v>
      </c>
      <c r="D42" s="12">
        <f t="shared" si="1"/>
        <v>0</v>
      </c>
      <c r="E42" s="12">
        <f t="shared" si="2"/>
        <v>0</v>
      </c>
      <c r="F42" s="12">
        <f>E42/Calculation!K$14*1000</f>
        <v>0</v>
      </c>
      <c r="G42" s="12">
        <f t="shared" si="3"/>
        <v>0</v>
      </c>
    </row>
    <row r="43" spans="1:7">
      <c r="A43" s="12">
        <v>19</v>
      </c>
      <c r="B43" s="12">
        <v>0</v>
      </c>
      <c r="C43" s="12">
        <f t="shared" si="0"/>
        <v>0</v>
      </c>
      <c r="D43" s="12">
        <f t="shared" si="1"/>
        <v>0</v>
      </c>
      <c r="E43" s="12">
        <f t="shared" si="2"/>
        <v>0</v>
      </c>
      <c r="F43" s="12">
        <f>E43/Calculation!K$14*1000</f>
        <v>0</v>
      </c>
      <c r="G43" s="12">
        <f t="shared" si="3"/>
        <v>0</v>
      </c>
    </row>
    <row r="44" spans="1:7">
      <c r="A44" s="12">
        <v>19.5</v>
      </c>
      <c r="B44" s="12">
        <v>0</v>
      </c>
      <c r="C44" s="12">
        <f t="shared" si="0"/>
        <v>0</v>
      </c>
      <c r="D44" s="12">
        <f t="shared" si="1"/>
        <v>0</v>
      </c>
      <c r="E44" s="12">
        <f t="shared" si="2"/>
        <v>0</v>
      </c>
      <c r="F44" s="12">
        <f>E44/Calculation!K$14*1000</f>
        <v>0</v>
      </c>
      <c r="G44" s="12">
        <f t="shared" si="3"/>
        <v>0</v>
      </c>
    </row>
    <row r="45" spans="1:7">
      <c r="A45" s="12">
        <v>20</v>
      </c>
      <c r="B45" s="12">
        <v>0</v>
      </c>
      <c r="C45" s="12">
        <f t="shared" si="0"/>
        <v>0</v>
      </c>
      <c r="D45" s="12">
        <f t="shared" si="1"/>
        <v>0</v>
      </c>
      <c r="E45" s="12">
        <f t="shared" si="2"/>
        <v>0</v>
      </c>
      <c r="F45" s="12">
        <f>E45/Calculation!K$14*1000</f>
        <v>0</v>
      </c>
      <c r="G45" s="12">
        <f t="shared" si="3"/>
        <v>0</v>
      </c>
    </row>
    <row r="46" spans="1:7">
      <c r="A46" s="12">
        <v>20.5</v>
      </c>
      <c r="B46" s="12">
        <v>0</v>
      </c>
      <c r="C46" s="12">
        <f t="shared" si="0"/>
        <v>0</v>
      </c>
      <c r="D46" s="12">
        <f t="shared" si="1"/>
        <v>0</v>
      </c>
      <c r="E46" s="12">
        <f t="shared" si="2"/>
        <v>0</v>
      </c>
      <c r="F46" s="12">
        <f>E46/Calculation!K$14*1000</f>
        <v>0</v>
      </c>
      <c r="G46" s="12">
        <f t="shared" si="3"/>
        <v>0</v>
      </c>
    </row>
    <row r="47" spans="1:7">
      <c r="A47" s="12">
        <v>21</v>
      </c>
      <c r="B47" s="12">
        <v>0</v>
      </c>
      <c r="C47" s="12">
        <f t="shared" si="0"/>
        <v>0</v>
      </c>
      <c r="D47" s="12">
        <f t="shared" si="1"/>
        <v>0</v>
      </c>
      <c r="E47" s="12">
        <f t="shared" si="2"/>
        <v>0</v>
      </c>
      <c r="F47" s="12">
        <f>E47/Calculation!K$14*1000</f>
        <v>0</v>
      </c>
      <c r="G47" s="12">
        <f t="shared" si="3"/>
        <v>0</v>
      </c>
    </row>
    <row r="48" spans="1:7">
      <c r="A48" s="12">
        <v>21.5</v>
      </c>
      <c r="B48" s="12">
        <v>0</v>
      </c>
      <c r="C48" s="12">
        <f t="shared" si="0"/>
        <v>0</v>
      </c>
      <c r="D48" s="12">
        <f t="shared" si="1"/>
        <v>0</v>
      </c>
      <c r="E48" s="12">
        <f t="shared" si="2"/>
        <v>0</v>
      </c>
      <c r="F48" s="12">
        <f>E48/Calculation!K$14*1000</f>
        <v>0</v>
      </c>
      <c r="G48" s="12">
        <f t="shared" si="3"/>
        <v>0</v>
      </c>
    </row>
    <row r="49" spans="1:7">
      <c r="A49" s="12">
        <v>22</v>
      </c>
      <c r="B49" s="12">
        <v>0</v>
      </c>
      <c r="C49" s="12">
        <f t="shared" si="0"/>
        <v>0</v>
      </c>
      <c r="D49" s="12">
        <f t="shared" si="1"/>
        <v>0</v>
      </c>
      <c r="E49" s="12">
        <f t="shared" si="2"/>
        <v>0</v>
      </c>
      <c r="F49" s="12">
        <f>E49/Calculation!K$14*1000</f>
        <v>0</v>
      </c>
      <c r="G49" s="12">
        <f t="shared" si="3"/>
        <v>0</v>
      </c>
    </row>
    <row r="50" spans="1:7">
      <c r="A50" s="12">
        <v>22.5</v>
      </c>
      <c r="B50" s="12">
        <v>0</v>
      </c>
      <c r="C50" s="12">
        <f t="shared" si="0"/>
        <v>0</v>
      </c>
      <c r="D50" s="12">
        <f t="shared" si="1"/>
        <v>0</v>
      </c>
      <c r="E50" s="12">
        <f t="shared" si="2"/>
        <v>0</v>
      </c>
      <c r="F50" s="12">
        <f>E50/Calculation!K$14*1000</f>
        <v>0</v>
      </c>
      <c r="G50" s="12">
        <f t="shared" si="3"/>
        <v>0</v>
      </c>
    </row>
    <row r="51" spans="1:7">
      <c r="A51" s="12">
        <v>23</v>
      </c>
      <c r="B51" s="12">
        <v>0</v>
      </c>
      <c r="C51" s="12">
        <f t="shared" si="0"/>
        <v>0</v>
      </c>
      <c r="D51" s="12">
        <f t="shared" si="1"/>
        <v>0</v>
      </c>
      <c r="E51" s="12">
        <f t="shared" si="2"/>
        <v>0</v>
      </c>
      <c r="F51" s="12">
        <f>E51/Calculation!K$14*1000</f>
        <v>0</v>
      </c>
      <c r="G51" s="12">
        <f t="shared" si="3"/>
        <v>0</v>
      </c>
    </row>
    <row r="52" spans="1:7">
      <c r="A52" s="12">
        <v>23.5</v>
      </c>
      <c r="B52" s="12">
        <v>0</v>
      </c>
      <c r="C52" s="12">
        <f t="shared" si="0"/>
        <v>0</v>
      </c>
      <c r="D52" s="12">
        <f t="shared" si="1"/>
        <v>0</v>
      </c>
      <c r="E52" s="12">
        <f t="shared" si="2"/>
        <v>0</v>
      </c>
      <c r="F52" s="12">
        <f>E52/Calculation!K$14*1000</f>
        <v>0</v>
      </c>
      <c r="G52" s="12">
        <f t="shared" si="3"/>
        <v>0</v>
      </c>
    </row>
    <row r="53" spans="1:7">
      <c r="A53" s="12">
        <v>24</v>
      </c>
      <c r="B53" s="12">
        <v>0</v>
      </c>
      <c r="C53" s="12">
        <f t="shared" si="0"/>
        <v>0</v>
      </c>
      <c r="D53" s="12">
        <f t="shared" si="1"/>
        <v>0</v>
      </c>
      <c r="E53" s="12">
        <f t="shared" si="2"/>
        <v>0</v>
      </c>
      <c r="F53" s="12">
        <f>E53/Calculation!K$15*1000</f>
        <v>0</v>
      </c>
      <c r="G53" s="12">
        <f t="shared" si="3"/>
        <v>0</v>
      </c>
    </row>
    <row r="54" spans="1:7">
      <c r="A54" s="12">
        <v>24.5</v>
      </c>
      <c r="B54" s="12">
        <v>0</v>
      </c>
      <c r="C54" s="12">
        <f t="shared" si="0"/>
        <v>0</v>
      </c>
      <c r="D54" s="12">
        <f t="shared" si="1"/>
        <v>0</v>
      </c>
      <c r="E54" s="12">
        <f t="shared" si="2"/>
        <v>0</v>
      </c>
      <c r="F54" s="12">
        <f>E54/Calculation!K$15*1000</f>
        <v>0</v>
      </c>
      <c r="G54" s="12">
        <f t="shared" si="3"/>
        <v>0</v>
      </c>
    </row>
    <row r="55" spans="1:7">
      <c r="A55" s="12">
        <v>25</v>
      </c>
      <c r="B55" s="12">
        <v>0</v>
      </c>
      <c r="C55" s="12">
        <f t="shared" si="0"/>
        <v>0</v>
      </c>
      <c r="D55" s="12">
        <f t="shared" si="1"/>
        <v>0</v>
      </c>
      <c r="E55" s="12">
        <f t="shared" si="2"/>
        <v>0</v>
      </c>
      <c r="F55" s="12">
        <f>E55/Calculation!K$15*1000</f>
        <v>0</v>
      </c>
      <c r="G55" s="12">
        <f t="shared" si="3"/>
        <v>0</v>
      </c>
    </row>
    <row r="56" spans="1:7">
      <c r="A56" s="12">
        <v>25.5</v>
      </c>
      <c r="B56" s="12">
        <v>0</v>
      </c>
      <c r="C56" s="12">
        <f t="shared" si="0"/>
        <v>0</v>
      </c>
      <c r="D56" s="12">
        <f t="shared" si="1"/>
        <v>0</v>
      </c>
      <c r="E56" s="12">
        <f t="shared" si="2"/>
        <v>0</v>
      </c>
      <c r="F56" s="12">
        <f>E56/Calculation!K$15*1000</f>
        <v>0</v>
      </c>
      <c r="G56" s="12">
        <f t="shared" si="3"/>
        <v>0</v>
      </c>
    </row>
    <row r="57" spans="1:7">
      <c r="A57" s="12">
        <v>26</v>
      </c>
      <c r="B57" s="12">
        <v>0</v>
      </c>
      <c r="C57" s="12">
        <f t="shared" si="0"/>
        <v>0</v>
      </c>
      <c r="D57" s="12">
        <f t="shared" si="1"/>
        <v>0</v>
      </c>
      <c r="E57" s="12">
        <f t="shared" si="2"/>
        <v>0</v>
      </c>
      <c r="F57" s="12">
        <f>E57/Calculation!K$15*1000</f>
        <v>0</v>
      </c>
      <c r="G57" s="12">
        <f t="shared" si="3"/>
        <v>0</v>
      </c>
    </row>
    <row r="58" spans="1:7">
      <c r="A58" s="12">
        <v>26.5</v>
      </c>
      <c r="B58" s="12">
        <v>0</v>
      </c>
      <c r="C58" s="12">
        <f t="shared" si="0"/>
        <v>0</v>
      </c>
      <c r="D58" s="12">
        <f t="shared" si="1"/>
        <v>0</v>
      </c>
      <c r="E58" s="12">
        <f t="shared" si="2"/>
        <v>0</v>
      </c>
      <c r="F58" s="12">
        <f>E58/Calculation!K$15*1000</f>
        <v>0</v>
      </c>
      <c r="G58" s="12">
        <f t="shared" si="3"/>
        <v>0</v>
      </c>
    </row>
    <row r="59" spans="1:7">
      <c r="A59" s="12">
        <v>27</v>
      </c>
      <c r="B59" s="12">
        <v>0</v>
      </c>
      <c r="C59" s="12">
        <f t="shared" si="0"/>
        <v>0</v>
      </c>
      <c r="D59" s="12">
        <f t="shared" si="1"/>
        <v>0</v>
      </c>
      <c r="E59" s="12">
        <f t="shared" si="2"/>
        <v>0</v>
      </c>
      <c r="F59" s="12">
        <f>E59/Calculation!K$15*1000</f>
        <v>0</v>
      </c>
      <c r="G59" s="12">
        <f t="shared" si="3"/>
        <v>0</v>
      </c>
    </row>
    <row r="60" spans="1:7">
      <c r="A60" s="12">
        <v>27.5</v>
      </c>
      <c r="B60" s="12">
        <v>0</v>
      </c>
      <c r="C60" s="12">
        <f t="shared" si="0"/>
        <v>0</v>
      </c>
      <c r="D60" s="12">
        <f t="shared" si="1"/>
        <v>0</v>
      </c>
      <c r="E60" s="12">
        <f t="shared" si="2"/>
        <v>0</v>
      </c>
      <c r="F60" s="12">
        <f>E60/Calculation!K$15*1000</f>
        <v>0</v>
      </c>
      <c r="G60" s="12">
        <f t="shared" si="3"/>
        <v>0</v>
      </c>
    </row>
    <row r="61" spans="1:7">
      <c r="A61" s="12">
        <v>28</v>
      </c>
      <c r="B61" s="12">
        <v>0</v>
      </c>
      <c r="C61" s="12">
        <f t="shared" si="0"/>
        <v>0</v>
      </c>
      <c r="D61" s="12">
        <f t="shared" si="1"/>
        <v>0</v>
      </c>
      <c r="E61" s="12">
        <f t="shared" si="2"/>
        <v>0</v>
      </c>
      <c r="F61" s="12">
        <f>E61/Calculation!K$15*1000</f>
        <v>0</v>
      </c>
      <c r="G61" s="12">
        <f t="shared" si="3"/>
        <v>0</v>
      </c>
    </row>
    <row r="62" spans="1:7">
      <c r="A62" s="12">
        <v>28.5</v>
      </c>
      <c r="B62" s="12">
        <v>0</v>
      </c>
      <c r="C62" s="12">
        <f t="shared" si="0"/>
        <v>0</v>
      </c>
      <c r="D62" s="12">
        <f t="shared" si="1"/>
        <v>0</v>
      </c>
      <c r="E62" s="12">
        <f t="shared" si="2"/>
        <v>0</v>
      </c>
      <c r="F62" s="12">
        <f>E62/Calculation!K$15*1000</f>
        <v>0</v>
      </c>
      <c r="G62" s="12">
        <f t="shared" si="3"/>
        <v>0</v>
      </c>
    </row>
    <row r="63" spans="1:7">
      <c r="A63" s="12">
        <v>29</v>
      </c>
      <c r="B63" s="12">
        <v>0</v>
      </c>
      <c r="C63" s="12">
        <f t="shared" si="0"/>
        <v>0</v>
      </c>
      <c r="D63" s="12">
        <f t="shared" si="1"/>
        <v>0</v>
      </c>
      <c r="E63" s="12">
        <f t="shared" si="2"/>
        <v>0</v>
      </c>
      <c r="F63" s="12">
        <f>E63/Calculation!K$15*1000</f>
        <v>0</v>
      </c>
      <c r="G63" s="12">
        <f t="shared" si="3"/>
        <v>0</v>
      </c>
    </row>
    <row r="64" spans="1:7">
      <c r="A64" s="12">
        <v>29.5</v>
      </c>
      <c r="B64" s="12">
        <v>0</v>
      </c>
      <c r="C64" s="12">
        <f t="shared" si="0"/>
        <v>0</v>
      </c>
      <c r="D64" s="12">
        <f t="shared" si="1"/>
        <v>0</v>
      </c>
      <c r="E64" s="12">
        <f t="shared" si="2"/>
        <v>0</v>
      </c>
      <c r="F64" s="12">
        <f>E64/Calculation!K$15*1000</f>
        <v>0</v>
      </c>
      <c r="G64" s="12">
        <f t="shared" si="3"/>
        <v>0</v>
      </c>
    </row>
    <row r="65" spans="1:7">
      <c r="A65" s="12">
        <v>30</v>
      </c>
      <c r="B65" s="12">
        <v>0</v>
      </c>
      <c r="C65" s="12">
        <f t="shared" si="0"/>
        <v>0</v>
      </c>
      <c r="D65" s="12">
        <f t="shared" si="1"/>
        <v>0</v>
      </c>
      <c r="E65" s="12">
        <f t="shared" si="2"/>
        <v>0</v>
      </c>
      <c r="F65" s="12">
        <f>E65/Calculation!K$16*1000</f>
        <v>0</v>
      </c>
      <c r="G65" s="12">
        <f t="shared" si="3"/>
        <v>0</v>
      </c>
    </row>
    <row r="66" spans="1:7">
      <c r="A66" s="12">
        <v>30.5</v>
      </c>
      <c r="B66" s="12">
        <v>0</v>
      </c>
      <c r="C66" s="12">
        <f t="shared" si="0"/>
        <v>0</v>
      </c>
      <c r="D66" s="12">
        <f t="shared" si="1"/>
        <v>0</v>
      </c>
      <c r="E66" s="12">
        <f t="shared" si="2"/>
        <v>0</v>
      </c>
      <c r="F66" s="12">
        <f>E66/Calculation!K$16*1000</f>
        <v>0</v>
      </c>
      <c r="G66" s="12">
        <f t="shared" si="3"/>
        <v>0</v>
      </c>
    </row>
    <row r="67" spans="1:7">
      <c r="A67" s="12">
        <v>31</v>
      </c>
      <c r="B67" s="12">
        <v>0</v>
      </c>
      <c r="C67" s="12">
        <f t="shared" si="0"/>
        <v>0</v>
      </c>
      <c r="D67" s="12">
        <f t="shared" si="1"/>
        <v>0</v>
      </c>
      <c r="E67" s="12">
        <f t="shared" si="2"/>
        <v>0</v>
      </c>
      <c r="F67" s="12">
        <f>E67/Calculation!K$16*1000</f>
        <v>0</v>
      </c>
      <c r="G67" s="12">
        <f t="shared" si="3"/>
        <v>0</v>
      </c>
    </row>
    <row r="68" spans="1:7">
      <c r="A68" s="12">
        <v>31.5</v>
      </c>
      <c r="B68" s="12">
        <v>0</v>
      </c>
      <c r="C68" s="12">
        <f t="shared" si="0"/>
        <v>0</v>
      </c>
      <c r="D68" s="12">
        <f t="shared" si="1"/>
        <v>0</v>
      </c>
      <c r="E68" s="12">
        <f t="shared" si="2"/>
        <v>0</v>
      </c>
      <c r="F68" s="12">
        <f>E68/Calculation!K$16*1000</f>
        <v>0</v>
      </c>
      <c r="G68" s="12">
        <f t="shared" si="3"/>
        <v>0</v>
      </c>
    </row>
    <row r="69" spans="1:7">
      <c r="A69" s="12">
        <v>32</v>
      </c>
      <c r="B69" s="12">
        <v>0</v>
      </c>
      <c r="C69" s="12">
        <f t="shared" si="0"/>
        <v>0</v>
      </c>
      <c r="D69" s="12">
        <f t="shared" si="1"/>
        <v>0</v>
      </c>
      <c r="E69" s="12">
        <f t="shared" si="2"/>
        <v>0</v>
      </c>
      <c r="F69" s="12">
        <f>E69/Calculation!K$16*1000</f>
        <v>0</v>
      </c>
      <c r="G69" s="12">
        <f t="shared" si="3"/>
        <v>0</v>
      </c>
    </row>
    <row r="70" spans="1:7">
      <c r="A70" s="12">
        <v>32.5</v>
      </c>
      <c r="B70" s="12">
        <v>0</v>
      </c>
      <c r="C70" s="12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E70/Calculation!K$16*1000</f>
        <v>0</v>
      </c>
      <c r="G70" s="12">
        <f t="shared" si="3"/>
        <v>0</v>
      </c>
    </row>
    <row r="71" spans="1:7">
      <c r="A71" s="12">
        <v>33</v>
      </c>
      <c r="B71" s="12">
        <v>0</v>
      </c>
      <c r="C71" s="12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E71/Calculation!K$16*1000</f>
        <v>0</v>
      </c>
      <c r="G71" s="12">
        <f t="shared" ref="G71:G101" si="7">G70+(F71+F70)/2*30</f>
        <v>0</v>
      </c>
    </row>
    <row r="72" spans="1:7">
      <c r="A72" s="12">
        <v>33.5</v>
      </c>
      <c r="B72" s="12">
        <v>0</v>
      </c>
      <c r="C72" s="12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E72/Calculation!K$16*1000</f>
        <v>0</v>
      </c>
      <c r="G72" s="12">
        <f t="shared" si="7"/>
        <v>0</v>
      </c>
    </row>
    <row r="73" spans="1:7">
      <c r="A73" s="12">
        <v>34</v>
      </c>
      <c r="B73" s="12">
        <v>0</v>
      </c>
      <c r="C73" s="12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E73/Calculation!K$16*1000</f>
        <v>0</v>
      </c>
      <c r="G73" s="12">
        <f t="shared" si="7"/>
        <v>0</v>
      </c>
    </row>
    <row r="74" spans="1:7">
      <c r="A74" s="12">
        <v>34.5</v>
      </c>
      <c r="B74" s="12">
        <v>0</v>
      </c>
      <c r="C74" s="12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E74/Calculation!K$16*1000</f>
        <v>0</v>
      </c>
      <c r="G74" s="12">
        <f t="shared" si="7"/>
        <v>0</v>
      </c>
    </row>
    <row r="75" spans="1:7">
      <c r="A75" s="12">
        <v>35</v>
      </c>
      <c r="B75" s="12">
        <v>0</v>
      </c>
      <c r="C75" s="12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E75/Calculation!K$16*1000</f>
        <v>0</v>
      </c>
      <c r="G75" s="12">
        <f t="shared" si="7"/>
        <v>0</v>
      </c>
    </row>
    <row r="76" spans="1:7">
      <c r="A76" s="12">
        <v>35.5</v>
      </c>
      <c r="B76" s="12">
        <v>0</v>
      </c>
      <c r="C76" s="12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E76/Calculation!K$16*1000</f>
        <v>0</v>
      </c>
      <c r="G76" s="12">
        <f t="shared" si="7"/>
        <v>0</v>
      </c>
    </row>
    <row r="77" spans="1:7">
      <c r="A77" s="12">
        <v>36</v>
      </c>
      <c r="B77" s="12">
        <v>0</v>
      </c>
      <c r="C77" s="12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E77/Calculation!K$16*1000</f>
        <v>0</v>
      </c>
      <c r="G77" s="12">
        <f t="shared" si="7"/>
        <v>0</v>
      </c>
    </row>
    <row r="78" spans="1:7">
      <c r="A78" s="12">
        <v>36.5</v>
      </c>
      <c r="B78" s="12">
        <v>0</v>
      </c>
      <c r="C78" s="12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E78/Calculation!K$16*1000</f>
        <v>0</v>
      </c>
      <c r="G78" s="12">
        <f t="shared" si="7"/>
        <v>0</v>
      </c>
    </row>
    <row r="79" spans="1:7">
      <c r="A79" s="12">
        <v>37</v>
      </c>
      <c r="B79" s="12">
        <v>0</v>
      </c>
      <c r="C79" s="12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E79/Calculation!K$16*1000</f>
        <v>0</v>
      </c>
      <c r="G79" s="12">
        <f t="shared" si="7"/>
        <v>0</v>
      </c>
    </row>
    <row r="80" spans="1:7">
      <c r="A80" s="12">
        <v>37.5</v>
      </c>
      <c r="B80" s="12">
        <v>0</v>
      </c>
      <c r="C80" s="12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E80/Calculation!K$16*1000</f>
        <v>0</v>
      </c>
      <c r="G80" s="12">
        <f t="shared" si="7"/>
        <v>0</v>
      </c>
    </row>
    <row r="81" spans="1:7">
      <c r="A81" s="12">
        <v>38</v>
      </c>
      <c r="B81" s="12">
        <v>0</v>
      </c>
      <c r="C81" s="12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E81/Calculation!K$16*1000</f>
        <v>0</v>
      </c>
      <c r="G81" s="12">
        <f t="shared" si="7"/>
        <v>0</v>
      </c>
    </row>
    <row r="82" spans="1:7">
      <c r="A82" s="12">
        <v>38.5</v>
      </c>
      <c r="B82" s="12">
        <v>0</v>
      </c>
      <c r="C82" s="12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E82/Calculation!K$16*1000</f>
        <v>0</v>
      </c>
      <c r="G82" s="12">
        <f t="shared" si="7"/>
        <v>0</v>
      </c>
    </row>
    <row r="83" spans="1:7">
      <c r="A83" s="12">
        <v>39</v>
      </c>
      <c r="B83" s="12">
        <v>0</v>
      </c>
      <c r="C83" s="12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E83/Calculation!K$16*1000</f>
        <v>0</v>
      </c>
      <c r="G83" s="12">
        <f t="shared" si="7"/>
        <v>0</v>
      </c>
    </row>
    <row r="84" spans="1:7">
      <c r="A84" s="12">
        <v>39.5</v>
      </c>
      <c r="B84" s="12">
        <v>0</v>
      </c>
      <c r="C84" s="12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E84/Calculation!K$16*1000</f>
        <v>0</v>
      </c>
      <c r="G84" s="12">
        <f t="shared" si="7"/>
        <v>0</v>
      </c>
    </row>
    <row r="85" spans="1:7">
      <c r="A85" s="12">
        <v>40</v>
      </c>
      <c r="B85" s="12">
        <v>0</v>
      </c>
      <c r="C85" s="12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E85/Calculation!K$16*1000</f>
        <v>0</v>
      </c>
      <c r="G85" s="12">
        <f t="shared" si="7"/>
        <v>0</v>
      </c>
    </row>
    <row r="86" spans="1:7">
      <c r="A86" s="12">
        <v>40.5</v>
      </c>
      <c r="B86" s="12">
        <v>0</v>
      </c>
      <c r="C86" s="12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E86/Calculation!K$16*1000</f>
        <v>0</v>
      </c>
      <c r="G86" s="12">
        <f t="shared" si="7"/>
        <v>0</v>
      </c>
    </row>
    <row r="87" spans="1:7">
      <c r="A87" s="12">
        <v>41</v>
      </c>
      <c r="B87" s="12">
        <v>0</v>
      </c>
      <c r="C87" s="12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E87/Calculation!K$16*1000</f>
        <v>0</v>
      </c>
      <c r="G87" s="12">
        <f t="shared" si="7"/>
        <v>0</v>
      </c>
    </row>
    <row r="88" spans="1:7">
      <c r="A88" s="12">
        <v>41.5</v>
      </c>
      <c r="B88" s="12">
        <v>0</v>
      </c>
      <c r="C88" s="12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E88/Calculation!K$16*1000</f>
        <v>0</v>
      </c>
      <c r="G88" s="12">
        <f t="shared" si="7"/>
        <v>0</v>
      </c>
    </row>
    <row r="89" spans="1:7">
      <c r="A89" s="12">
        <v>42</v>
      </c>
      <c r="B89" s="12">
        <v>0</v>
      </c>
      <c r="C89" s="12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E89/Calculation!K$16*1000</f>
        <v>0</v>
      </c>
      <c r="G89" s="12">
        <f t="shared" si="7"/>
        <v>0</v>
      </c>
    </row>
    <row r="90" spans="1:7">
      <c r="A90" s="12">
        <v>42.5</v>
      </c>
      <c r="B90" s="12">
        <v>0</v>
      </c>
      <c r="C90" s="12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E90/Calculation!K$16*1000</f>
        <v>0</v>
      </c>
      <c r="G90" s="12">
        <f t="shared" si="7"/>
        <v>0</v>
      </c>
    </row>
    <row r="91" spans="1:7">
      <c r="A91" s="12">
        <v>43</v>
      </c>
      <c r="B91" s="12">
        <v>0</v>
      </c>
      <c r="C91" s="12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E91/Calculation!K$16*1000</f>
        <v>0</v>
      </c>
      <c r="G91" s="12">
        <f t="shared" si="7"/>
        <v>0</v>
      </c>
    </row>
    <row r="92" spans="1:7">
      <c r="A92" s="12">
        <v>43.5</v>
      </c>
      <c r="B92" s="12">
        <v>0</v>
      </c>
      <c r="C92" s="12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E92/Calculation!K$16*1000</f>
        <v>0</v>
      </c>
      <c r="G92" s="12">
        <f t="shared" si="7"/>
        <v>0</v>
      </c>
    </row>
    <row r="93" spans="1:7">
      <c r="A93" s="12">
        <v>44</v>
      </c>
      <c r="B93" s="12">
        <v>0</v>
      </c>
      <c r="C93" s="12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E93/Calculation!K$16*1000</f>
        <v>0</v>
      </c>
      <c r="G93" s="12">
        <f t="shared" si="7"/>
        <v>0</v>
      </c>
    </row>
    <row r="94" spans="1:7">
      <c r="A94" s="12">
        <v>44.5</v>
      </c>
      <c r="B94" s="12">
        <v>0</v>
      </c>
      <c r="C94" s="12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E94/Calculation!K$16*1000</f>
        <v>0</v>
      </c>
      <c r="G94" s="12">
        <f t="shared" si="7"/>
        <v>0</v>
      </c>
    </row>
    <row r="95" spans="1:7">
      <c r="A95" s="12">
        <v>45</v>
      </c>
      <c r="B95" s="12">
        <v>0</v>
      </c>
      <c r="C95" s="12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E95/Calculation!K$16*1000</f>
        <v>0</v>
      </c>
      <c r="G95" s="12">
        <f t="shared" si="7"/>
        <v>0</v>
      </c>
    </row>
    <row r="96" spans="1:7">
      <c r="A96" s="12">
        <v>45.5</v>
      </c>
      <c r="B96" s="12">
        <v>0</v>
      </c>
      <c r="C96" s="12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E96/Calculation!K$16*1000</f>
        <v>0</v>
      </c>
      <c r="G96" s="12">
        <f t="shared" si="7"/>
        <v>0</v>
      </c>
    </row>
    <row r="97" spans="1:7">
      <c r="A97" s="12">
        <v>46</v>
      </c>
      <c r="B97" s="12">
        <v>0</v>
      </c>
      <c r="C97" s="12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E97/Calculation!K$16*1000</f>
        <v>0</v>
      </c>
      <c r="G97" s="12">
        <f t="shared" si="7"/>
        <v>0</v>
      </c>
    </row>
    <row r="98" spans="1:7">
      <c r="A98" s="12">
        <v>46.5</v>
      </c>
      <c r="B98" s="12">
        <v>0</v>
      </c>
      <c r="C98" s="12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E98/Calculation!K$16*1000</f>
        <v>0</v>
      </c>
      <c r="G98" s="12">
        <f t="shared" si="7"/>
        <v>0</v>
      </c>
    </row>
    <row r="99" spans="1:7">
      <c r="A99" s="12">
        <v>47</v>
      </c>
      <c r="B99" s="12">
        <v>0</v>
      </c>
      <c r="C99" s="12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E99/Calculation!K$16*1000</f>
        <v>0</v>
      </c>
      <c r="G99" s="12">
        <f t="shared" si="7"/>
        <v>0</v>
      </c>
    </row>
    <row r="100" spans="1:7">
      <c r="A100" s="12">
        <v>47.5</v>
      </c>
      <c r="B100" s="12">
        <v>0</v>
      </c>
      <c r="C100" s="12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E100/Calculation!K$16*1000</f>
        <v>0</v>
      </c>
      <c r="G100" s="12">
        <f t="shared" si="7"/>
        <v>0</v>
      </c>
    </row>
    <row r="101" spans="1:7">
      <c r="A101" s="12">
        <v>48</v>
      </c>
      <c r="B101" s="12">
        <v>0</v>
      </c>
      <c r="C101" s="12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E101/Calculation!K$17*1000</f>
        <v>0</v>
      </c>
      <c r="G101" s="12">
        <f t="shared" si="7"/>
        <v>0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F. prausnitzii</vt:lpstr>
      <vt:lpstr>Determination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2015-08-31T07:51:55Z</dcterms:modified>
</cp:coreProperties>
</file>