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240" yWindow="240" windowWidth="25280" windowHeight="15780" tabRatio="930" firstSheet="10" activeTab="21"/>
  </bookViews>
  <sheets>
    <sheet name="Fermentation" sheetId="1" r:id="rId1"/>
    <sheet name="Calculation" sheetId="2" r:id="rId2"/>
    <sheet name="Plate Count" sheetId="3" r:id="rId3"/>
    <sheet name="Flow cytometer" sheetId="22" r:id="rId4"/>
    <sheet name="Calibration F. prausnitzii" sheetId="25" r:id="rId5"/>
    <sheet name="Determination cell counts FP" sheetId="26" r:id="rId6"/>
    <sheet name="CalibrationB. hydrogenotrophica" sheetId="27" r:id="rId7"/>
    <sheet name="Determination cell counts BH" sheetId="28" r:id="rId8"/>
    <sheet name="Total cell count" sheetId="29" r:id="rId9"/>
    <sheet name="OD600nm" sheetId="4" r:id="rId10"/>
    <sheet name="CDM" sheetId="5" r:id="rId11"/>
    <sheet name="H2" sheetId="17" r:id="rId12"/>
    <sheet name="CO2" sheetId="7" r:id="rId13"/>
    <sheet name="Metabolites" sheetId="8" r:id="rId14"/>
    <sheet name="D-Fructose" sheetId="19" r:id="rId15"/>
    <sheet name="Formic acid" sheetId="18" r:id="rId16"/>
    <sheet name="Acetic acid" sheetId="15" r:id="rId17"/>
    <sheet name="Propionic acid" sheetId="20" r:id="rId18"/>
    <sheet name="Butyric acid" sheetId="21" r:id="rId19"/>
    <sheet name="Lactic acid" sheetId="14" r:id="rId20"/>
    <sheet name="Ethanol" sheetId="16" r:id="rId21"/>
    <sheet name="Graph" sheetId="13" r:id="rId22"/>
    <sheet name="Graph (2)" sheetId="24" r:id="rId23"/>
    <sheet name="Carbon recovery" sheetId="23" r:id="rId24"/>
  </sheets>
  <externalReferences>
    <externalReference r:id="rId25"/>
  </externalReferences>
  <definedNames>
    <definedName name="_2012_05_10_FPRAU_fruc1" localSheetId="12">'CO2'!$I$5:$I$293</definedName>
    <definedName name="_2012_06_08_BIF_REC_OLI_1" localSheetId="12">'CO2'!$N$5:$N$201</definedName>
    <definedName name="_2012_06_08_BIF_REC_OLI_1" localSheetId="11">'H2'!$K$5:$K$244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7" i="28" l="1"/>
  <c r="H78" i="26"/>
  <c r="H65" i="28"/>
  <c r="H64" i="28"/>
  <c r="H63" i="28"/>
  <c r="H62" i="28"/>
  <c r="H61" i="28"/>
  <c r="H60" i="28"/>
  <c r="H59" i="28"/>
  <c r="H58" i="28"/>
  <c r="H27" i="28"/>
  <c r="H28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42" i="28"/>
  <c r="H43" i="28"/>
  <c r="H44" i="28"/>
  <c r="H45" i="28"/>
  <c r="H46" i="28"/>
  <c r="H47" i="28"/>
  <c r="H48" i="28"/>
  <c r="H49" i="28"/>
  <c r="H50" i="28"/>
  <c r="H51" i="28"/>
  <c r="H52" i="28"/>
  <c r="H53" i="28"/>
  <c r="H54" i="28"/>
  <c r="H55" i="28"/>
  <c r="H56" i="28"/>
  <c r="H57" i="28"/>
  <c r="H75" i="26"/>
  <c r="H74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15" i="26"/>
  <c r="B28" i="26"/>
  <c r="C28" i="26"/>
  <c r="C27" i="26"/>
  <c r="K15" i="26"/>
  <c r="H5" i="26"/>
  <c r="I5" i="26"/>
  <c r="J5" i="26"/>
  <c r="H6" i="26"/>
  <c r="I6" i="26"/>
  <c r="J6" i="26"/>
  <c r="H7" i="26"/>
  <c r="I7" i="26"/>
  <c r="J7" i="26"/>
  <c r="H8" i="26"/>
  <c r="I8" i="26"/>
  <c r="J8" i="26"/>
  <c r="H9" i="26"/>
  <c r="I9" i="26"/>
  <c r="J9" i="26"/>
  <c r="H10" i="26"/>
  <c r="I10" i="26"/>
  <c r="J10" i="26"/>
  <c r="H11" i="26"/>
  <c r="I11" i="26"/>
  <c r="J11" i="26"/>
  <c r="H12" i="26"/>
  <c r="I12" i="26"/>
  <c r="J12" i="26"/>
  <c r="H13" i="26"/>
  <c r="I13" i="26"/>
  <c r="J13" i="26"/>
  <c r="H14" i="26"/>
  <c r="I14" i="26"/>
  <c r="J14" i="26"/>
  <c r="I15" i="26"/>
  <c r="J15" i="26"/>
  <c r="H16" i="26"/>
  <c r="I16" i="26"/>
  <c r="J16" i="26"/>
  <c r="H17" i="26"/>
  <c r="I17" i="26"/>
  <c r="J17" i="26"/>
  <c r="H18" i="26"/>
  <c r="I18" i="26"/>
  <c r="J18" i="26"/>
  <c r="H19" i="26"/>
  <c r="I19" i="26"/>
  <c r="J19" i="26"/>
  <c r="H20" i="26"/>
  <c r="I20" i="26"/>
  <c r="J20" i="26"/>
  <c r="I4" i="26"/>
  <c r="J4" i="26"/>
  <c r="H4" i="26"/>
  <c r="H5" i="28"/>
  <c r="I5" i="28"/>
  <c r="J5" i="28"/>
  <c r="H6" i="28"/>
  <c r="I6" i="28"/>
  <c r="J6" i="28"/>
  <c r="H7" i="28"/>
  <c r="I7" i="28"/>
  <c r="J7" i="28"/>
  <c r="H8" i="28"/>
  <c r="I8" i="28"/>
  <c r="J8" i="28"/>
  <c r="H9" i="28"/>
  <c r="I9" i="28"/>
  <c r="J9" i="28"/>
  <c r="H10" i="28"/>
  <c r="I10" i="28"/>
  <c r="J10" i="28"/>
  <c r="H11" i="28"/>
  <c r="I11" i="28"/>
  <c r="J11" i="28"/>
  <c r="H12" i="28"/>
  <c r="I12" i="28"/>
  <c r="J12" i="28"/>
  <c r="H13" i="28"/>
  <c r="I13" i="28"/>
  <c r="J13" i="28"/>
  <c r="H14" i="28"/>
  <c r="I14" i="28"/>
  <c r="J14" i="28"/>
  <c r="H15" i="28"/>
  <c r="I15" i="28"/>
  <c r="J15" i="28"/>
  <c r="H16" i="28"/>
  <c r="I16" i="28"/>
  <c r="J16" i="28"/>
  <c r="H17" i="28"/>
  <c r="I17" i="28"/>
  <c r="J17" i="28"/>
  <c r="H18" i="28"/>
  <c r="I18" i="28"/>
  <c r="J18" i="28"/>
  <c r="H19" i="28"/>
  <c r="I19" i="28"/>
  <c r="J19" i="28"/>
  <c r="H20" i="28"/>
  <c r="I20" i="28"/>
  <c r="J20" i="28"/>
  <c r="I4" i="28"/>
  <c r="J4" i="28"/>
  <c r="H4" i="28"/>
  <c r="B25" i="28"/>
  <c r="C25" i="28"/>
  <c r="C24" i="28"/>
  <c r="L15" i="28"/>
  <c r="M15" i="28"/>
  <c r="K15" i="28"/>
  <c r="L15" i="26"/>
  <c r="M15" i="26"/>
  <c r="H33" i="25"/>
  <c r="B24" i="28"/>
  <c r="K5" i="28"/>
  <c r="L5" i="28"/>
  <c r="M5" i="28"/>
  <c r="O5" i="28"/>
  <c r="S5" i="28"/>
  <c r="K6" i="28"/>
  <c r="L6" i="28"/>
  <c r="M6" i="28"/>
  <c r="O6" i="28"/>
  <c r="S6" i="28"/>
  <c r="K7" i="28"/>
  <c r="L7" i="28"/>
  <c r="M7" i="28"/>
  <c r="O7" i="28"/>
  <c r="S7" i="28"/>
  <c r="K8" i="28"/>
  <c r="L8" i="28"/>
  <c r="M8" i="28"/>
  <c r="O8" i="28"/>
  <c r="S8" i="28"/>
  <c r="K9" i="28"/>
  <c r="L9" i="28"/>
  <c r="M9" i="28"/>
  <c r="O9" i="28"/>
  <c r="S9" i="28"/>
  <c r="K10" i="28"/>
  <c r="L10" i="28"/>
  <c r="M10" i="28"/>
  <c r="O10" i="28"/>
  <c r="S10" i="28"/>
  <c r="K11" i="28"/>
  <c r="L11" i="28"/>
  <c r="M11" i="28"/>
  <c r="O11" i="28"/>
  <c r="S11" i="28"/>
  <c r="K12" i="28"/>
  <c r="L12" i="28"/>
  <c r="M12" i="28"/>
  <c r="O12" i="28"/>
  <c r="S12" i="28"/>
  <c r="K13" i="28"/>
  <c r="L13" i="28"/>
  <c r="M13" i="28"/>
  <c r="O13" i="28"/>
  <c r="S13" i="28"/>
  <c r="K14" i="28"/>
  <c r="L14" i="28"/>
  <c r="M14" i="28"/>
  <c r="O14" i="28"/>
  <c r="S14" i="28"/>
  <c r="O15" i="28"/>
  <c r="S15" i="28"/>
  <c r="K16" i="28"/>
  <c r="L16" i="28"/>
  <c r="M16" i="28"/>
  <c r="O16" i="28"/>
  <c r="S16" i="28"/>
  <c r="K17" i="28"/>
  <c r="L17" i="28"/>
  <c r="M17" i="28"/>
  <c r="O17" i="28"/>
  <c r="S17" i="28"/>
  <c r="K18" i="28"/>
  <c r="L18" i="28"/>
  <c r="M18" i="28"/>
  <c r="O18" i="28"/>
  <c r="S18" i="28"/>
  <c r="K19" i="28"/>
  <c r="L19" i="28"/>
  <c r="M19" i="28"/>
  <c r="O19" i="28"/>
  <c r="S19" i="28"/>
  <c r="K20" i="28"/>
  <c r="L20" i="28"/>
  <c r="M20" i="28"/>
  <c r="O20" i="28"/>
  <c r="S20" i="28"/>
  <c r="K4" i="28"/>
  <c r="L4" i="28"/>
  <c r="M4" i="28"/>
  <c r="O4" i="28"/>
  <c r="S4" i="28"/>
  <c r="P5" i="28"/>
  <c r="R5" i="28"/>
  <c r="P6" i="28"/>
  <c r="R6" i="28"/>
  <c r="P7" i="28"/>
  <c r="R7" i="28"/>
  <c r="P8" i="28"/>
  <c r="R8" i="28"/>
  <c r="P9" i="28"/>
  <c r="R9" i="28"/>
  <c r="P10" i="28"/>
  <c r="R10" i="28"/>
  <c r="P11" i="28"/>
  <c r="R11" i="28"/>
  <c r="P12" i="28"/>
  <c r="R12" i="28"/>
  <c r="P13" i="28"/>
  <c r="R13" i="28"/>
  <c r="P14" i="28"/>
  <c r="R14" i="28"/>
  <c r="P15" i="28"/>
  <c r="R15" i="28"/>
  <c r="P16" i="28"/>
  <c r="R16" i="28"/>
  <c r="P17" i="28"/>
  <c r="R17" i="28"/>
  <c r="P18" i="28"/>
  <c r="R18" i="28"/>
  <c r="P19" i="28"/>
  <c r="R19" i="28"/>
  <c r="P20" i="28"/>
  <c r="R20" i="28"/>
  <c r="P4" i="28"/>
  <c r="R4" i="28"/>
  <c r="B27" i="26"/>
  <c r="K4" i="26"/>
  <c r="L4" i="26"/>
  <c r="M4" i="26"/>
  <c r="P4" i="26"/>
  <c r="R4" i="26"/>
  <c r="E26" i="29"/>
  <c r="L5" i="29"/>
  <c r="O5" i="29"/>
  <c r="P5" i="29"/>
  <c r="M6" i="29"/>
  <c r="M7" i="29"/>
  <c r="M8" i="29"/>
  <c r="M9" i="29"/>
  <c r="M10" i="29"/>
  <c r="M11" i="29"/>
  <c r="M12" i="29"/>
  <c r="M13" i="29"/>
  <c r="M14" i="29"/>
  <c r="M15" i="29"/>
  <c r="M16" i="29"/>
  <c r="M17" i="29"/>
  <c r="M18" i="29"/>
  <c r="M19" i="29"/>
  <c r="M20" i="29"/>
  <c r="M21" i="29"/>
  <c r="M5" i="29"/>
  <c r="L6" i="29"/>
  <c r="L7" i="29"/>
  <c r="L8" i="29"/>
  <c r="L9" i="29"/>
  <c r="L10" i="29"/>
  <c r="L11" i="29"/>
  <c r="L12" i="29"/>
  <c r="L13" i="29"/>
  <c r="L14" i="29"/>
  <c r="L15" i="29"/>
  <c r="L16" i="29"/>
  <c r="L17" i="29"/>
  <c r="L18" i="29"/>
  <c r="L19" i="29"/>
  <c r="L20" i="29"/>
  <c r="L21" i="29"/>
  <c r="K5" i="26"/>
  <c r="L5" i="26"/>
  <c r="M5" i="26"/>
  <c r="O5" i="26"/>
  <c r="S5" i="26"/>
  <c r="F27" i="29"/>
  <c r="K6" i="26"/>
  <c r="L6" i="26"/>
  <c r="M6" i="26"/>
  <c r="O6" i="26"/>
  <c r="S6" i="26"/>
  <c r="F28" i="29"/>
  <c r="K7" i="26"/>
  <c r="L7" i="26"/>
  <c r="M7" i="26"/>
  <c r="O7" i="26"/>
  <c r="S7" i="26"/>
  <c r="F29" i="29"/>
  <c r="K8" i="26"/>
  <c r="L8" i="26"/>
  <c r="M8" i="26"/>
  <c r="O8" i="26"/>
  <c r="S8" i="26"/>
  <c r="F30" i="29"/>
  <c r="K9" i="26"/>
  <c r="L9" i="26"/>
  <c r="M9" i="26"/>
  <c r="O9" i="26"/>
  <c r="S9" i="26"/>
  <c r="F31" i="29"/>
  <c r="K10" i="26"/>
  <c r="L10" i="26"/>
  <c r="M10" i="26"/>
  <c r="O10" i="26"/>
  <c r="S10" i="26"/>
  <c r="F32" i="29"/>
  <c r="K11" i="26"/>
  <c r="L11" i="26"/>
  <c r="M11" i="26"/>
  <c r="O11" i="26"/>
  <c r="S11" i="26"/>
  <c r="F33" i="29"/>
  <c r="K12" i="26"/>
  <c r="L12" i="26"/>
  <c r="M12" i="26"/>
  <c r="O12" i="26"/>
  <c r="S12" i="26"/>
  <c r="F34" i="29"/>
  <c r="K13" i="26"/>
  <c r="L13" i="26"/>
  <c r="M13" i="26"/>
  <c r="O13" i="26"/>
  <c r="S13" i="26"/>
  <c r="F35" i="29"/>
  <c r="K14" i="26"/>
  <c r="L14" i="26"/>
  <c r="M14" i="26"/>
  <c r="O14" i="26"/>
  <c r="S14" i="26"/>
  <c r="F36" i="29"/>
  <c r="O15" i="26"/>
  <c r="S15" i="26"/>
  <c r="F37" i="29"/>
  <c r="K16" i="26"/>
  <c r="L16" i="26"/>
  <c r="M16" i="26"/>
  <c r="O16" i="26"/>
  <c r="S16" i="26"/>
  <c r="F38" i="29"/>
  <c r="K17" i="26"/>
  <c r="L17" i="26"/>
  <c r="M17" i="26"/>
  <c r="O17" i="26"/>
  <c r="S17" i="26"/>
  <c r="F39" i="29"/>
  <c r="K18" i="26"/>
  <c r="L18" i="26"/>
  <c r="M18" i="26"/>
  <c r="O18" i="26"/>
  <c r="S18" i="26"/>
  <c r="F40" i="29"/>
  <c r="K19" i="26"/>
  <c r="L19" i="26"/>
  <c r="M19" i="26"/>
  <c r="O19" i="26"/>
  <c r="S19" i="26"/>
  <c r="F41" i="29"/>
  <c r="K20" i="26"/>
  <c r="L20" i="26"/>
  <c r="M20" i="26"/>
  <c r="O20" i="26"/>
  <c r="S20" i="26"/>
  <c r="F42" i="29"/>
  <c r="O4" i="26"/>
  <c r="S4" i="26"/>
  <c r="F26" i="29"/>
  <c r="P20" i="26"/>
  <c r="R20" i="26"/>
  <c r="E42" i="29"/>
  <c r="P5" i="26"/>
  <c r="R5" i="26"/>
  <c r="E27" i="29"/>
  <c r="P6" i="26"/>
  <c r="R6" i="26"/>
  <c r="E28" i="29"/>
  <c r="P7" i="26"/>
  <c r="R7" i="26"/>
  <c r="E29" i="29"/>
  <c r="P8" i="26"/>
  <c r="R8" i="26"/>
  <c r="E30" i="29"/>
  <c r="P9" i="26"/>
  <c r="R9" i="26"/>
  <c r="E31" i="29"/>
  <c r="P10" i="26"/>
  <c r="R10" i="26"/>
  <c r="E32" i="29"/>
  <c r="P11" i="26"/>
  <c r="R11" i="26"/>
  <c r="E33" i="29"/>
  <c r="P12" i="26"/>
  <c r="R12" i="26"/>
  <c r="E34" i="29"/>
  <c r="P13" i="26"/>
  <c r="R13" i="26"/>
  <c r="E35" i="29"/>
  <c r="P14" i="26"/>
  <c r="R14" i="26"/>
  <c r="E36" i="29"/>
  <c r="P15" i="26"/>
  <c r="R15" i="26"/>
  <c r="E37" i="29"/>
  <c r="P16" i="26"/>
  <c r="R16" i="26"/>
  <c r="E38" i="29"/>
  <c r="P17" i="26"/>
  <c r="R17" i="26"/>
  <c r="E39" i="29"/>
  <c r="P18" i="26"/>
  <c r="R18" i="26"/>
  <c r="E40" i="29"/>
  <c r="P19" i="26"/>
  <c r="R19" i="26"/>
  <c r="E41" i="29"/>
  <c r="Q5" i="28"/>
  <c r="Q6" i="28"/>
  <c r="Q7" i="28"/>
  <c r="Q8" i="28"/>
  <c r="Q9" i="28"/>
  <c r="Q10" i="28"/>
  <c r="Q11" i="28"/>
  <c r="Q12" i="28"/>
  <c r="Q13" i="28"/>
  <c r="Q14" i="28"/>
  <c r="Q15" i="28"/>
  <c r="Q16" i="28"/>
  <c r="Q17" i="28"/>
  <c r="Q18" i="28"/>
  <c r="Q19" i="28"/>
  <c r="Q20" i="28"/>
  <c r="Q4" i="28"/>
  <c r="Q5" i="26"/>
  <c r="Q6" i="26"/>
  <c r="Q7" i="26"/>
  <c r="Q8" i="26"/>
  <c r="Q9" i="26"/>
  <c r="Q10" i="26"/>
  <c r="Q11" i="26"/>
  <c r="Q12" i="26"/>
  <c r="Q13" i="26"/>
  <c r="Q14" i="26"/>
  <c r="Q15" i="26"/>
  <c r="Q16" i="26"/>
  <c r="Q17" i="26"/>
  <c r="Q18" i="26"/>
  <c r="Q19" i="26"/>
  <c r="Q20" i="26"/>
  <c r="Q4" i="26"/>
  <c r="Q6" i="29"/>
  <c r="Q7" i="29"/>
  <c r="Q8" i="29"/>
  <c r="Q9" i="29"/>
  <c r="Q10" i="29"/>
  <c r="Q11" i="29"/>
  <c r="Q12" i="29"/>
  <c r="Q13" i="29"/>
  <c r="Q14" i="29"/>
  <c r="Q15" i="29"/>
  <c r="Q16" i="29"/>
  <c r="Q17" i="29"/>
  <c r="Q18" i="29"/>
  <c r="Q19" i="29"/>
  <c r="Q20" i="29"/>
  <c r="Q21" i="29"/>
  <c r="Q5" i="29"/>
  <c r="O21" i="29"/>
  <c r="O6" i="29"/>
  <c r="O7" i="29"/>
  <c r="O8" i="29"/>
  <c r="O9" i="29"/>
  <c r="O10" i="29"/>
  <c r="O11" i="29"/>
  <c r="O12" i="29"/>
  <c r="O13" i="29"/>
  <c r="O14" i="29"/>
  <c r="O15" i="29"/>
  <c r="O16" i="29"/>
  <c r="O17" i="29"/>
  <c r="O18" i="29"/>
  <c r="O19" i="29"/>
  <c r="O20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D42" i="29"/>
  <c r="D41" i="29"/>
  <c r="D40" i="29"/>
  <c r="D39" i="29"/>
  <c r="D38" i="29"/>
  <c r="D37" i="29"/>
  <c r="D36" i="29"/>
  <c r="D35" i="29"/>
  <c r="D34" i="29"/>
  <c r="D33" i="29"/>
  <c r="D32" i="29"/>
  <c r="D31" i="29"/>
  <c r="D30" i="29"/>
  <c r="D29" i="29"/>
  <c r="D28" i="29"/>
  <c r="D27" i="29"/>
  <c r="D26" i="29"/>
  <c r="J5" i="29"/>
  <c r="J6" i="29"/>
  <c r="J7" i="29"/>
  <c r="J8" i="29"/>
  <c r="J9" i="29"/>
  <c r="J10" i="29"/>
  <c r="J11" i="29"/>
  <c r="J12" i="29"/>
  <c r="J13" i="29"/>
  <c r="J14" i="29"/>
  <c r="J15" i="29"/>
  <c r="J16" i="29"/>
  <c r="J17" i="29"/>
  <c r="J18" i="29"/>
  <c r="J19" i="29"/>
  <c r="J20" i="29"/>
  <c r="J21" i="29"/>
  <c r="K21" i="29"/>
  <c r="K20" i="29"/>
  <c r="K19" i="29"/>
  <c r="K18" i="29"/>
  <c r="K17" i="29"/>
  <c r="K16" i="29"/>
  <c r="K15" i="29"/>
  <c r="K14" i="29"/>
  <c r="K13" i="29"/>
  <c r="K12" i="29"/>
  <c r="K11" i="29"/>
  <c r="K10" i="29"/>
  <c r="K9" i="29"/>
  <c r="K8" i="29"/>
  <c r="K7" i="29"/>
  <c r="K6" i="29"/>
  <c r="K5" i="29"/>
  <c r="C5" i="29"/>
  <c r="C6" i="29"/>
  <c r="C7" i="29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/>
  <c r="D6" i="29"/>
  <c r="D5" i="29"/>
  <c r="C4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5" i="26"/>
  <c r="D4" i="26"/>
  <c r="F48" i="25"/>
  <c r="G48" i="27"/>
  <c r="P21" i="29"/>
  <c r="P20" i="29"/>
  <c r="P19" i="29"/>
  <c r="P18" i="29"/>
  <c r="P17" i="29"/>
  <c r="P16" i="29"/>
  <c r="P15" i="29"/>
  <c r="P14" i="29"/>
  <c r="P13" i="29"/>
  <c r="P12" i="29"/>
  <c r="P11" i="29"/>
  <c r="P10" i="29"/>
  <c r="P9" i="29"/>
  <c r="P8" i="29"/>
  <c r="P7" i="29"/>
  <c r="P6" i="29"/>
  <c r="N20" i="28"/>
  <c r="N19" i="28"/>
  <c r="N18" i="28"/>
  <c r="N17" i="28"/>
  <c r="N16" i="28"/>
  <c r="N15" i="28"/>
  <c r="N14" i="28"/>
  <c r="N13" i="28"/>
  <c r="N12" i="28"/>
  <c r="N11" i="28"/>
  <c r="N10" i="28"/>
  <c r="N9" i="28"/>
  <c r="N8" i="28"/>
  <c r="N7" i="28"/>
  <c r="N6" i="28"/>
  <c r="N5" i="28"/>
  <c r="N4" i="28"/>
  <c r="D48" i="27"/>
  <c r="F40" i="27"/>
  <c r="G38" i="27"/>
  <c r="H38" i="27"/>
  <c r="I38" i="27"/>
  <c r="J38" i="27"/>
  <c r="K38" i="27"/>
  <c r="L38" i="27"/>
  <c r="F38" i="27"/>
  <c r="G37" i="27"/>
  <c r="H37" i="27"/>
  <c r="I37" i="27"/>
  <c r="J37" i="27"/>
  <c r="K37" i="27"/>
  <c r="L37" i="27"/>
  <c r="F37" i="27"/>
  <c r="G36" i="27"/>
  <c r="H36" i="27"/>
  <c r="I36" i="27"/>
  <c r="J36" i="27"/>
  <c r="K36" i="27"/>
  <c r="L36" i="27"/>
  <c r="F36" i="27"/>
  <c r="G35" i="27"/>
  <c r="H35" i="27"/>
  <c r="I35" i="27"/>
  <c r="J35" i="27"/>
  <c r="K35" i="27"/>
  <c r="L35" i="27"/>
  <c r="F35" i="27"/>
  <c r="G34" i="27"/>
  <c r="H34" i="27"/>
  <c r="I34" i="27"/>
  <c r="J34" i="27"/>
  <c r="K34" i="27"/>
  <c r="L34" i="27"/>
  <c r="F34" i="27"/>
  <c r="G33" i="27"/>
  <c r="H33" i="27"/>
  <c r="I33" i="27"/>
  <c r="J33" i="27"/>
  <c r="K33" i="27"/>
  <c r="L33" i="27"/>
  <c r="F33" i="27"/>
  <c r="G32" i="27"/>
  <c r="H32" i="27"/>
  <c r="I32" i="27"/>
  <c r="J32" i="27"/>
  <c r="K32" i="27"/>
  <c r="L32" i="27"/>
  <c r="F32" i="27"/>
  <c r="G31" i="27"/>
  <c r="H31" i="27"/>
  <c r="I31" i="27"/>
  <c r="J31" i="27"/>
  <c r="K31" i="27"/>
  <c r="L31" i="27"/>
  <c r="F31" i="27"/>
  <c r="G30" i="27"/>
  <c r="H30" i="27"/>
  <c r="I30" i="27"/>
  <c r="J30" i="27"/>
  <c r="K30" i="27"/>
  <c r="L30" i="27"/>
  <c r="F30" i="27"/>
  <c r="G29" i="27"/>
  <c r="H29" i="27"/>
  <c r="I29" i="27"/>
  <c r="J29" i="27"/>
  <c r="K29" i="27"/>
  <c r="L29" i="27"/>
  <c r="F29" i="27"/>
  <c r="G28" i="27"/>
  <c r="H28" i="27"/>
  <c r="I28" i="27"/>
  <c r="J28" i="27"/>
  <c r="K28" i="27"/>
  <c r="L28" i="27"/>
  <c r="F28" i="27"/>
  <c r="G27" i="27"/>
  <c r="H27" i="27"/>
  <c r="I27" i="27"/>
  <c r="J27" i="27"/>
  <c r="K27" i="27"/>
  <c r="L27" i="27"/>
  <c r="F27" i="27"/>
  <c r="G26" i="27"/>
  <c r="H26" i="27"/>
  <c r="I26" i="27"/>
  <c r="J26" i="27"/>
  <c r="K26" i="27"/>
  <c r="L26" i="27"/>
  <c r="F26" i="27"/>
  <c r="G25" i="27"/>
  <c r="H25" i="27"/>
  <c r="I25" i="27"/>
  <c r="J25" i="27"/>
  <c r="K25" i="27"/>
  <c r="L25" i="27"/>
  <c r="F25" i="27"/>
  <c r="G24" i="27"/>
  <c r="H24" i="27"/>
  <c r="I24" i="27"/>
  <c r="J24" i="27"/>
  <c r="K24" i="27"/>
  <c r="L24" i="27"/>
  <c r="F24" i="27"/>
  <c r="G23" i="27"/>
  <c r="H23" i="27"/>
  <c r="I23" i="27"/>
  <c r="J23" i="27"/>
  <c r="K23" i="27"/>
  <c r="L23" i="27"/>
  <c r="F23" i="27"/>
  <c r="O19" i="27"/>
  <c r="K19" i="27"/>
  <c r="G19" i="27"/>
  <c r="P19" i="27"/>
  <c r="R19" i="27"/>
  <c r="Q19" i="27"/>
  <c r="O18" i="27"/>
  <c r="K18" i="27"/>
  <c r="G18" i="27"/>
  <c r="P18" i="27"/>
  <c r="R18" i="27"/>
  <c r="Q18" i="27"/>
  <c r="O17" i="27"/>
  <c r="K17" i="27"/>
  <c r="G17" i="27"/>
  <c r="P17" i="27"/>
  <c r="R17" i="27"/>
  <c r="Q17" i="27"/>
  <c r="O16" i="27"/>
  <c r="K16" i="27"/>
  <c r="G16" i="27"/>
  <c r="P16" i="27"/>
  <c r="R16" i="27"/>
  <c r="Q16" i="27"/>
  <c r="O15" i="27"/>
  <c r="K15" i="27"/>
  <c r="G15" i="27"/>
  <c r="P15" i="27"/>
  <c r="R15" i="27"/>
  <c r="Q15" i="27"/>
  <c r="O14" i="27"/>
  <c r="K14" i="27"/>
  <c r="G14" i="27"/>
  <c r="P14" i="27"/>
  <c r="R14" i="27"/>
  <c r="Q14" i="27"/>
  <c r="O13" i="27"/>
  <c r="K13" i="27"/>
  <c r="G13" i="27"/>
  <c r="P13" i="27"/>
  <c r="R13" i="27"/>
  <c r="Q13" i="27"/>
  <c r="O12" i="27"/>
  <c r="K12" i="27"/>
  <c r="G12" i="27"/>
  <c r="P12" i="27"/>
  <c r="R12" i="27"/>
  <c r="Q12" i="27"/>
  <c r="O11" i="27"/>
  <c r="K11" i="27"/>
  <c r="G11" i="27"/>
  <c r="P11" i="27"/>
  <c r="R11" i="27"/>
  <c r="Q11" i="27"/>
  <c r="O10" i="27"/>
  <c r="K10" i="27"/>
  <c r="G10" i="27"/>
  <c r="P10" i="27"/>
  <c r="R10" i="27"/>
  <c r="Q10" i="27"/>
  <c r="O9" i="27"/>
  <c r="K9" i="27"/>
  <c r="G9" i="27"/>
  <c r="P9" i="27"/>
  <c r="R9" i="27"/>
  <c r="Q9" i="27"/>
  <c r="O8" i="27"/>
  <c r="K8" i="27"/>
  <c r="G8" i="27"/>
  <c r="P8" i="27"/>
  <c r="R8" i="27"/>
  <c r="Q8" i="27"/>
  <c r="O7" i="27"/>
  <c r="K7" i="27"/>
  <c r="G7" i="27"/>
  <c r="P7" i="27"/>
  <c r="R7" i="27"/>
  <c r="Q7" i="27"/>
  <c r="O6" i="27"/>
  <c r="K6" i="27"/>
  <c r="G6" i="27"/>
  <c r="P6" i="27"/>
  <c r="R6" i="27"/>
  <c r="Q6" i="27"/>
  <c r="O5" i="27"/>
  <c r="K5" i="27"/>
  <c r="G5" i="27"/>
  <c r="P5" i="27"/>
  <c r="R5" i="27"/>
  <c r="Q5" i="27"/>
  <c r="O4" i="27"/>
  <c r="K4" i="27"/>
  <c r="G4" i="27"/>
  <c r="P4" i="27"/>
  <c r="R4" i="27"/>
  <c r="Q4" i="27"/>
  <c r="N20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N7" i="26"/>
  <c r="N6" i="26"/>
  <c r="N5" i="26"/>
  <c r="N4" i="26"/>
  <c r="D48" i="25"/>
  <c r="F40" i="25"/>
  <c r="I38" i="25"/>
  <c r="J38" i="25"/>
  <c r="K38" i="25"/>
  <c r="L38" i="25"/>
  <c r="F38" i="25"/>
  <c r="G37" i="25"/>
  <c r="H37" i="25"/>
  <c r="I37" i="25"/>
  <c r="J37" i="25"/>
  <c r="K37" i="25"/>
  <c r="L37" i="25"/>
  <c r="F37" i="25"/>
  <c r="G36" i="25"/>
  <c r="H36" i="25"/>
  <c r="I36" i="25"/>
  <c r="J36" i="25"/>
  <c r="K36" i="25"/>
  <c r="L36" i="25"/>
  <c r="F36" i="25"/>
  <c r="G35" i="25"/>
  <c r="H35" i="25"/>
  <c r="I35" i="25"/>
  <c r="J35" i="25"/>
  <c r="K35" i="25"/>
  <c r="L35" i="25"/>
  <c r="F35" i="25"/>
  <c r="G34" i="25"/>
  <c r="H34" i="25"/>
  <c r="I34" i="25"/>
  <c r="J34" i="25"/>
  <c r="K34" i="25"/>
  <c r="L34" i="25"/>
  <c r="F34" i="25"/>
  <c r="G33" i="25"/>
  <c r="I33" i="25"/>
  <c r="J33" i="25"/>
  <c r="K33" i="25"/>
  <c r="L33" i="25"/>
  <c r="F33" i="25"/>
  <c r="G32" i="25"/>
  <c r="H32" i="25"/>
  <c r="I32" i="25"/>
  <c r="J32" i="25"/>
  <c r="K32" i="25"/>
  <c r="L32" i="25"/>
  <c r="F32" i="25"/>
  <c r="G31" i="25"/>
  <c r="H31" i="25"/>
  <c r="I31" i="25"/>
  <c r="J31" i="25"/>
  <c r="K31" i="25"/>
  <c r="L31" i="25"/>
  <c r="F31" i="25"/>
  <c r="G30" i="25"/>
  <c r="H30" i="25"/>
  <c r="I30" i="25"/>
  <c r="J30" i="25"/>
  <c r="K30" i="25"/>
  <c r="L30" i="25"/>
  <c r="F30" i="25"/>
  <c r="G29" i="25"/>
  <c r="H29" i="25"/>
  <c r="I29" i="25"/>
  <c r="J29" i="25"/>
  <c r="K29" i="25"/>
  <c r="L29" i="25"/>
  <c r="F29" i="25"/>
  <c r="G28" i="25"/>
  <c r="H28" i="25"/>
  <c r="I28" i="25"/>
  <c r="J28" i="25"/>
  <c r="K28" i="25"/>
  <c r="L28" i="25"/>
  <c r="F28" i="25"/>
  <c r="G27" i="25"/>
  <c r="H27" i="25"/>
  <c r="I27" i="25"/>
  <c r="J27" i="25"/>
  <c r="K27" i="25"/>
  <c r="L27" i="25"/>
  <c r="F27" i="25"/>
  <c r="G26" i="25"/>
  <c r="H26" i="25"/>
  <c r="I26" i="25"/>
  <c r="J26" i="25"/>
  <c r="K26" i="25"/>
  <c r="L26" i="25"/>
  <c r="F26" i="25"/>
  <c r="G25" i="25"/>
  <c r="H25" i="25"/>
  <c r="I25" i="25"/>
  <c r="J25" i="25"/>
  <c r="K25" i="25"/>
  <c r="L25" i="25"/>
  <c r="F25" i="25"/>
  <c r="G24" i="25"/>
  <c r="H24" i="25"/>
  <c r="I24" i="25"/>
  <c r="J24" i="25"/>
  <c r="K24" i="25"/>
  <c r="L24" i="25"/>
  <c r="F24" i="25"/>
  <c r="G23" i="25"/>
  <c r="H23" i="25"/>
  <c r="I23" i="25"/>
  <c r="J23" i="25"/>
  <c r="K23" i="25"/>
  <c r="L23" i="25"/>
  <c r="F23" i="25"/>
  <c r="O19" i="25"/>
  <c r="K19" i="25"/>
  <c r="G19" i="25"/>
  <c r="P19" i="25"/>
  <c r="R19" i="25"/>
  <c r="Q19" i="25"/>
  <c r="O18" i="25"/>
  <c r="K18" i="25"/>
  <c r="G18" i="25"/>
  <c r="P18" i="25"/>
  <c r="R18" i="25"/>
  <c r="Q18" i="25"/>
  <c r="O17" i="25"/>
  <c r="K17" i="25"/>
  <c r="G17" i="25"/>
  <c r="P17" i="25"/>
  <c r="R17" i="25"/>
  <c r="Q17" i="25"/>
  <c r="O16" i="25"/>
  <c r="K16" i="25"/>
  <c r="G16" i="25"/>
  <c r="P16" i="25"/>
  <c r="R16" i="25"/>
  <c r="Q16" i="25"/>
  <c r="O15" i="25"/>
  <c r="K15" i="25"/>
  <c r="G15" i="25"/>
  <c r="P15" i="25"/>
  <c r="R15" i="25"/>
  <c r="Q15" i="25"/>
  <c r="O14" i="25"/>
  <c r="K14" i="25"/>
  <c r="G14" i="25"/>
  <c r="P14" i="25"/>
  <c r="R14" i="25"/>
  <c r="Q14" i="25"/>
  <c r="O13" i="25"/>
  <c r="K13" i="25"/>
  <c r="G13" i="25"/>
  <c r="P13" i="25"/>
  <c r="R13" i="25"/>
  <c r="Q13" i="25"/>
  <c r="O12" i="25"/>
  <c r="K12" i="25"/>
  <c r="G12" i="25"/>
  <c r="P12" i="25"/>
  <c r="R12" i="25"/>
  <c r="Q12" i="25"/>
  <c r="O11" i="25"/>
  <c r="K11" i="25"/>
  <c r="G11" i="25"/>
  <c r="P11" i="25"/>
  <c r="R11" i="25"/>
  <c r="Q11" i="25"/>
  <c r="O10" i="25"/>
  <c r="K10" i="25"/>
  <c r="G10" i="25"/>
  <c r="P10" i="25"/>
  <c r="R10" i="25"/>
  <c r="Q10" i="25"/>
  <c r="O9" i="25"/>
  <c r="K9" i="25"/>
  <c r="G9" i="25"/>
  <c r="P9" i="25"/>
  <c r="R9" i="25"/>
  <c r="Q9" i="25"/>
  <c r="L8" i="25"/>
  <c r="O8" i="25"/>
  <c r="H8" i="25"/>
  <c r="K8" i="25"/>
  <c r="D8" i="25"/>
  <c r="G8" i="25"/>
  <c r="P8" i="25"/>
  <c r="R8" i="25"/>
  <c r="Q8" i="25"/>
  <c r="L7" i="25"/>
  <c r="O7" i="25"/>
  <c r="H7" i="25"/>
  <c r="K7" i="25"/>
  <c r="D7" i="25"/>
  <c r="G7" i="25"/>
  <c r="P7" i="25"/>
  <c r="R7" i="25"/>
  <c r="Q7" i="25"/>
  <c r="O6" i="25"/>
  <c r="K6" i="25"/>
  <c r="G6" i="25"/>
  <c r="P6" i="25"/>
  <c r="R6" i="25"/>
  <c r="Q6" i="25"/>
  <c r="O5" i="25"/>
  <c r="K5" i="25"/>
  <c r="G5" i="25"/>
  <c r="P5" i="25"/>
  <c r="R5" i="25"/>
  <c r="Q5" i="25"/>
  <c r="O4" i="25"/>
  <c r="K4" i="25"/>
  <c r="G4" i="25"/>
  <c r="P4" i="25"/>
  <c r="R4" i="25"/>
  <c r="Q4" i="25"/>
  <c r="B12" i="23"/>
  <c r="B3" i="23"/>
  <c r="B4" i="23"/>
  <c r="B8" i="23"/>
  <c r="C5" i="7"/>
  <c r="D5" i="7"/>
  <c r="E5" i="7"/>
  <c r="F5" i="7"/>
  <c r="G5" i="7"/>
  <c r="C6" i="7"/>
  <c r="D6" i="7"/>
  <c r="E6" i="7"/>
  <c r="F6" i="7"/>
  <c r="G6" i="7"/>
  <c r="C7" i="7"/>
  <c r="D7" i="7"/>
  <c r="E7" i="7"/>
  <c r="F7" i="7"/>
  <c r="G7" i="7"/>
  <c r="C8" i="7"/>
  <c r="D8" i="7"/>
  <c r="E8" i="7"/>
  <c r="F8" i="7"/>
  <c r="G8" i="7"/>
  <c r="C9" i="7"/>
  <c r="D9" i="7"/>
  <c r="E9" i="7"/>
  <c r="F9" i="7"/>
  <c r="G9" i="7"/>
  <c r="C10" i="7"/>
  <c r="D10" i="7"/>
  <c r="E10" i="7"/>
  <c r="F10" i="7"/>
  <c r="G10" i="7"/>
  <c r="C11" i="7"/>
  <c r="D11" i="7"/>
  <c r="E11" i="7"/>
  <c r="F11" i="7"/>
  <c r="G11" i="7"/>
  <c r="C12" i="7"/>
  <c r="D12" i="7"/>
  <c r="E12" i="7"/>
  <c r="F12" i="7"/>
  <c r="G12" i="7"/>
  <c r="C13" i="7"/>
  <c r="D13" i="7"/>
  <c r="E13" i="7"/>
  <c r="F13" i="7"/>
  <c r="G13" i="7"/>
  <c r="C14" i="7"/>
  <c r="D14" i="7"/>
  <c r="E14" i="7"/>
  <c r="F14" i="7"/>
  <c r="G14" i="7"/>
  <c r="C15" i="7"/>
  <c r="D15" i="7"/>
  <c r="E15" i="7"/>
  <c r="F15" i="7"/>
  <c r="G15" i="7"/>
  <c r="C16" i="7"/>
  <c r="D16" i="7"/>
  <c r="E16" i="7"/>
  <c r="F16" i="7"/>
  <c r="G16" i="7"/>
  <c r="C17" i="7"/>
  <c r="D17" i="7"/>
  <c r="E17" i="7"/>
  <c r="F17" i="7"/>
  <c r="G17" i="7"/>
  <c r="C18" i="7"/>
  <c r="D18" i="7"/>
  <c r="E18" i="7"/>
  <c r="F18" i="7"/>
  <c r="G18" i="7"/>
  <c r="C19" i="7"/>
  <c r="D19" i="7"/>
  <c r="E19" i="7"/>
  <c r="F19" i="7"/>
  <c r="G19" i="7"/>
  <c r="C20" i="7"/>
  <c r="D20" i="7"/>
  <c r="E20" i="7"/>
  <c r="F20" i="7"/>
  <c r="G20" i="7"/>
  <c r="C21" i="7"/>
  <c r="D21" i="7"/>
  <c r="E21" i="7"/>
  <c r="F21" i="7"/>
  <c r="G21" i="7"/>
  <c r="C22" i="7"/>
  <c r="D22" i="7"/>
  <c r="E22" i="7"/>
  <c r="F22" i="7"/>
  <c r="G22" i="7"/>
  <c r="C23" i="7"/>
  <c r="D23" i="7"/>
  <c r="E23" i="7"/>
  <c r="F23" i="7"/>
  <c r="G23" i="7"/>
  <c r="C24" i="7"/>
  <c r="D24" i="7"/>
  <c r="E24" i="7"/>
  <c r="F24" i="7"/>
  <c r="G24" i="7"/>
  <c r="C25" i="7"/>
  <c r="D25" i="7"/>
  <c r="E25" i="7"/>
  <c r="F25" i="7"/>
  <c r="G25" i="7"/>
  <c r="C26" i="7"/>
  <c r="D26" i="7"/>
  <c r="E26" i="7"/>
  <c r="F26" i="7"/>
  <c r="G26" i="7"/>
  <c r="C27" i="7"/>
  <c r="D27" i="7"/>
  <c r="E27" i="7"/>
  <c r="F27" i="7"/>
  <c r="G27" i="7"/>
  <c r="C28" i="7"/>
  <c r="D28" i="7"/>
  <c r="E28" i="7"/>
  <c r="F28" i="7"/>
  <c r="G28" i="7"/>
  <c r="C29" i="7"/>
  <c r="D29" i="7"/>
  <c r="E29" i="7"/>
  <c r="F29" i="7"/>
  <c r="G29" i="7"/>
  <c r="C30" i="7"/>
  <c r="D30" i="7"/>
  <c r="E30" i="7"/>
  <c r="F30" i="7"/>
  <c r="G30" i="7"/>
  <c r="C31" i="7"/>
  <c r="D31" i="7"/>
  <c r="E31" i="7"/>
  <c r="F31" i="7"/>
  <c r="G31" i="7"/>
  <c r="C32" i="7"/>
  <c r="D32" i="7"/>
  <c r="E32" i="7"/>
  <c r="F32" i="7"/>
  <c r="G32" i="7"/>
  <c r="C33" i="7"/>
  <c r="D33" i="7"/>
  <c r="E33" i="7"/>
  <c r="F33" i="7"/>
  <c r="G33" i="7"/>
  <c r="C34" i="7"/>
  <c r="D34" i="7"/>
  <c r="E34" i="7"/>
  <c r="F34" i="7"/>
  <c r="G34" i="7"/>
  <c r="C35" i="7"/>
  <c r="D35" i="7"/>
  <c r="E35" i="7"/>
  <c r="F35" i="7"/>
  <c r="G35" i="7"/>
  <c r="C36" i="7"/>
  <c r="D36" i="7"/>
  <c r="E36" i="7"/>
  <c r="F36" i="7"/>
  <c r="G36" i="7"/>
  <c r="C37" i="7"/>
  <c r="D37" i="7"/>
  <c r="E37" i="7"/>
  <c r="F37" i="7"/>
  <c r="G37" i="7"/>
  <c r="C38" i="7"/>
  <c r="D38" i="7"/>
  <c r="E38" i="7"/>
  <c r="F38" i="7"/>
  <c r="G38" i="7"/>
  <c r="C39" i="7"/>
  <c r="D39" i="7"/>
  <c r="E39" i="7"/>
  <c r="F39" i="7"/>
  <c r="G39" i="7"/>
  <c r="C40" i="7"/>
  <c r="D40" i="7"/>
  <c r="E40" i="7"/>
  <c r="F40" i="7"/>
  <c r="G40" i="7"/>
  <c r="C41" i="7"/>
  <c r="D41" i="7"/>
  <c r="E41" i="7"/>
  <c r="F41" i="7"/>
  <c r="G41" i="7"/>
  <c r="C42" i="7"/>
  <c r="D42" i="7"/>
  <c r="E42" i="7"/>
  <c r="F42" i="7"/>
  <c r="G42" i="7"/>
  <c r="C43" i="7"/>
  <c r="D43" i="7"/>
  <c r="E43" i="7"/>
  <c r="F43" i="7"/>
  <c r="G43" i="7"/>
  <c r="C44" i="7"/>
  <c r="D44" i="7"/>
  <c r="E44" i="7"/>
  <c r="F44" i="7"/>
  <c r="G44" i="7"/>
  <c r="C45" i="7"/>
  <c r="D45" i="7"/>
  <c r="E45" i="7"/>
  <c r="F45" i="7"/>
  <c r="G45" i="7"/>
  <c r="C46" i="7"/>
  <c r="D46" i="7"/>
  <c r="E46" i="7"/>
  <c r="F46" i="7"/>
  <c r="G46" i="7"/>
  <c r="C47" i="7"/>
  <c r="D47" i="7"/>
  <c r="E47" i="7"/>
  <c r="F47" i="7"/>
  <c r="G47" i="7"/>
  <c r="C48" i="7"/>
  <c r="D48" i="7"/>
  <c r="E48" i="7"/>
  <c r="F48" i="7"/>
  <c r="G48" i="7"/>
  <c r="C49" i="7"/>
  <c r="D49" i="7"/>
  <c r="E49" i="7"/>
  <c r="F49" i="7"/>
  <c r="G49" i="7"/>
  <c r="C50" i="7"/>
  <c r="D50" i="7"/>
  <c r="E50" i="7"/>
  <c r="F50" i="7"/>
  <c r="G50" i="7"/>
  <c r="C51" i="7"/>
  <c r="D51" i="7"/>
  <c r="E51" i="7"/>
  <c r="F51" i="7"/>
  <c r="G51" i="7"/>
  <c r="C52" i="7"/>
  <c r="D52" i="7"/>
  <c r="E52" i="7"/>
  <c r="F52" i="7"/>
  <c r="G52" i="7"/>
  <c r="C53" i="7"/>
  <c r="D53" i="7"/>
  <c r="E53" i="7"/>
  <c r="F53" i="7"/>
  <c r="G53" i="7"/>
  <c r="C54" i="7"/>
  <c r="D54" i="7"/>
  <c r="E54" i="7"/>
  <c r="F54" i="7"/>
  <c r="G54" i="7"/>
  <c r="C55" i="7"/>
  <c r="D55" i="7"/>
  <c r="E55" i="7"/>
  <c r="F55" i="7"/>
  <c r="G55" i="7"/>
  <c r="C56" i="7"/>
  <c r="D56" i="7"/>
  <c r="E56" i="7"/>
  <c r="F56" i="7"/>
  <c r="G56" i="7"/>
  <c r="C57" i="7"/>
  <c r="D57" i="7"/>
  <c r="E57" i="7"/>
  <c r="F57" i="7"/>
  <c r="G57" i="7"/>
  <c r="C58" i="7"/>
  <c r="D58" i="7"/>
  <c r="E58" i="7"/>
  <c r="F58" i="7"/>
  <c r="G58" i="7"/>
  <c r="C59" i="7"/>
  <c r="D59" i="7"/>
  <c r="E59" i="7"/>
  <c r="F59" i="7"/>
  <c r="G59" i="7"/>
  <c r="C60" i="7"/>
  <c r="D60" i="7"/>
  <c r="E60" i="7"/>
  <c r="F60" i="7"/>
  <c r="G60" i="7"/>
  <c r="C61" i="7"/>
  <c r="D61" i="7"/>
  <c r="E61" i="7"/>
  <c r="F61" i="7"/>
  <c r="G61" i="7"/>
  <c r="C62" i="7"/>
  <c r="D62" i="7"/>
  <c r="E62" i="7"/>
  <c r="F62" i="7"/>
  <c r="G62" i="7"/>
  <c r="C63" i="7"/>
  <c r="D63" i="7"/>
  <c r="E63" i="7"/>
  <c r="F63" i="7"/>
  <c r="G63" i="7"/>
  <c r="C64" i="7"/>
  <c r="D64" i="7"/>
  <c r="E64" i="7"/>
  <c r="F64" i="7"/>
  <c r="G64" i="7"/>
  <c r="C65" i="7"/>
  <c r="D65" i="7"/>
  <c r="E65" i="7"/>
  <c r="F65" i="7"/>
  <c r="G65" i="7"/>
  <c r="C66" i="7"/>
  <c r="D66" i="7"/>
  <c r="E66" i="7"/>
  <c r="F66" i="7"/>
  <c r="G66" i="7"/>
  <c r="C67" i="7"/>
  <c r="D67" i="7"/>
  <c r="E67" i="7"/>
  <c r="F67" i="7"/>
  <c r="G67" i="7"/>
  <c r="C68" i="7"/>
  <c r="D68" i="7"/>
  <c r="E68" i="7"/>
  <c r="F68" i="7"/>
  <c r="G68" i="7"/>
  <c r="C69" i="7"/>
  <c r="D69" i="7"/>
  <c r="E69" i="7"/>
  <c r="F69" i="7"/>
  <c r="G69" i="7"/>
  <c r="C70" i="7"/>
  <c r="D70" i="7"/>
  <c r="E70" i="7"/>
  <c r="F70" i="7"/>
  <c r="G70" i="7"/>
  <c r="C71" i="7"/>
  <c r="D71" i="7"/>
  <c r="E71" i="7"/>
  <c r="F71" i="7"/>
  <c r="G71" i="7"/>
  <c r="C72" i="7"/>
  <c r="D72" i="7"/>
  <c r="E72" i="7"/>
  <c r="F72" i="7"/>
  <c r="G72" i="7"/>
  <c r="C73" i="7"/>
  <c r="D73" i="7"/>
  <c r="E73" i="7"/>
  <c r="F73" i="7"/>
  <c r="G73" i="7"/>
  <c r="C74" i="7"/>
  <c r="D74" i="7"/>
  <c r="E74" i="7"/>
  <c r="F74" i="7"/>
  <c r="G74" i="7"/>
  <c r="C75" i="7"/>
  <c r="D75" i="7"/>
  <c r="E75" i="7"/>
  <c r="F75" i="7"/>
  <c r="G75" i="7"/>
  <c r="C76" i="7"/>
  <c r="D76" i="7"/>
  <c r="E76" i="7"/>
  <c r="F76" i="7"/>
  <c r="G76" i="7"/>
  <c r="C77" i="7"/>
  <c r="D77" i="7"/>
  <c r="E77" i="7"/>
  <c r="F77" i="7"/>
  <c r="G77" i="7"/>
  <c r="C78" i="7"/>
  <c r="D78" i="7"/>
  <c r="E78" i="7"/>
  <c r="F78" i="7"/>
  <c r="G78" i="7"/>
  <c r="C79" i="7"/>
  <c r="D79" i="7"/>
  <c r="E79" i="7"/>
  <c r="F79" i="7"/>
  <c r="G79" i="7"/>
  <c r="C80" i="7"/>
  <c r="D80" i="7"/>
  <c r="E80" i="7"/>
  <c r="F80" i="7"/>
  <c r="G80" i="7"/>
  <c r="C81" i="7"/>
  <c r="D81" i="7"/>
  <c r="E81" i="7"/>
  <c r="F81" i="7"/>
  <c r="G81" i="7"/>
  <c r="C82" i="7"/>
  <c r="D82" i="7"/>
  <c r="E82" i="7"/>
  <c r="F82" i="7"/>
  <c r="G82" i="7"/>
  <c r="C83" i="7"/>
  <c r="D83" i="7"/>
  <c r="E83" i="7"/>
  <c r="F83" i="7"/>
  <c r="G83" i="7"/>
  <c r="C84" i="7"/>
  <c r="D84" i="7"/>
  <c r="E84" i="7"/>
  <c r="F84" i="7"/>
  <c r="G84" i="7"/>
  <c r="C85" i="7"/>
  <c r="D85" i="7"/>
  <c r="E85" i="7"/>
  <c r="F85" i="7"/>
  <c r="G85" i="7"/>
  <c r="C86" i="7"/>
  <c r="D86" i="7"/>
  <c r="E86" i="7"/>
  <c r="F86" i="7"/>
  <c r="G86" i="7"/>
  <c r="C87" i="7"/>
  <c r="D87" i="7"/>
  <c r="E87" i="7"/>
  <c r="F87" i="7"/>
  <c r="G87" i="7"/>
  <c r="C88" i="7"/>
  <c r="D88" i="7"/>
  <c r="E88" i="7"/>
  <c r="F88" i="7"/>
  <c r="G88" i="7"/>
  <c r="C89" i="7"/>
  <c r="D89" i="7"/>
  <c r="E89" i="7"/>
  <c r="F89" i="7"/>
  <c r="G89" i="7"/>
  <c r="C90" i="7"/>
  <c r="D90" i="7"/>
  <c r="E90" i="7"/>
  <c r="F90" i="7"/>
  <c r="G90" i="7"/>
  <c r="C91" i="7"/>
  <c r="D91" i="7"/>
  <c r="E91" i="7"/>
  <c r="F91" i="7"/>
  <c r="G91" i="7"/>
  <c r="C92" i="7"/>
  <c r="D92" i="7"/>
  <c r="E92" i="7"/>
  <c r="F92" i="7"/>
  <c r="G92" i="7"/>
  <c r="C93" i="7"/>
  <c r="D93" i="7"/>
  <c r="E93" i="7"/>
  <c r="F93" i="7"/>
  <c r="G93" i="7"/>
  <c r="C94" i="7"/>
  <c r="D94" i="7"/>
  <c r="E94" i="7"/>
  <c r="F94" i="7"/>
  <c r="G94" i="7"/>
  <c r="C95" i="7"/>
  <c r="D95" i="7"/>
  <c r="E95" i="7"/>
  <c r="F95" i="7"/>
  <c r="G95" i="7"/>
  <c r="C96" i="7"/>
  <c r="D96" i="7"/>
  <c r="E96" i="7"/>
  <c r="F96" i="7"/>
  <c r="G96" i="7"/>
  <c r="C97" i="7"/>
  <c r="D97" i="7"/>
  <c r="E97" i="7"/>
  <c r="F97" i="7"/>
  <c r="G97" i="7"/>
  <c r="C98" i="7"/>
  <c r="D98" i="7"/>
  <c r="E98" i="7"/>
  <c r="F98" i="7"/>
  <c r="G98" i="7"/>
  <c r="C99" i="7"/>
  <c r="D99" i="7"/>
  <c r="E99" i="7"/>
  <c r="F99" i="7"/>
  <c r="G99" i="7"/>
  <c r="C100" i="7"/>
  <c r="D100" i="7"/>
  <c r="E100" i="7"/>
  <c r="F100" i="7"/>
  <c r="G100" i="7"/>
  <c r="C101" i="7"/>
  <c r="D101" i="7"/>
  <c r="E101" i="7"/>
  <c r="F101" i="7"/>
  <c r="G101" i="7"/>
  <c r="F101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66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53" i="17"/>
  <c r="F42" i="17"/>
  <c r="F43" i="17"/>
  <c r="F44" i="17"/>
  <c r="F45" i="17"/>
  <c r="F46" i="17"/>
  <c r="F47" i="17"/>
  <c r="F48" i="17"/>
  <c r="F49" i="17"/>
  <c r="F50" i="17"/>
  <c r="F51" i="17"/>
  <c r="F52" i="17"/>
  <c r="F41" i="17"/>
  <c r="F40" i="17"/>
  <c r="F39" i="17"/>
  <c r="F37" i="17"/>
  <c r="F38" i="17"/>
  <c r="F36" i="17"/>
  <c r="F34" i="17"/>
  <c r="F35" i="17"/>
  <c r="F33" i="17"/>
  <c r="F32" i="17"/>
  <c r="F31" i="17"/>
  <c r="F29" i="17"/>
  <c r="F30" i="17"/>
  <c r="F28" i="17"/>
  <c r="F26" i="17"/>
  <c r="F27" i="17"/>
  <c r="F25" i="17"/>
  <c r="F24" i="17"/>
  <c r="F23" i="17"/>
  <c r="F21" i="17"/>
  <c r="F22" i="17"/>
  <c r="F20" i="17"/>
  <c r="F18" i="17"/>
  <c r="F19" i="17"/>
  <c r="F17" i="17"/>
  <c r="F16" i="17"/>
  <c r="F15" i="17"/>
  <c r="F13" i="17"/>
  <c r="F14" i="17"/>
  <c r="F12" i="17"/>
  <c r="F10" i="17"/>
  <c r="F11" i="17"/>
  <c r="F9" i="17"/>
  <c r="F6" i="17"/>
  <c r="F7" i="17"/>
  <c r="F8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5" i="17"/>
  <c r="H5" i="22"/>
  <c r="U5" i="22"/>
  <c r="L5" i="22"/>
  <c r="V5" i="22"/>
  <c r="P5" i="22"/>
  <c r="W5" i="22"/>
  <c r="X5" i="22"/>
  <c r="H6" i="22"/>
  <c r="U6" i="22"/>
  <c r="L6" i="22"/>
  <c r="V6" i="22"/>
  <c r="P6" i="22"/>
  <c r="W6" i="22"/>
  <c r="X6" i="22"/>
  <c r="H7" i="22"/>
  <c r="U7" i="22"/>
  <c r="L7" i="22"/>
  <c r="V7" i="22"/>
  <c r="P7" i="22"/>
  <c r="W7" i="22"/>
  <c r="X7" i="22"/>
  <c r="H8" i="22"/>
  <c r="U8" i="22"/>
  <c r="L8" i="22"/>
  <c r="V8" i="22"/>
  <c r="P8" i="22"/>
  <c r="W8" i="22"/>
  <c r="X8" i="22"/>
  <c r="H9" i="22"/>
  <c r="U9" i="22"/>
  <c r="L9" i="22"/>
  <c r="V9" i="22"/>
  <c r="P9" i="22"/>
  <c r="W9" i="22"/>
  <c r="X9" i="22"/>
  <c r="H10" i="22"/>
  <c r="U10" i="22"/>
  <c r="L10" i="22"/>
  <c r="V10" i="22"/>
  <c r="P10" i="22"/>
  <c r="W10" i="22"/>
  <c r="X10" i="22"/>
  <c r="H11" i="22"/>
  <c r="U11" i="22"/>
  <c r="L11" i="22"/>
  <c r="V11" i="22"/>
  <c r="P11" i="22"/>
  <c r="W11" i="22"/>
  <c r="X11" i="22"/>
  <c r="H12" i="22"/>
  <c r="U12" i="22"/>
  <c r="L12" i="22"/>
  <c r="V12" i="22"/>
  <c r="P12" i="22"/>
  <c r="W12" i="22"/>
  <c r="X12" i="22"/>
  <c r="H13" i="22"/>
  <c r="U13" i="22"/>
  <c r="L13" i="22"/>
  <c r="V13" i="22"/>
  <c r="P13" i="22"/>
  <c r="W13" i="22"/>
  <c r="X13" i="22"/>
  <c r="H14" i="22"/>
  <c r="U14" i="22"/>
  <c r="L14" i="22"/>
  <c r="V14" i="22"/>
  <c r="P14" i="22"/>
  <c r="W14" i="22"/>
  <c r="X14" i="22"/>
  <c r="H15" i="22"/>
  <c r="U15" i="22"/>
  <c r="L15" i="22"/>
  <c r="V15" i="22"/>
  <c r="P15" i="22"/>
  <c r="W15" i="22"/>
  <c r="X15" i="22"/>
  <c r="H16" i="22"/>
  <c r="U16" i="22"/>
  <c r="L16" i="22"/>
  <c r="V16" i="22"/>
  <c r="P16" i="22"/>
  <c r="W16" i="22"/>
  <c r="X16" i="22"/>
  <c r="H17" i="22"/>
  <c r="U17" i="22"/>
  <c r="L17" i="22"/>
  <c r="V17" i="22"/>
  <c r="P17" i="22"/>
  <c r="W17" i="22"/>
  <c r="X17" i="22"/>
  <c r="H18" i="22"/>
  <c r="U18" i="22"/>
  <c r="L18" i="22"/>
  <c r="V18" i="22"/>
  <c r="P18" i="22"/>
  <c r="W18" i="22"/>
  <c r="X18" i="22"/>
  <c r="H19" i="22"/>
  <c r="U19" i="22"/>
  <c r="L19" i="22"/>
  <c r="V19" i="22"/>
  <c r="P19" i="22"/>
  <c r="W19" i="22"/>
  <c r="X19" i="22"/>
  <c r="H20" i="22"/>
  <c r="U20" i="22"/>
  <c r="L20" i="22"/>
  <c r="V20" i="22"/>
  <c r="P20" i="22"/>
  <c r="W20" i="22"/>
  <c r="X20" i="22"/>
  <c r="H4" i="22"/>
  <c r="U4" i="22"/>
  <c r="L4" i="22"/>
  <c r="V4" i="22"/>
  <c r="P4" i="22"/>
  <c r="W4" i="22"/>
  <c r="X4" i="22"/>
  <c r="R4" i="22"/>
  <c r="B10" i="23"/>
  <c r="B9" i="2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I2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L41" i="8"/>
  <c r="L25" i="8"/>
  <c r="B6" i="23"/>
  <c r="L20" i="8"/>
  <c r="L4" i="8"/>
  <c r="B5" i="23"/>
  <c r="M41" i="8"/>
  <c r="M25" i="8"/>
  <c r="C6" i="23"/>
  <c r="M20" i="8"/>
  <c r="M4" i="8"/>
  <c r="C5" i="23"/>
  <c r="U4" i="8"/>
  <c r="U20" i="8"/>
  <c r="C4" i="23"/>
  <c r="Q4" i="8"/>
  <c r="Q20" i="8"/>
  <c r="C3" i="23"/>
  <c r="T20" i="8"/>
  <c r="T4" i="8"/>
  <c r="P4" i="8"/>
  <c r="P20" i="8"/>
  <c r="I4" i="8"/>
  <c r="I20" i="8"/>
  <c r="C2" i="23"/>
  <c r="H4" i="8"/>
  <c r="H20" i="8"/>
  <c r="B2" i="23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19" i="2"/>
  <c r="C4" i="2"/>
  <c r="C5" i="2"/>
  <c r="C6" i="2"/>
  <c r="C7" i="2"/>
  <c r="C8" i="2"/>
  <c r="C9" i="2"/>
  <c r="C10" i="2"/>
  <c r="C11" i="2"/>
  <c r="C12" i="2"/>
  <c r="C13" i="2"/>
  <c r="D13" i="2"/>
  <c r="F20" i="2"/>
  <c r="J20" i="2"/>
  <c r="K20" i="2"/>
  <c r="C17" i="23"/>
  <c r="C18" i="23"/>
  <c r="I24" i="8"/>
  <c r="G24" i="16"/>
  <c r="H24" i="16"/>
  <c r="G24" i="14"/>
  <c r="H24" i="14"/>
  <c r="G24" i="21"/>
  <c r="H24" i="21"/>
  <c r="G24" i="20"/>
  <c r="H24" i="20"/>
  <c r="G24" i="15"/>
  <c r="H24" i="15"/>
  <c r="G24" i="18"/>
  <c r="H24" i="18"/>
  <c r="G24" i="19"/>
  <c r="H24" i="19"/>
  <c r="H41" i="8"/>
  <c r="I41" i="8"/>
  <c r="P41" i="8"/>
  <c r="Q41" i="8"/>
  <c r="G20" i="5"/>
  <c r="Q20" i="22"/>
  <c r="R20" i="22"/>
  <c r="S20" i="22"/>
  <c r="T20" i="22"/>
  <c r="Q20" i="3"/>
  <c r="R20" i="3"/>
  <c r="S20" i="3"/>
  <c r="C14" i="2"/>
  <c r="C15" i="2"/>
  <c r="C16" i="2"/>
  <c r="C17" i="2"/>
  <c r="C18" i="2"/>
  <c r="C19" i="2"/>
  <c r="C20" i="2"/>
  <c r="D20" i="2"/>
  <c r="C3" i="2"/>
  <c r="H19" i="8"/>
  <c r="L40" i="8"/>
  <c r="D21" i="23"/>
  <c r="L19" i="8"/>
  <c r="T19" i="8"/>
  <c r="I20" i="4"/>
  <c r="J20" i="4"/>
  <c r="P19" i="8"/>
  <c r="Q5" i="22"/>
  <c r="Q6" i="22"/>
  <c r="Q7" i="22"/>
  <c r="Q8" i="22"/>
  <c r="Q9" i="22"/>
  <c r="Q10" i="22"/>
  <c r="Q11" i="22"/>
  <c r="Q12" i="22"/>
  <c r="Q13" i="22"/>
  <c r="Q14" i="22"/>
  <c r="Q15" i="22"/>
  <c r="Q16" i="22"/>
  <c r="Q17" i="22"/>
  <c r="Q18" i="22"/>
  <c r="Q19" i="22"/>
  <c r="Q4" i="22"/>
  <c r="T5" i="22"/>
  <c r="T6" i="22"/>
  <c r="T7" i="22"/>
  <c r="T8" i="22"/>
  <c r="T9" i="22"/>
  <c r="T10" i="22"/>
  <c r="T11" i="22"/>
  <c r="T12" i="22"/>
  <c r="T13" i="22"/>
  <c r="T14" i="22"/>
  <c r="T15" i="22"/>
  <c r="T16" i="22"/>
  <c r="T17" i="22"/>
  <c r="T18" i="22"/>
  <c r="T19" i="22"/>
  <c r="T4" i="22"/>
  <c r="S5" i="22"/>
  <c r="S6" i="22"/>
  <c r="S7" i="22"/>
  <c r="S8" i="22"/>
  <c r="S9" i="22"/>
  <c r="S10" i="22"/>
  <c r="S11" i="22"/>
  <c r="S12" i="22"/>
  <c r="S13" i="22"/>
  <c r="S14" i="22"/>
  <c r="S15" i="22"/>
  <c r="S16" i="22"/>
  <c r="S17" i="22"/>
  <c r="S18" i="22"/>
  <c r="S19" i="22"/>
  <c r="S4" i="22"/>
  <c r="R5" i="22"/>
  <c r="R6" i="22"/>
  <c r="R7" i="22"/>
  <c r="R8" i="22"/>
  <c r="R9" i="22"/>
  <c r="R10" i="22"/>
  <c r="R11" i="22"/>
  <c r="R12" i="22"/>
  <c r="R13" i="22"/>
  <c r="R14" i="22"/>
  <c r="R15" i="22"/>
  <c r="R16" i="22"/>
  <c r="R17" i="22"/>
  <c r="R18" i="22"/>
  <c r="R19" i="22"/>
  <c r="G10" i="18"/>
  <c r="H10" i="18"/>
  <c r="G11" i="18"/>
  <c r="H11" i="18"/>
  <c r="G12" i="18"/>
  <c r="H12" i="18"/>
  <c r="G13" i="18"/>
  <c r="H13" i="18"/>
  <c r="G14" i="18"/>
  <c r="H14" i="18"/>
  <c r="G15" i="18"/>
  <c r="H15" i="18"/>
  <c r="G16" i="18"/>
  <c r="H16" i="18"/>
  <c r="G17" i="18"/>
  <c r="H17" i="18"/>
  <c r="G18" i="18"/>
  <c r="H18" i="18"/>
  <c r="G19" i="18"/>
  <c r="H19" i="18"/>
  <c r="G20" i="18"/>
  <c r="H20" i="18"/>
  <c r="G21" i="18"/>
  <c r="H21" i="18"/>
  <c r="G22" i="18"/>
  <c r="H22" i="18"/>
  <c r="G23" i="18"/>
  <c r="H23" i="18"/>
  <c r="G7" i="18"/>
  <c r="H7" i="18"/>
  <c r="G8" i="18"/>
  <c r="H8" i="18"/>
  <c r="G9" i="18"/>
  <c r="H9" i="18"/>
  <c r="D22" i="23"/>
  <c r="D5" i="17"/>
  <c r="E5" i="17"/>
  <c r="F5" i="17"/>
  <c r="G5" i="17"/>
  <c r="D6" i="17"/>
  <c r="E6" i="17"/>
  <c r="G6" i="17"/>
  <c r="D7" i="17"/>
  <c r="E7" i="17"/>
  <c r="G7" i="17"/>
  <c r="D8" i="17"/>
  <c r="E8" i="17"/>
  <c r="G8" i="17"/>
  <c r="D9" i="17"/>
  <c r="E9" i="17"/>
  <c r="G9" i="17"/>
  <c r="D10" i="17"/>
  <c r="E10" i="17"/>
  <c r="G10" i="17"/>
  <c r="D11" i="17"/>
  <c r="E11" i="17"/>
  <c r="G11" i="17"/>
  <c r="D12" i="17"/>
  <c r="E12" i="17"/>
  <c r="G12" i="17"/>
  <c r="D13" i="17"/>
  <c r="E13" i="17"/>
  <c r="G13" i="17"/>
  <c r="D14" i="17"/>
  <c r="E14" i="17"/>
  <c r="G14" i="17"/>
  <c r="D15" i="17"/>
  <c r="E15" i="17"/>
  <c r="G15" i="17"/>
  <c r="D16" i="17"/>
  <c r="E16" i="17"/>
  <c r="G16" i="17"/>
  <c r="D17" i="17"/>
  <c r="E17" i="17"/>
  <c r="G17" i="17"/>
  <c r="D18" i="17"/>
  <c r="E18" i="17"/>
  <c r="G18" i="17"/>
  <c r="D19" i="17"/>
  <c r="E19" i="17"/>
  <c r="G19" i="17"/>
  <c r="D20" i="17"/>
  <c r="E20" i="17"/>
  <c r="G20" i="17"/>
  <c r="D21" i="17"/>
  <c r="E21" i="17"/>
  <c r="G21" i="17"/>
  <c r="D22" i="17"/>
  <c r="E22" i="17"/>
  <c r="G22" i="17"/>
  <c r="D23" i="17"/>
  <c r="E23" i="17"/>
  <c r="G23" i="17"/>
  <c r="D24" i="17"/>
  <c r="E24" i="17"/>
  <c r="G24" i="17"/>
  <c r="D25" i="17"/>
  <c r="E25" i="17"/>
  <c r="G25" i="17"/>
  <c r="D26" i="17"/>
  <c r="E26" i="17"/>
  <c r="G26" i="17"/>
  <c r="D27" i="17"/>
  <c r="E27" i="17"/>
  <c r="G27" i="17"/>
  <c r="D28" i="17"/>
  <c r="E28" i="17"/>
  <c r="G28" i="17"/>
  <c r="D29" i="17"/>
  <c r="E29" i="17"/>
  <c r="G29" i="17"/>
  <c r="D30" i="17"/>
  <c r="E30" i="17"/>
  <c r="G30" i="17"/>
  <c r="D31" i="17"/>
  <c r="E31" i="17"/>
  <c r="G31" i="17"/>
  <c r="D32" i="17"/>
  <c r="E32" i="17"/>
  <c r="G32" i="17"/>
  <c r="D33" i="17"/>
  <c r="E33" i="17"/>
  <c r="G33" i="17"/>
  <c r="D34" i="17"/>
  <c r="E34" i="17"/>
  <c r="G34" i="17"/>
  <c r="D35" i="17"/>
  <c r="E35" i="17"/>
  <c r="G35" i="17"/>
  <c r="D36" i="17"/>
  <c r="E36" i="17"/>
  <c r="G36" i="17"/>
  <c r="D37" i="17"/>
  <c r="E37" i="17"/>
  <c r="G37" i="17"/>
  <c r="D38" i="17"/>
  <c r="E38" i="17"/>
  <c r="G38" i="17"/>
  <c r="D39" i="17"/>
  <c r="E39" i="17"/>
  <c r="G39" i="17"/>
  <c r="D40" i="17"/>
  <c r="E40" i="17"/>
  <c r="G40" i="17"/>
  <c r="D41" i="17"/>
  <c r="E41" i="17"/>
  <c r="G41" i="17"/>
  <c r="D42" i="17"/>
  <c r="E42" i="17"/>
  <c r="G42" i="17"/>
  <c r="D43" i="17"/>
  <c r="E43" i="17"/>
  <c r="G43" i="17"/>
  <c r="D44" i="17"/>
  <c r="E44" i="17"/>
  <c r="G44" i="17"/>
  <c r="D45" i="17"/>
  <c r="E45" i="17"/>
  <c r="G45" i="17"/>
  <c r="D46" i="17"/>
  <c r="E46" i="17"/>
  <c r="G46" i="17"/>
  <c r="D47" i="17"/>
  <c r="E47" i="17"/>
  <c r="G47" i="17"/>
  <c r="D48" i="17"/>
  <c r="E48" i="17"/>
  <c r="G48" i="17"/>
  <c r="D49" i="17"/>
  <c r="E49" i="17"/>
  <c r="G49" i="17"/>
  <c r="D50" i="17"/>
  <c r="E50" i="17"/>
  <c r="G50" i="17"/>
  <c r="D51" i="17"/>
  <c r="E51" i="17"/>
  <c r="G51" i="17"/>
  <c r="D52" i="17"/>
  <c r="E52" i="17"/>
  <c r="G52" i="17"/>
  <c r="D53" i="17"/>
  <c r="E53" i="17"/>
  <c r="G53" i="17"/>
  <c r="D54" i="17"/>
  <c r="E54" i="17"/>
  <c r="G54" i="17"/>
  <c r="D55" i="17"/>
  <c r="E55" i="17"/>
  <c r="G55" i="17"/>
  <c r="D56" i="17"/>
  <c r="E56" i="17"/>
  <c r="G56" i="17"/>
  <c r="D57" i="17"/>
  <c r="E57" i="17"/>
  <c r="G57" i="17"/>
  <c r="D58" i="17"/>
  <c r="E58" i="17"/>
  <c r="G58" i="17"/>
  <c r="D59" i="17"/>
  <c r="E59" i="17"/>
  <c r="G59" i="17"/>
  <c r="D60" i="17"/>
  <c r="E60" i="17"/>
  <c r="G60" i="17"/>
  <c r="D61" i="17"/>
  <c r="E61" i="17"/>
  <c r="G61" i="17"/>
  <c r="D62" i="17"/>
  <c r="E62" i="17"/>
  <c r="G62" i="17"/>
  <c r="D63" i="17"/>
  <c r="E63" i="17"/>
  <c r="G63" i="17"/>
  <c r="D64" i="17"/>
  <c r="E64" i="17"/>
  <c r="G64" i="17"/>
  <c r="D65" i="17"/>
  <c r="E65" i="17"/>
  <c r="G65" i="17"/>
  <c r="D66" i="17"/>
  <c r="E66" i="17"/>
  <c r="G66" i="17"/>
  <c r="D67" i="17"/>
  <c r="E67" i="17"/>
  <c r="G67" i="17"/>
  <c r="D68" i="17"/>
  <c r="E68" i="17"/>
  <c r="G68" i="17"/>
  <c r="D69" i="17"/>
  <c r="E69" i="17"/>
  <c r="G69" i="17"/>
  <c r="D70" i="17"/>
  <c r="E70" i="17"/>
  <c r="G70" i="17"/>
  <c r="D71" i="17"/>
  <c r="E71" i="17"/>
  <c r="G71" i="17"/>
  <c r="D72" i="17"/>
  <c r="E72" i="17"/>
  <c r="G72" i="17"/>
  <c r="D73" i="17"/>
  <c r="E73" i="17"/>
  <c r="G73" i="17"/>
  <c r="D74" i="17"/>
  <c r="E74" i="17"/>
  <c r="G74" i="17"/>
  <c r="D75" i="17"/>
  <c r="E75" i="17"/>
  <c r="G75" i="17"/>
  <c r="D76" i="17"/>
  <c r="E76" i="17"/>
  <c r="G76" i="17"/>
  <c r="D77" i="17"/>
  <c r="E77" i="17"/>
  <c r="G77" i="17"/>
  <c r="D78" i="17"/>
  <c r="E78" i="17"/>
  <c r="G78" i="17"/>
  <c r="D79" i="17"/>
  <c r="E79" i="17"/>
  <c r="G79" i="17"/>
  <c r="D80" i="17"/>
  <c r="E80" i="17"/>
  <c r="G80" i="17"/>
  <c r="D81" i="17"/>
  <c r="E81" i="17"/>
  <c r="G81" i="17"/>
  <c r="D82" i="17"/>
  <c r="E82" i="17"/>
  <c r="G82" i="17"/>
  <c r="D83" i="17"/>
  <c r="E83" i="17"/>
  <c r="G83" i="17"/>
  <c r="D84" i="17"/>
  <c r="E84" i="17"/>
  <c r="G84" i="17"/>
  <c r="D85" i="17"/>
  <c r="E85" i="17"/>
  <c r="G85" i="17"/>
  <c r="D86" i="17"/>
  <c r="E86" i="17"/>
  <c r="G86" i="17"/>
  <c r="D87" i="17"/>
  <c r="E87" i="17"/>
  <c r="G87" i="17"/>
  <c r="D88" i="17"/>
  <c r="E88" i="17"/>
  <c r="G88" i="17"/>
  <c r="D89" i="17"/>
  <c r="E89" i="17"/>
  <c r="G89" i="17"/>
  <c r="D90" i="17"/>
  <c r="E90" i="17"/>
  <c r="G90" i="17"/>
  <c r="D91" i="17"/>
  <c r="E91" i="17"/>
  <c r="G91" i="17"/>
  <c r="D92" i="17"/>
  <c r="E92" i="17"/>
  <c r="G92" i="17"/>
  <c r="D93" i="17"/>
  <c r="E93" i="17"/>
  <c r="G93" i="17"/>
  <c r="D94" i="17"/>
  <c r="E94" i="17"/>
  <c r="G94" i="17"/>
  <c r="D95" i="17"/>
  <c r="E95" i="17"/>
  <c r="G95" i="17"/>
  <c r="D96" i="17"/>
  <c r="E96" i="17"/>
  <c r="G96" i="17"/>
  <c r="D97" i="17"/>
  <c r="E97" i="17"/>
  <c r="G97" i="17"/>
  <c r="D98" i="17"/>
  <c r="E98" i="17"/>
  <c r="G98" i="17"/>
  <c r="D99" i="17"/>
  <c r="E99" i="17"/>
  <c r="G99" i="17"/>
  <c r="D100" i="17"/>
  <c r="E100" i="17"/>
  <c r="G100" i="17"/>
  <c r="D101" i="17"/>
  <c r="E101" i="17"/>
  <c r="G101" i="17"/>
  <c r="B7" i="23"/>
  <c r="D19" i="23"/>
  <c r="D18" i="23"/>
  <c r="D17" i="23"/>
  <c r="G8" i="14"/>
  <c r="H8" i="14"/>
  <c r="G9" i="14"/>
  <c r="H9" i="14"/>
  <c r="G10" i="14"/>
  <c r="H10" i="14"/>
  <c r="G11" i="14"/>
  <c r="H11" i="14"/>
  <c r="G12" i="14"/>
  <c r="H12" i="14"/>
  <c r="G13" i="14"/>
  <c r="H13" i="14"/>
  <c r="G14" i="14"/>
  <c r="H14" i="14"/>
  <c r="G15" i="14"/>
  <c r="H15" i="14"/>
  <c r="G16" i="14"/>
  <c r="H16" i="14"/>
  <c r="G17" i="14"/>
  <c r="H17" i="14"/>
  <c r="G18" i="14"/>
  <c r="H18" i="14"/>
  <c r="G19" i="14"/>
  <c r="H19" i="14"/>
  <c r="G20" i="14"/>
  <c r="H20" i="14"/>
  <c r="G21" i="14"/>
  <c r="H21" i="14"/>
  <c r="G22" i="14"/>
  <c r="H22" i="14"/>
  <c r="G23" i="14"/>
  <c r="H23" i="14"/>
  <c r="H7" i="14"/>
  <c r="G7" i="14"/>
  <c r="J19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3" i="4"/>
  <c r="M40" i="8"/>
  <c r="M19" i="8"/>
  <c r="U19" i="8"/>
  <c r="Q19" i="8"/>
  <c r="I19" i="8"/>
  <c r="L24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T13" i="8"/>
  <c r="H7" i="21"/>
  <c r="G7" i="21"/>
  <c r="G8" i="2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3" i="4"/>
  <c r="Q19" i="3"/>
  <c r="S19" i="3"/>
  <c r="R19" i="3"/>
  <c r="Q18" i="3"/>
  <c r="S18" i="3"/>
  <c r="R18" i="3"/>
  <c r="Q17" i="3"/>
  <c r="S17" i="3"/>
  <c r="R17" i="3"/>
  <c r="Q16" i="3"/>
  <c r="S16" i="3"/>
  <c r="R16" i="3"/>
  <c r="Q15" i="3"/>
  <c r="S15" i="3"/>
  <c r="R15" i="3"/>
  <c r="Q14" i="3"/>
  <c r="S14" i="3"/>
  <c r="R14" i="3"/>
  <c r="Q13" i="3"/>
  <c r="S13" i="3"/>
  <c r="R13" i="3"/>
  <c r="Q12" i="3"/>
  <c r="S12" i="3"/>
  <c r="R12" i="3"/>
  <c r="Q11" i="3"/>
  <c r="S11" i="3"/>
  <c r="R11" i="3"/>
  <c r="Q10" i="3"/>
  <c r="S10" i="3"/>
  <c r="R10" i="3"/>
  <c r="Q9" i="3"/>
  <c r="S9" i="3"/>
  <c r="R9" i="3"/>
  <c r="Q8" i="3"/>
  <c r="S8" i="3"/>
  <c r="R8" i="3"/>
  <c r="Q7" i="3"/>
  <c r="S7" i="3"/>
  <c r="R7" i="3"/>
  <c r="Q6" i="3"/>
  <c r="S6" i="3"/>
  <c r="R6" i="3"/>
  <c r="Q5" i="3"/>
  <c r="S5" i="3"/>
  <c r="R5" i="3"/>
  <c r="Q4" i="3"/>
  <c r="S4" i="3"/>
  <c r="R4" i="3"/>
  <c r="G19" i="5"/>
  <c r="D4" i="2"/>
  <c r="D5" i="2"/>
  <c r="D6" i="2"/>
  <c r="D7" i="2"/>
  <c r="D8" i="2"/>
  <c r="D9" i="2"/>
  <c r="D10" i="2"/>
  <c r="D11" i="2"/>
  <c r="D12" i="2"/>
  <c r="D14" i="2"/>
  <c r="D15" i="2"/>
  <c r="D16" i="2"/>
  <c r="D17" i="2"/>
  <c r="D18" i="2"/>
  <c r="D3" i="2"/>
  <c r="G18" i="16"/>
  <c r="H18" i="16"/>
  <c r="G19" i="16"/>
  <c r="H19" i="16"/>
  <c r="G20" i="16"/>
  <c r="H20" i="16"/>
  <c r="G21" i="16"/>
  <c r="H21" i="16"/>
  <c r="G22" i="16"/>
  <c r="H22" i="16"/>
  <c r="G23" i="16"/>
  <c r="H23" i="16"/>
  <c r="G18" i="21"/>
  <c r="H18" i="21"/>
  <c r="G19" i="21"/>
  <c r="H19" i="21"/>
  <c r="G20" i="21"/>
  <c r="H20" i="21"/>
  <c r="G21" i="21"/>
  <c r="H21" i="21"/>
  <c r="G22" i="21"/>
  <c r="H22" i="21"/>
  <c r="G23" i="21"/>
  <c r="H23" i="21"/>
  <c r="G18" i="20"/>
  <c r="H18" i="20"/>
  <c r="G19" i="20"/>
  <c r="H19" i="20"/>
  <c r="G20" i="20"/>
  <c r="H20" i="20"/>
  <c r="G21" i="20"/>
  <c r="H21" i="20"/>
  <c r="G22" i="20"/>
  <c r="H22" i="20"/>
  <c r="G23" i="20"/>
  <c r="H23" i="20"/>
  <c r="G18" i="15"/>
  <c r="H18" i="15"/>
  <c r="G19" i="15"/>
  <c r="H19" i="15"/>
  <c r="G20" i="15"/>
  <c r="H20" i="15"/>
  <c r="G21" i="15"/>
  <c r="H21" i="15"/>
  <c r="G22" i="15"/>
  <c r="H22" i="15"/>
  <c r="G23" i="15"/>
  <c r="H23" i="15"/>
  <c r="H35" i="8"/>
  <c r="I35" i="8"/>
  <c r="M35" i="8"/>
  <c r="P35" i="8"/>
  <c r="Q35" i="8"/>
  <c r="H36" i="8"/>
  <c r="I36" i="8"/>
  <c r="M36" i="8"/>
  <c r="P36" i="8"/>
  <c r="Q36" i="8"/>
  <c r="H37" i="8"/>
  <c r="I37" i="8"/>
  <c r="M37" i="8"/>
  <c r="P37" i="8"/>
  <c r="Q37" i="8"/>
  <c r="H38" i="8"/>
  <c r="I38" i="8"/>
  <c r="M38" i="8"/>
  <c r="P38" i="8"/>
  <c r="Q38" i="8"/>
  <c r="H39" i="8"/>
  <c r="I39" i="8"/>
  <c r="M39" i="8"/>
  <c r="P39" i="8"/>
  <c r="Q39" i="8"/>
  <c r="H40" i="8"/>
  <c r="I40" i="8"/>
  <c r="P40" i="8"/>
  <c r="Q40" i="8"/>
  <c r="H14" i="8"/>
  <c r="I14" i="8"/>
  <c r="L14" i="8"/>
  <c r="M14" i="8"/>
  <c r="P14" i="8"/>
  <c r="Q14" i="8"/>
  <c r="T14" i="8"/>
  <c r="U14" i="8"/>
  <c r="H15" i="8"/>
  <c r="I15" i="8"/>
  <c r="L15" i="8"/>
  <c r="M15" i="8"/>
  <c r="P15" i="8"/>
  <c r="Q15" i="8"/>
  <c r="T15" i="8"/>
  <c r="U15" i="8"/>
  <c r="H16" i="8"/>
  <c r="I16" i="8"/>
  <c r="L16" i="8"/>
  <c r="M16" i="8"/>
  <c r="P16" i="8"/>
  <c r="Q16" i="8"/>
  <c r="T16" i="8"/>
  <c r="U16" i="8"/>
  <c r="H17" i="8"/>
  <c r="I17" i="8"/>
  <c r="L17" i="8"/>
  <c r="M17" i="8"/>
  <c r="P17" i="8"/>
  <c r="Q17" i="8"/>
  <c r="T17" i="8"/>
  <c r="U17" i="8"/>
  <c r="H18" i="8"/>
  <c r="I18" i="8"/>
  <c r="L18" i="8"/>
  <c r="M18" i="8"/>
  <c r="P18" i="8"/>
  <c r="Q18" i="8"/>
  <c r="T18" i="8"/>
  <c r="U18" i="8"/>
  <c r="G18" i="19"/>
  <c r="H18" i="19"/>
  <c r="G19" i="19"/>
  <c r="H19" i="19"/>
  <c r="G20" i="19"/>
  <c r="H20" i="19"/>
  <c r="G21" i="19"/>
  <c r="H21" i="19"/>
  <c r="G22" i="19"/>
  <c r="H22" i="19"/>
  <c r="G23" i="19"/>
  <c r="H23" i="19"/>
  <c r="G13" i="5"/>
  <c r="G14" i="5"/>
  <c r="G15" i="5"/>
  <c r="G16" i="5"/>
  <c r="G17" i="5"/>
  <c r="G18" i="5"/>
  <c r="H7" i="19"/>
  <c r="G7" i="19"/>
  <c r="I3" i="8"/>
  <c r="H3" i="8"/>
  <c r="H17" i="21"/>
  <c r="G17" i="21"/>
  <c r="H16" i="21"/>
  <c r="G16" i="21"/>
  <c r="H15" i="21"/>
  <c r="G15" i="21"/>
  <c r="H14" i="21"/>
  <c r="G14" i="21"/>
  <c r="H13" i="21"/>
  <c r="G13" i="21"/>
  <c r="H12" i="21"/>
  <c r="G12" i="21"/>
  <c r="H11" i="21"/>
  <c r="G11" i="21"/>
  <c r="H10" i="21"/>
  <c r="G10" i="21"/>
  <c r="H9" i="21"/>
  <c r="G9" i="21"/>
  <c r="H8" i="21"/>
  <c r="H17" i="20"/>
  <c r="G17" i="20"/>
  <c r="H16" i="20"/>
  <c r="G16" i="20"/>
  <c r="H15" i="20"/>
  <c r="G15" i="20"/>
  <c r="H14" i="20"/>
  <c r="G14" i="20"/>
  <c r="H13" i="20"/>
  <c r="G13" i="20"/>
  <c r="H12" i="20"/>
  <c r="G12" i="20"/>
  <c r="H11" i="20"/>
  <c r="G11" i="20"/>
  <c r="H10" i="20"/>
  <c r="G10" i="20"/>
  <c r="H9" i="20"/>
  <c r="G9" i="20"/>
  <c r="H8" i="20"/>
  <c r="G8" i="20"/>
  <c r="H7" i="20"/>
  <c r="G7" i="20"/>
  <c r="H17" i="19"/>
  <c r="G17" i="19"/>
  <c r="H16" i="19"/>
  <c r="G16" i="19"/>
  <c r="H15" i="19"/>
  <c r="G15" i="19"/>
  <c r="H14" i="19"/>
  <c r="G14" i="19"/>
  <c r="H13" i="19"/>
  <c r="G13" i="19"/>
  <c r="H12" i="19"/>
  <c r="G12" i="19"/>
  <c r="H11" i="19"/>
  <c r="G11" i="19"/>
  <c r="H10" i="19"/>
  <c r="G10" i="19"/>
  <c r="H9" i="19"/>
  <c r="G9" i="19"/>
  <c r="H8" i="19"/>
  <c r="G8" i="19"/>
  <c r="K8" i="7"/>
  <c r="L8" i="7"/>
  <c r="H8" i="16"/>
  <c r="H9" i="16"/>
  <c r="H10" i="16"/>
  <c r="H11" i="16"/>
  <c r="H12" i="16"/>
  <c r="H13" i="16"/>
  <c r="H14" i="16"/>
  <c r="H15" i="16"/>
  <c r="H16" i="16"/>
  <c r="H17" i="16"/>
  <c r="H7" i="16"/>
  <c r="G8" i="16"/>
  <c r="G9" i="16"/>
  <c r="G10" i="16"/>
  <c r="G11" i="16"/>
  <c r="G12" i="16"/>
  <c r="G13" i="16"/>
  <c r="G14" i="16"/>
  <c r="G15" i="16"/>
  <c r="G16" i="16"/>
  <c r="G17" i="16"/>
  <c r="G7" i="16"/>
  <c r="H8" i="15"/>
  <c r="H9" i="15"/>
  <c r="H10" i="15"/>
  <c r="H11" i="15"/>
  <c r="H12" i="15"/>
  <c r="H13" i="15"/>
  <c r="H14" i="15"/>
  <c r="H15" i="15"/>
  <c r="H16" i="15"/>
  <c r="H17" i="15"/>
  <c r="H7" i="15"/>
  <c r="G8" i="15"/>
  <c r="G9" i="15"/>
  <c r="G10" i="15"/>
  <c r="G11" i="15"/>
  <c r="G12" i="15"/>
  <c r="G13" i="15"/>
  <c r="G14" i="15"/>
  <c r="G15" i="15"/>
  <c r="G16" i="15"/>
  <c r="G17" i="15"/>
  <c r="G7" i="15"/>
  <c r="P24" i="8"/>
  <c r="H24" i="8"/>
  <c r="U3" i="8"/>
  <c r="Q3" i="8"/>
  <c r="M3" i="8"/>
  <c r="Q24" i="8"/>
  <c r="M24" i="8"/>
  <c r="T3" i="8"/>
  <c r="P3" i="8"/>
  <c r="L3" i="8"/>
  <c r="G3" i="5"/>
  <c r="P25" i="8"/>
  <c r="I25" i="8"/>
  <c r="Q25" i="8"/>
  <c r="H25" i="8"/>
  <c r="G4" i="5"/>
  <c r="P5" i="8"/>
  <c r="I5" i="8"/>
  <c r="H5" i="8"/>
  <c r="T5" i="8"/>
  <c r="Q26" i="8"/>
  <c r="Q5" i="8"/>
  <c r="P26" i="8"/>
  <c r="H26" i="8"/>
  <c r="L5" i="8"/>
  <c r="M26" i="8"/>
  <c r="U5" i="8"/>
  <c r="I26" i="8"/>
  <c r="M5" i="8"/>
  <c r="L7" i="8"/>
  <c r="G5" i="5"/>
  <c r="I6" i="8"/>
  <c r="M27" i="8"/>
  <c r="I27" i="8"/>
  <c r="Q27" i="8"/>
  <c r="P6" i="8"/>
  <c r="P27" i="8"/>
  <c r="H27" i="8"/>
  <c r="H6" i="8"/>
  <c r="L6" i="8"/>
  <c r="U6" i="8"/>
  <c r="Q6" i="8"/>
  <c r="T6" i="8"/>
  <c r="M6" i="8"/>
  <c r="P28" i="8"/>
  <c r="Q28" i="8"/>
  <c r="I28" i="8"/>
  <c r="M7" i="8"/>
  <c r="H28" i="8"/>
  <c r="I7" i="8"/>
  <c r="T7" i="8"/>
  <c r="U7" i="8"/>
  <c r="M28" i="8"/>
  <c r="Q7" i="8"/>
  <c r="H7" i="8"/>
  <c r="P7" i="8"/>
  <c r="G6" i="5"/>
  <c r="U8" i="8"/>
  <c r="M8" i="8"/>
  <c r="I29" i="8"/>
  <c r="P29" i="8"/>
  <c r="H8" i="8"/>
  <c r="H29" i="8"/>
  <c r="G7" i="5"/>
  <c r="T8" i="8"/>
  <c r="Q8" i="8"/>
  <c r="M29" i="8"/>
  <c r="T9" i="8"/>
  <c r="L8" i="8"/>
  <c r="I8" i="8"/>
  <c r="P8" i="8"/>
  <c r="Q29" i="8"/>
  <c r="L9" i="8"/>
  <c r="M30" i="8"/>
  <c r="U9" i="8"/>
  <c r="M9" i="8"/>
  <c r="H30" i="8"/>
  <c r="I30" i="8"/>
  <c r="P30" i="8"/>
  <c r="H9" i="8"/>
  <c r="P9" i="8"/>
  <c r="Q9" i="8"/>
  <c r="G8" i="5"/>
  <c r="Q30" i="8"/>
  <c r="I9" i="8"/>
  <c r="Q31" i="8"/>
  <c r="U10" i="8"/>
  <c r="M31" i="8"/>
  <c r="H31" i="8"/>
  <c r="Q10" i="8"/>
  <c r="I10" i="8"/>
  <c r="T10" i="8"/>
  <c r="L10" i="8"/>
  <c r="G9" i="5"/>
  <c r="P31" i="8"/>
  <c r="P10" i="8"/>
  <c r="M10" i="8"/>
  <c r="I31" i="8"/>
  <c r="H10" i="8"/>
  <c r="P32" i="8"/>
  <c r="T11" i="8"/>
  <c r="L11" i="8"/>
  <c r="I32" i="8"/>
  <c r="Q11" i="8"/>
  <c r="I11" i="8"/>
  <c r="G10" i="5"/>
  <c r="M32" i="8"/>
  <c r="H32" i="8"/>
  <c r="P11" i="8"/>
  <c r="Q32" i="8"/>
  <c r="U11" i="8"/>
  <c r="M11" i="8"/>
  <c r="H11" i="8"/>
  <c r="Q33" i="8"/>
  <c r="U12" i="8"/>
  <c r="M12" i="8"/>
  <c r="H12" i="8"/>
  <c r="M33" i="8"/>
  <c r="H33" i="8"/>
  <c r="P12" i="8"/>
  <c r="G11" i="5"/>
  <c r="I33" i="8"/>
  <c r="Q12" i="8"/>
  <c r="I12" i="8"/>
  <c r="P33" i="8"/>
  <c r="T12" i="8"/>
  <c r="L12" i="8"/>
  <c r="G12" i="5"/>
  <c r="H34" i="8"/>
  <c r="H13" i="8"/>
  <c r="U13" i="8"/>
  <c r="L13" i="8"/>
  <c r="Q34" i="8"/>
  <c r="I34" i="8"/>
  <c r="Q13" i="8"/>
  <c r="I13" i="8"/>
  <c r="P34" i="8"/>
  <c r="P13" i="8"/>
  <c r="M34" i="8"/>
  <c r="M13" i="8"/>
  <c r="D20" i="23"/>
  <c r="C20" i="23"/>
  <c r="C15" i="23"/>
  <c r="C16" i="23"/>
  <c r="D15" i="23"/>
  <c r="D16" i="23"/>
  <c r="C19" i="23"/>
  <c r="C21" i="23"/>
  <c r="C22" i="23"/>
</calcChain>
</file>

<file path=xl/connections.xml><?xml version="1.0" encoding="utf-8"?>
<connections xmlns="http://schemas.openxmlformats.org/spreadsheetml/2006/main">
  <connection id="1" name="2012_05_10_FPRAU_fruc1" type="6" refreshedVersion="3" background="1" saveData="1">
    <textPr codePage="850" firstRow="50" sourceFile="C:\Users\Lonne\Documents\VUB\5-2de Master\Thesis\Experimenten\CompactGC_colon\2012_05_10_FPRAU_fruc1.txt" decimal="," thousands=".">
      <textFields count="4">
        <textField type="skip"/>
        <textField type="skip"/>
        <textField/>
        <textField type="skip"/>
      </textFields>
    </textPr>
  </connection>
  <connection id="2" name="2012_06_08_BIF_REC_OLI_1" type="6" refreshedVersion="3" background="1" saveData="1">
    <textPr codePage="850" firstRow="7" sourceFile="C:\Users\Lonne\Documents\VUB\5-2de Master\Thesis\Experimenten\CompactGC_colon\2012_06_08_BIF_REC_OLI_1.txt" decimal="," thousands=".">
      <textFields count="4">
        <textField type="skip"/>
        <textField/>
        <textField type="skip"/>
        <textField type="skip"/>
      </textFields>
    </textPr>
  </connection>
  <connection id="3" name="2012_06_08_BIF_REC_OLI_11" type="6" refreshedVersion="3" background="1" saveData="1">
    <textPr codePage="850" firstRow="50" sourceFile="C:\Users\Lonne\Documents\VUB\5-2de Master\Thesis\Experimenten\CompactGC_colon\2012_06_08_BIF_REC_OLI_1.txt" decimal="," thousands=".">
      <textFields count="4">
        <textField type="skip"/>
        <textField type="skip"/>
        <textField/>
        <textField type="skip"/>
      </textFields>
    </textPr>
  </connection>
</connections>
</file>

<file path=xl/sharedStrings.xml><?xml version="1.0" encoding="utf-8"?>
<sst xmlns="http://schemas.openxmlformats.org/spreadsheetml/2006/main" count="734" uniqueCount="313">
  <si>
    <t>Fermentation:</t>
  </si>
  <si>
    <t>Strain:</t>
  </si>
  <si>
    <t>Mass Filter</t>
  </si>
  <si>
    <t>Mass Filter (g)</t>
  </si>
  <si>
    <t>Sample</t>
  </si>
  <si>
    <t>Time (h)</t>
  </si>
  <si>
    <t>0'</t>
  </si>
  <si>
    <t>Mass Sample</t>
  </si>
  <si>
    <t>(g)</t>
  </si>
  <si>
    <t>Total Mass</t>
  </si>
  <si>
    <t>Samples (g)</t>
  </si>
  <si>
    <t>Base (mL)</t>
  </si>
  <si>
    <t>Acid (mL)</t>
  </si>
  <si>
    <t xml:space="preserve">Volume </t>
  </si>
  <si>
    <t>Fermentor (mL)</t>
  </si>
  <si>
    <t>Initial Volume Fermentor (mL)</t>
  </si>
  <si>
    <t>Medium</t>
  </si>
  <si>
    <t>Taken (mL)</t>
  </si>
  <si>
    <t>PC 1</t>
  </si>
  <si>
    <t>Dilution</t>
  </si>
  <si>
    <t>PC 2</t>
  </si>
  <si>
    <t>PC 3</t>
  </si>
  <si>
    <t>PC</t>
  </si>
  <si>
    <t>STDEV</t>
  </si>
  <si>
    <t>OD1</t>
  </si>
  <si>
    <t>OD2</t>
  </si>
  <si>
    <t>OD3</t>
  </si>
  <si>
    <t xml:space="preserve">OD </t>
  </si>
  <si>
    <t>average</t>
  </si>
  <si>
    <t>Mass</t>
  </si>
  <si>
    <t>Filtered (g)</t>
  </si>
  <si>
    <t>plus CDM (g)</t>
  </si>
  <si>
    <t>CDM</t>
  </si>
  <si>
    <t>(g/L)</t>
  </si>
  <si>
    <t>CPSM</t>
  </si>
  <si>
    <t>Component</t>
  </si>
  <si>
    <t>Concentration</t>
  </si>
  <si>
    <t>Glucose</t>
  </si>
  <si>
    <t>MM</t>
  </si>
  <si>
    <t>g/mol</t>
  </si>
  <si>
    <t>Fructose</t>
  </si>
  <si>
    <t>Standard addition</t>
  </si>
  <si>
    <t>Lactic acid</t>
  </si>
  <si>
    <t>Acetic acid</t>
  </si>
  <si>
    <t>Ethanol</t>
  </si>
  <si>
    <t>A</t>
  </si>
  <si>
    <t>B</t>
  </si>
  <si>
    <t>C</t>
  </si>
  <si>
    <t>mM</t>
  </si>
  <si>
    <t>Temperature</t>
  </si>
  <si>
    <t>Flow:</t>
  </si>
  <si>
    <t>mL/min</t>
  </si>
  <si>
    <t>Production</t>
  </si>
  <si>
    <t>Sum</t>
  </si>
  <si>
    <t>(ppm)</t>
  </si>
  <si>
    <t>mL/L</t>
  </si>
  <si>
    <t>(mL/min)</t>
  </si>
  <si>
    <t>(mmol/min/fermentor)</t>
  </si>
  <si>
    <t>(mmol/min/L)</t>
  </si>
  <si>
    <t>(mM)</t>
  </si>
  <si>
    <t>Time</t>
  </si>
  <si>
    <t>MW</t>
  </si>
  <si>
    <t>Concentration (g/l)</t>
  </si>
  <si>
    <t>Concentration (mM)</t>
  </si>
  <si>
    <t>STDEV (mM)</t>
  </si>
  <si>
    <t>Formic acid</t>
  </si>
  <si>
    <t>Butyric acid</t>
  </si>
  <si>
    <t>Propionic acid</t>
  </si>
  <si>
    <t>Count</t>
  </si>
  <si>
    <t>Volume</t>
  </si>
  <si>
    <t>Count/mL</t>
  </si>
  <si>
    <t>Count/ml</t>
  </si>
  <si>
    <t>LOG(Count/mL)</t>
  </si>
  <si>
    <t>NaCl</t>
  </si>
  <si>
    <t>Resazurin</t>
  </si>
  <si>
    <r>
      <t>NaHCO</t>
    </r>
    <r>
      <rPr>
        <vertAlign val="subscript"/>
        <sz val="11"/>
        <color theme="1"/>
        <rFont val="Calibri"/>
        <family val="2"/>
        <scheme val="minor"/>
      </rPr>
      <t>3</t>
    </r>
  </si>
  <si>
    <r>
      <t>KH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</si>
  <si>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HPO</t>
    </r>
    <r>
      <rPr>
        <vertAlign val="subscript"/>
        <sz val="11"/>
        <color theme="1"/>
        <rFont val="Calibri"/>
        <family val="2"/>
        <scheme val="minor"/>
      </rPr>
      <t>4</t>
    </r>
  </si>
  <si>
    <t>amount</t>
  </si>
  <si>
    <t>STDVE</t>
  </si>
  <si>
    <t>Hydrogen produced</t>
  </si>
  <si>
    <t>Carbon dioxide produced</t>
  </si>
  <si>
    <t>Carbon recovery</t>
  </si>
  <si>
    <t>Compound</t>
  </si>
  <si>
    <t>Mass (g/l mMCB)</t>
  </si>
  <si>
    <t>Bacteriological pepton</t>
  </si>
  <si>
    <t>6.50</t>
  </si>
  <si>
    <t>Neutralised soy pepton</t>
  </si>
  <si>
    <t>5.00</t>
  </si>
  <si>
    <t>Trypton</t>
  </si>
  <si>
    <t>2.50</t>
  </si>
  <si>
    <t>Granulated yeast extract</t>
  </si>
  <si>
    <t>3.00</t>
  </si>
  <si>
    <t>4.50</t>
  </si>
  <si>
    <t>1.00</t>
  </si>
  <si>
    <t>2.00</t>
  </si>
  <si>
    <t>0.10</t>
  </si>
  <si>
    <t>0.05</t>
  </si>
  <si>
    <t>0.005</t>
  </si>
  <si>
    <t>Hemine</t>
  </si>
  <si>
    <t>Menadione</t>
  </si>
  <si>
    <t>/</t>
  </si>
  <si>
    <t>0.001</t>
  </si>
  <si>
    <t>10 ml of a 0.1 g/l stock solution</t>
  </si>
  <si>
    <t>Selenite and tungsten</t>
  </si>
  <si>
    <t>Trace element solution SL-10</t>
  </si>
  <si>
    <t>1.0 ml of a 1000x stock solution</t>
  </si>
  <si>
    <t>37°C</t>
  </si>
  <si>
    <r>
      <t>MgSO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</si>
  <si>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</si>
  <si>
    <r>
      <t>NH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Cl</t>
    </r>
  </si>
  <si>
    <r>
      <t>Cysteine HCl x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</t>
    </r>
  </si>
  <si>
    <r>
      <t>CaCl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</si>
  <si>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MnSO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</si>
  <si>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FeSO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</si>
  <si>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ZnSO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</si>
  <si>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Formic Acid</t>
  </si>
  <si>
    <t>Time (min)</t>
  </si>
  <si>
    <t>Volume (microl)</t>
  </si>
  <si>
    <t>FC 1</t>
  </si>
  <si>
    <t>FC 2</t>
  </si>
  <si>
    <t>FC 3</t>
  </si>
  <si>
    <t>FC</t>
  </si>
  <si>
    <t>Lactic acid produced</t>
  </si>
  <si>
    <t>Butyric acid produced</t>
  </si>
  <si>
    <t>1,5 M NaOH added</t>
  </si>
  <si>
    <r>
      <t>1,5 M 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added</t>
    </r>
  </si>
  <si>
    <t>Theoretical</t>
  </si>
  <si>
    <t>Experimental</t>
  </si>
  <si>
    <t>x</t>
  </si>
  <si>
    <t>2x mol pyruvate produced</t>
  </si>
  <si>
    <t>2x</t>
  </si>
  <si>
    <t>z mol lactate produced</t>
  </si>
  <si>
    <t>z</t>
  </si>
  <si>
    <t>f mol formate produced</t>
  </si>
  <si>
    <t>f</t>
  </si>
  <si>
    <t>2x-z-f</t>
  </si>
  <si>
    <t>y</t>
  </si>
  <si>
    <t>0 mol H2</t>
  </si>
  <si>
    <t>LN(Count/mL)</t>
  </si>
  <si>
    <t>2x-z+y</t>
  </si>
  <si>
    <t>(2x-2+Y)/2</t>
  </si>
  <si>
    <t>Left (mL) after inoculation</t>
  </si>
  <si>
    <t>D-Fructose</t>
  </si>
  <si>
    <t>D - Fructose</t>
  </si>
  <si>
    <t>D-Fructose consumed</t>
  </si>
  <si>
    <t>D -Fructose (50 mM)</t>
  </si>
  <si>
    <t>9.00</t>
  </si>
  <si>
    <r>
      <t>9.00 g in 100 ml MilliQ.H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 per l</t>
    </r>
  </si>
  <si>
    <r>
      <rPr>
        <i/>
        <sz val="11"/>
        <color theme="1"/>
        <rFont val="Calibri"/>
        <family val="2"/>
        <scheme val="minor"/>
      </rPr>
      <t xml:space="preserve">Faecalibacterium prausnitzii </t>
    </r>
    <r>
      <rPr>
        <sz val="11"/>
        <color theme="1"/>
        <rFont val="Calibri"/>
        <family val="2"/>
        <scheme val="minor"/>
      </rPr>
      <t>DSM 17677</t>
    </r>
    <r>
      <rPr>
        <vertAlign val="super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and Blautia hydrogenotrophica DSM 10507</t>
    </r>
    <r>
      <rPr>
        <vertAlign val="superscript"/>
        <sz val="11"/>
        <color theme="1"/>
        <rFont val="Calibri"/>
        <family val="2"/>
        <scheme val="minor"/>
      </rPr>
      <t>T</t>
    </r>
  </si>
  <si>
    <t>LOG</t>
  </si>
  <si>
    <t>STDEV LOG(Count/mL)</t>
  </si>
  <si>
    <t>1, 143</t>
  </si>
  <si>
    <t>0.40</t>
  </si>
  <si>
    <t>0.20</t>
  </si>
  <si>
    <t>2x-z-f mol CO2 produced</t>
  </si>
  <si>
    <t>2x-z+y mol acetyl-CoA produced</t>
  </si>
  <si>
    <t>(2x-2+y)/2 mol butyrate produced</t>
  </si>
  <si>
    <t>y mol acetate consumed</t>
  </si>
  <si>
    <t>x mol D-fructose consumed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</si>
  <si>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</si>
  <si>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</si>
  <si>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</si>
  <si>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</si>
  <si>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</si>
  <si>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</si>
  <si>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</si>
  <si>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</si>
  <si>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</si>
  <si>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</si>
  <si>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</si>
  <si>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</si>
  <si>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</si>
  <si>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</si>
  <si>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</si>
  <si>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</si>
  <si>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</si>
  <si>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</si>
  <si>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Na-acetate trihydrate (50 mM)</t>
  </si>
  <si>
    <t>6.80</t>
  </si>
  <si>
    <t>Acetic acid produced</t>
  </si>
  <si>
    <t>Formic acid  consumed</t>
  </si>
  <si>
    <t xml:space="preserve">Volume (ul) </t>
  </si>
  <si>
    <t>Outliers</t>
  </si>
  <si>
    <t>10_0</t>
  </si>
  <si>
    <t>10_1</t>
  </si>
  <si>
    <t>10_2</t>
  </si>
  <si>
    <t>10_3</t>
  </si>
  <si>
    <t>10_4</t>
  </si>
  <si>
    <t>2_0</t>
  </si>
  <si>
    <t>2_1</t>
  </si>
  <si>
    <t>2_2</t>
  </si>
  <si>
    <t>2_3</t>
  </si>
  <si>
    <t>2_4</t>
  </si>
  <si>
    <t>2_5</t>
  </si>
  <si>
    <t>2_6</t>
  </si>
  <si>
    <t>2_7</t>
  </si>
  <si>
    <t>2_8</t>
  </si>
  <si>
    <t>2_9</t>
  </si>
  <si>
    <t>2_10</t>
  </si>
  <si>
    <t>CT1</t>
  </si>
  <si>
    <t>CT2</t>
  </si>
  <si>
    <t>CT3</t>
  </si>
  <si>
    <t>Average CT</t>
  </si>
  <si>
    <t>Dilution for 1 ml</t>
  </si>
  <si>
    <t>Log Dilution for 1 ml</t>
  </si>
  <si>
    <t>CT1 normalized per mL</t>
  </si>
  <si>
    <t>CT2 normalized per mL</t>
  </si>
  <si>
    <t>CT3 normalized per mL</t>
  </si>
  <si>
    <t>Average CT normalized per mL</t>
  </si>
  <si>
    <t>outliers</t>
  </si>
  <si>
    <t>IPC FP10 epp</t>
  </si>
  <si>
    <t>Threshold</t>
  </si>
  <si>
    <t>AUTO</t>
  </si>
  <si>
    <t>Ct Threshold</t>
  </si>
  <si>
    <t>baseline</t>
  </si>
  <si>
    <t>Rico</t>
  </si>
  <si>
    <t>intercept</t>
  </si>
  <si>
    <t>Efficiency E (%)</t>
  </si>
  <si>
    <t>F. prausnitzii</t>
  </si>
  <si>
    <t>Ct1</t>
  </si>
  <si>
    <t>Ct2</t>
  </si>
  <si>
    <t>Ct3</t>
  </si>
  <si>
    <t>Ct1 IPC corrected</t>
  </si>
  <si>
    <t>Ct2 IPC corrected</t>
  </si>
  <si>
    <t>Ct3 IPC corrected</t>
  </si>
  <si>
    <t>Log (cells/ml) 1</t>
  </si>
  <si>
    <t>Log (cells/ml) 2</t>
  </si>
  <si>
    <t>Log (cells/ml) 3</t>
  </si>
  <si>
    <t>Log (cells/ml)</t>
  </si>
  <si>
    <t>STDV Log (cells/ml)</t>
  </si>
  <si>
    <t>cells/ml medium</t>
  </si>
  <si>
    <t>STDV  (cells/ml medium)</t>
  </si>
  <si>
    <t>Log (cells/ml medium)</t>
  </si>
  <si>
    <t>STDV Log (cells/ml medium)</t>
  </si>
  <si>
    <t>Dilution log (10x)</t>
  </si>
  <si>
    <t xml:space="preserve">Dilution </t>
  </si>
  <si>
    <t>IPC value epp 10 plate 20150707</t>
  </si>
  <si>
    <t>IPC value  epp 10 plate 20150702</t>
  </si>
  <si>
    <t>IPC value epp 10 plate 20150708</t>
  </si>
  <si>
    <t>IPC value epp 10 plate 20150709</t>
  </si>
  <si>
    <t>IPC value epp 9 plate 20150714</t>
  </si>
  <si>
    <t>IPC value epp 9 plate 20150715</t>
  </si>
  <si>
    <t>IPC value epp 9 plate 20150717</t>
  </si>
  <si>
    <t>IPC value epp 9 plate 201507120</t>
  </si>
  <si>
    <t>IPC value epp 8 plate 20150722</t>
  </si>
  <si>
    <t>IPC value epp 8 plate 20150729</t>
  </si>
  <si>
    <t>IPC value epp 7 plate 20150730</t>
  </si>
  <si>
    <t>IPC value epp 7 plate 20150804</t>
  </si>
  <si>
    <t>IPC value epp 6 plate 20150804</t>
  </si>
  <si>
    <t>IPC value epp 6 plate 20150807</t>
  </si>
  <si>
    <t>IPC value epp 6 plate 20150820</t>
  </si>
  <si>
    <t>IPC value epp 6 plate 20150902</t>
  </si>
  <si>
    <t>IPC value epp 5 plate 20150910</t>
  </si>
  <si>
    <t>IPC value epp 5 plate 20150911</t>
  </si>
  <si>
    <t>IPC value epp 5 plate 20150922</t>
  </si>
  <si>
    <t>Total Average</t>
  </si>
  <si>
    <t>IPC BH10 epp</t>
  </si>
  <si>
    <t>Taqman probe BH4O</t>
  </si>
  <si>
    <t>B. hydrogenotrophica</t>
  </si>
  <si>
    <t xml:space="preserve">Dilution per ml </t>
  </si>
  <si>
    <t>IPC value  epp 10 plate  20150724</t>
  </si>
  <si>
    <t>IPC value  epp 10 plate  20150821</t>
  </si>
  <si>
    <t>IPC value  epp 9 plate  20150901</t>
  </si>
  <si>
    <t>IPC value  epp 9 plate  20150902</t>
  </si>
  <si>
    <t>IPC value  epp 8 plate  20150902</t>
  </si>
  <si>
    <t>IPC value  epp 8 plate  20150903</t>
  </si>
  <si>
    <t>IPC value  epp 8 plate  20150907</t>
  </si>
  <si>
    <t>IPC value  epp 8 plate  20150908</t>
  </si>
  <si>
    <t>IPC value  epp 7 plate  20150910</t>
  </si>
  <si>
    <t>IPC value  epp 7 plate  20150914</t>
  </si>
  <si>
    <t>IPC value  epp 6 plate  20150910</t>
  </si>
  <si>
    <t>R. intestinalis</t>
  </si>
  <si>
    <t xml:space="preserve">Total cell count </t>
  </si>
  <si>
    <t>IPC value epp 4 plate 20150929</t>
  </si>
  <si>
    <t>IPC value  epp 6 plate  20150929</t>
  </si>
  <si>
    <t>IPC value epp 4 plate 20151002</t>
  </si>
  <si>
    <t>IPC value epp 4 plate 20151007</t>
  </si>
  <si>
    <t>IPC value epp 4 plate 20151009</t>
  </si>
  <si>
    <t>IPC value  epp 6 plate  20151002</t>
  </si>
  <si>
    <t>IPC value  epp 5 plate  20151009</t>
  </si>
  <si>
    <t>IPC value  epp 5 plate  20151111</t>
  </si>
  <si>
    <t>IPC value  epp 4 plate  20151112</t>
  </si>
  <si>
    <t>IPC value  epp 4 plate  20151125</t>
  </si>
  <si>
    <t>IPC value  epp 4 plate  20160126</t>
  </si>
  <si>
    <t>IPC value  epp 3 plate  20160126</t>
  </si>
  <si>
    <t>IPC value  epp 3 plate  20160209</t>
  </si>
  <si>
    <t xml:space="preserve">Total Average </t>
  </si>
  <si>
    <t>IPC value epp 3 plate 20151020</t>
  </si>
  <si>
    <t>IPC value epp 3 plate 20151111</t>
  </si>
  <si>
    <t>IPC value epp 2 plate 20151111</t>
  </si>
  <si>
    <t>IPC value epp 2 plate 20151112</t>
  </si>
  <si>
    <t>IPC value epp 2 plate 20151204</t>
  </si>
  <si>
    <t>IPC value epp 1 plate 20160119</t>
  </si>
  <si>
    <t>IPC value epp 1 plate 20160208</t>
  </si>
  <si>
    <t>IPC value epp 1 plate 20160222</t>
  </si>
  <si>
    <t>IPC value epp 1 plate 20160223</t>
  </si>
  <si>
    <t>IPC value epp 9 plate 20160223</t>
  </si>
  <si>
    <t>IPC value epp 9 plate 20160225</t>
  </si>
  <si>
    <t>IPC value epp 9 plate 20160308</t>
  </si>
  <si>
    <t>IPC value epp 9 plate 20160310</t>
  </si>
  <si>
    <t>IPC value epp 8 plate 20160325</t>
  </si>
  <si>
    <t>IPC value  epp 3 plate  20160222</t>
  </si>
  <si>
    <t>IPC value  epp 2 plate  20160223</t>
  </si>
  <si>
    <t>IPC value  epp 2 plate  20160224</t>
  </si>
  <si>
    <t>IPC value  epp 2 plate  20160308</t>
  </si>
  <si>
    <t>IPC value  epp 2 plate  20160310</t>
  </si>
  <si>
    <t>IPC value epp 8 plate 20160405</t>
  </si>
  <si>
    <t>IPC value  epp 2 plate  20160311</t>
  </si>
  <si>
    <t>IPC value  epp 1 plate  20160318</t>
  </si>
  <si>
    <t>IPC value  epp 1 plate  20160325</t>
  </si>
  <si>
    <t>IPC value  epp 1 plate  20160405</t>
  </si>
  <si>
    <t>IPC value  epp 9 plate  20160411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</si>
</sst>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31" x14ac:knownFonts="1">
    <font>
      <sz val="11"/>
      <color theme="1"/>
      <name val="Calibri"/>
      <family val="2"/>
      <scheme val="minor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Verdana"/>
      <family val="2"/>
    </font>
    <font>
      <b/>
      <sz val="11"/>
      <color indexed="63"/>
      <name val="Calibri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i/>
      <sz val="11"/>
      <name val="Calibri"/>
      <scheme val="minor"/>
    </font>
    <font>
      <b/>
      <sz val="11"/>
      <color theme="1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22F40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000000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36">
    <xf numFmtId="0" fontId="0" fillId="0" borderId="0"/>
    <xf numFmtId="0" fontId="1" fillId="3" borderId="0" applyNumberFormat="0" applyBorder="0" applyAlignment="0" applyProtection="0"/>
    <xf numFmtId="0" fontId="2" fillId="4" borderId="7" applyNumberFormat="0" applyAlignment="0" applyProtection="0"/>
    <xf numFmtId="0" fontId="3" fillId="5" borderId="8" applyNumberFormat="0" applyAlignment="0" applyProtection="0"/>
    <xf numFmtId="0" fontId="4" fillId="0" borderId="0" applyNumberFormat="0" applyFill="0" applyBorder="0" applyAlignment="0" applyProtection="0"/>
    <xf numFmtId="0" fontId="5" fillId="6" borderId="0" applyNumberFormat="0" applyBorder="0" applyAlignment="0" applyProtection="0"/>
    <xf numFmtId="0" fontId="6" fillId="0" borderId="9" applyNumberFormat="0" applyFill="0" applyAlignment="0" applyProtection="0"/>
    <xf numFmtId="0" fontId="7" fillId="0" borderId="10" applyNumberFormat="0" applyFill="0" applyAlignment="0" applyProtection="0"/>
    <xf numFmtId="0" fontId="8" fillId="0" borderId="11" applyNumberFormat="0" applyFill="0" applyAlignment="0" applyProtection="0"/>
    <xf numFmtId="0" fontId="8" fillId="0" borderId="0" applyNumberFormat="0" applyFill="0" applyBorder="0" applyAlignment="0" applyProtection="0"/>
    <xf numFmtId="0" fontId="9" fillId="7" borderId="7" applyNumberFormat="0" applyAlignment="0" applyProtection="0"/>
    <xf numFmtId="0" fontId="10" fillId="0" borderId="12" applyNumberFormat="0" applyFill="0" applyAlignment="0" applyProtection="0"/>
    <xf numFmtId="0" fontId="11" fillId="8" borderId="0" applyNumberFormat="0" applyBorder="0" applyAlignment="0" applyProtection="0"/>
    <xf numFmtId="0" fontId="12" fillId="9" borderId="13" applyNumberFormat="0" applyFont="0" applyAlignment="0" applyProtection="0"/>
    <xf numFmtId="0" fontId="13" fillId="4" borderId="14" applyNumberFormat="0" applyAlignment="0" applyProtection="0"/>
    <xf numFmtId="0" fontId="14" fillId="0" borderId="0"/>
    <xf numFmtId="0" fontId="15" fillId="0" borderId="0" applyNumberFormat="0" applyFill="0" applyBorder="0" applyAlignment="0" applyProtection="0"/>
    <xf numFmtId="0" fontId="16" fillId="0" borderId="15" applyNumberFormat="0" applyFill="0" applyAlignment="0" applyProtection="0"/>
    <xf numFmtId="0" fontId="1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7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6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164" fontId="18" fillId="0" borderId="1" xfId="0" applyNumberFormat="1" applyFont="1" applyFill="1" applyBorder="1" applyAlignment="1" applyProtection="1">
      <alignment horizontal="center" vertical="center"/>
    </xf>
    <xf numFmtId="164" fontId="0" fillId="0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2" borderId="16" xfId="0" applyFill="1" applyBorder="1"/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164" fontId="24" fillId="0" borderId="1" xfId="0" applyNumberFormat="1" applyFont="1" applyFill="1" applyBorder="1" applyAlignment="1" applyProtection="1">
      <alignment horizontal="center" vertical="center"/>
    </xf>
    <xf numFmtId="0" fontId="0" fillId="0" borderId="16" xfId="0" applyFill="1" applyBorder="1" applyAlignment="1">
      <alignment horizontal="center" vertical="center"/>
    </xf>
    <xf numFmtId="11" fontId="0" fillId="0" borderId="16" xfId="0" applyNumberFormat="1" applyFill="1" applyBorder="1" applyAlignment="1">
      <alignment horizontal="center" vertical="center"/>
    </xf>
    <xf numFmtId="11" fontId="0" fillId="0" borderId="16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11" fontId="25" fillId="0" borderId="3" xfId="0" applyNumberFormat="1" applyFont="1" applyBorder="1" applyAlignment="1">
      <alignment horizontal="center" vertical="center"/>
    </xf>
    <xf numFmtId="11" fontId="25" fillId="0" borderId="20" xfId="0" applyNumberFormat="1" applyFont="1" applyBorder="1" applyAlignment="1">
      <alignment horizontal="center" vertical="center"/>
    </xf>
    <xf numFmtId="2" fontId="25" fillId="0" borderId="20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4" fontId="24" fillId="0" borderId="16" xfId="0" applyNumberFormat="1" applyFont="1" applyBorder="1" applyAlignment="1">
      <alignment horizontal="center"/>
    </xf>
    <xf numFmtId="164" fontId="18" fillId="0" borderId="16" xfId="0" applyNumberFormat="1" applyFont="1" applyBorder="1" applyAlignment="1">
      <alignment horizontal="center" vertical="center"/>
    </xf>
    <xf numFmtId="164" fontId="18" fillId="0" borderId="18" xfId="0" applyNumberFormat="1" applyFont="1" applyBorder="1" applyAlignment="1">
      <alignment horizontal="center" vertical="center"/>
    </xf>
    <xf numFmtId="164" fontId="24" fillId="0" borderId="3" xfId="0" applyNumberFormat="1" applyFont="1" applyBorder="1" applyAlignment="1">
      <alignment horizontal="center" vertical="center"/>
    </xf>
    <xf numFmtId="164" fontId="24" fillId="0" borderId="20" xfId="0" applyNumberFormat="1" applyFont="1" applyBorder="1" applyAlignment="1">
      <alignment horizontal="center" vertical="center"/>
    </xf>
    <xf numFmtId="164" fontId="18" fillId="0" borderId="16" xfId="0" applyNumberFormat="1" applyFont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5" fillId="0" borderId="0" xfId="0" applyFont="1"/>
    <xf numFmtId="1" fontId="25" fillId="0" borderId="0" xfId="0" applyNumberFormat="1" applyFont="1"/>
    <xf numFmtId="0" fontId="25" fillId="0" borderId="16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1" fontId="25" fillId="0" borderId="18" xfId="0" applyNumberFormat="1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1" fontId="25" fillId="0" borderId="20" xfId="0" applyNumberFormat="1" applyFont="1" applyBorder="1" applyAlignment="1">
      <alignment horizontal="center" vertical="center"/>
    </xf>
    <xf numFmtId="0" fontId="25" fillId="0" borderId="16" xfId="0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0" fontId="18" fillId="11" borderId="0" xfId="0" applyFont="1" applyFill="1"/>
    <xf numFmtId="0" fontId="0" fillId="0" borderId="18" xfId="0" applyBorder="1" applyAlignment="1">
      <alignment horizontal="center" vertical="center"/>
    </xf>
    <xf numFmtId="2" fontId="25" fillId="0" borderId="16" xfId="0" applyNumberFormat="1" applyFont="1" applyBorder="1" applyAlignment="1">
      <alignment horizontal="center" vertical="center"/>
    </xf>
    <xf numFmtId="0" fontId="0" fillId="0" borderId="16" xfId="0" applyBorder="1"/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4" fontId="24" fillId="0" borderId="1" xfId="0" applyNumberFormat="1" applyFont="1" applyFill="1" applyBorder="1" applyAlignment="1">
      <alignment horizontal="center"/>
    </xf>
    <xf numFmtId="165" fontId="0" fillId="0" borderId="16" xfId="0" applyNumberFormat="1" applyBorder="1" applyAlignment="1">
      <alignment horizontal="center" vertical="center"/>
    </xf>
    <xf numFmtId="165" fontId="0" fillId="0" borderId="0" xfId="0" applyNumberFormat="1"/>
    <xf numFmtId="165" fontId="25" fillId="0" borderId="0" xfId="0" applyNumberFormat="1" applyFont="1"/>
    <xf numFmtId="165" fontId="26" fillId="0" borderId="0" xfId="0" applyNumberFormat="1" applyFont="1"/>
    <xf numFmtId="165" fontId="24" fillId="0" borderId="0" xfId="0" applyNumberFormat="1" applyFont="1"/>
    <xf numFmtId="0" fontId="27" fillId="0" borderId="0" xfId="315"/>
    <xf numFmtId="0" fontId="27" fillId="2" borderId="4" xfId="315" applyFill="1" applyBorder="1" applyAlignment="1">
      <alignment horizontal="center" vertical="center"/>
    </xf>
    <xf numFmtId="0" fontId="27" fillId="2" borderId="16" xfId="315" applyFill="1" applyBorder="1" applyAlignment="1">
      <alignment horizontal="center" vertical="center"/>
    </xf>
    <xf numFmtId="0" fontId="27" fillId="2" borderId="3" xfId="315" applyFill="1" applyBorder="1" applyAlignment="1">
      <alignment horizontal="center" vertical="center"/>
    </xf>
    <xf numFmtId="0" fontId="27" fillId="0" borderId="3" xfId="315" applyFill="1" applyBorder="1" applyAlignment="1">
      <alignment horizontal="center" vertical="center"/>
    </xf>
    <xf numFmtId="0" fontId="27" fillId="0" borderId="16" xfId="315" applyFill="1" applyBorder="1" applyAlignment="1">
      <alignment horizontal="center" vertical="center"/>
    </xf>
    <xf numFmtId="11" fontId="27" fillId="0" borderId="16" xfId="315" applyNumberFormat="1" applyFill="1" applyBorder="1" applyAlignment="1">
      <alignment horizontal="center" vertical="center"/>
    </xf>
    <xf numFmtId="0" fontId="0" fillId="0" borderId="16" xfId="315" applyFont="1" applyBorder="1" applyAlignment="1">
      <alignment horizontal="center" vertical="center"/>
    </xf>
    <xf numFmtId="0" fontId="27" fillId="0" borderId="16" xfId="315" applyBorder="1" applyAlignment="1">
      <alignment horizontal="center" vertical="center"/>
    </xf>
    <xf numFmtId="11" fontId="27" fillId="0" borderId="16" xfId="315" applyNumberFormat="1" applyBorder="1" applyAlignment="1">
      <alignment horizontal="center" vertical="center"/>
    </xf>
    <xf numFmtId="2" fontId="27" fillId="0" borderId="16" xfId="315" applyNumberFormat="1" applyBorder="1" applyAlignment="1">
      <alignment horizontal="center" vertical="center"/>
    </xf>
    <xf numFmtId="0" fontId="0" fillId="0" borderId="0" xfId="315" applyFont="1"/>
    <xf numFmtId="0" fontId="27" fillId="2" borderId="22" xfId="315" applyFill="1" applyBorder="1" applyAlignment="1">
      <alignment wrapText="1"/>
    </xf>
    <xf numFmtId="0" fontId="0" fillId="2" borderId="22" xfId="315" applyFont="1" applyFill="1" applyBorder="1" applyAlignment="1">
      <alignment wrapText="1"/>
    </xf>
    <xf numFmtId="0" fontId="0" fillId="2" borderId="22" xfId="315" applyFont="1" applyFill="1" applyBorder="1" applyAlignment="1">
      <alignment horizontal="center" vertical="center" wrapText="1"/>
    </xf>
    <xf numFmtId="165" fontId="27" fillId="0" borderId="16" xfId="315" applyNumberFormat="1" applyBorder="1" applyAlignment="1">
      <alignment horizontal="center" vertical="center"/>
    </xf>
    <xf numFmtId="165" fontId="27" fillId="0" borderId="16" xfId="315" applyNumberFormat="1" applyBorder="1"/>
    <xf numFmtId="165" fontId="27" fillId="0" borderId="0" xfId="315" applyNumberFormat="1"/>
    <xf numFmtId="0" fontId="27" fillId="2" borderId="16" xfId="315" applyFill="1" applyBorder="1"/>
    <xf numFmtId="0" fontId="28" fillId="0" borderId="16" xfId="315" applyFont="1" applyBorder="1"/>
    <xf numFmtId="0" fontId="27" fillId="0" borderId="16" xfId="315" applyBorder="1"/>
    <xf numFmtId="0" fontId="29" fillId="12" borderId="0" xfId="315" applyFont="1" applyFill="1"/>
    <xf numFmtId="165" fontId="25" fillId="0" borderId="18" xfId="0" applyNumberFormat="1" applyFont="1" applyBorder="1" applyAlignment="1">
      <alignment horizontal="center" vertical="center"/>
    </xf>
    <xf numFmtId="2" fontId="27" fillId="0" borderId="16" xfId="315" applyNumberFormat="1" applyBorder="1"/>
    <xf numFmtId="1" fontId="27" fillId="0" borderId="16" xfId="315" applyNumberFormat="1" applyBorder="1"/>
    <xf numFmtId="1" fontId="0" fillId="0" borderId="0" xfId="0" applyNumberFormat="1" applyBorder="1" applyAlignment="1">
      <alignment horizontal="center" vertical="center"/>
    </xf>
    <xf numFmtId="165" fontId="27" fillId="0" borderId="0" xfId="315" applyNumberFormat="1" applyBorder="1" applyAlignment="1">
      <alignment horizontal="center" vertical="center"/>
    </xf>
    <xf numFmtId="165" fontId="27" fillId="0" borderId="0" xfId="315" applyNumberFormat="1" applyBorder="1"/>
    <xf numFmtId="165" fontId="25" fillId="0" borderId="0" xfId="0" applyNumberFormat="1" applyFont="1" applyBorder="1" applyAlignment="1">
      <alignment horizontal="center" vertical="center"/>
    </xf>
    <xf numFmtId="2" fontId="27" fillId="0" borderId="0" xfId="315" applyNumberFormat="1" applyBorder="1"/>
    <xf numFmtId="1" fontId="27" fillId="0" borderId="0" xfId="315" applyNumberFormat="1" applyBorder="1"/>
    <xf numFmtId="0" fontId="0" fillId="0" borderId="16" xfId="315" applyFont="1" applyBorder="1"/>
    <xf numFmtId="165" fontId="25" fillId="0" borderId="16" xfId="0" applyNumberFormat="1" applyFont="1" applyBorder="1" applyAlignment="1">
      <alignment horizontal="center" vertical="center"/>
    </xf>
    <xf numFmtId="0" fontId="0" fillId="0" borderId="0" xfId="315" applyFont="1" applyFill="1" applyBorder="1"/>
    <xf numFmtId="1" fontId="27" fillId="0" borderId="0" xfId="315" applyNumberFormat="1"/>
    <xf numFmtId="0" fontId="30" fillId="2" borderId="0" xfId="315" applyFont="1" applyFill="1"/>
    <xf numFmtId="0" fontId="25" fillId="0" borderId="0" xfId="0" applyFont="1" applyBorder="1" applyAlignment="1">
      <alignment horizontal="center" vertical="center"/>
    </xf>
    <xf numFmtId="1" fontId="25" fillId="0" borderId="0" xfId="0" applyNumberFormat="1" applyFont="1" applyBorder="1" applyAlignment="1">
      <alignment horizontal="center" vertical="center"/>
    </xf>
    <xf numFmtId="1" fontId="0" fillId="0" borderId="0" xfId="0" applyNumberFormat="1"/>
    <xf numFmtId="2" fontId="0" fillId="0" borderId="0" xfId="0" applyNumberFormat="1"/>
    <xf numFmtId="165" fontId="25" fillId="0" borderId="3" xfId="0" applyNumberFormat="1" applyFont="1" applyBorder="1" applyAlignment="1">
      <alignment horizontal="center" vertical="center"/>
    </xf>
    <xf numFmtId="165" fontId="25" fillId="0" borderId="20" xfId="0" applyNumberFormat="1" applyFont="1" applyBorder="1" applyAlignment="1">
      <alignment horizontal="center" vertical="center"/>
    </xf>
    <xf numFmtId="0" fontId="0" fillId="0" borderId="0" xfId="315" applyFont="1" applyFill="1"/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7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18" xfId="0" applyNumberFormat="1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0" fillId="0" borderId="21" xfId="315" applyFont="1" applyBorder="1" applyAlignment="1">
      <alignment horizontal="center"/>
    </xf>
    <xf numFmtId="0" fontId="27" fillId="0" borderId="21" xfId="315" applyBorder="1" applyAlignment="1">
      <alignment horizontal="center"/>
    </xf>
    <xf numFmtId="0" fontId="27" fillId="0" borderId="17" xfId="315" applyNumberFormat="1" applyFill="1" applyBorder="1" applyAlignment="1">
      <alignment horizontal="center" vertical="center"/>
    </xf>
    <xf numFmtId="0" fontId="27" fillId="0" borderId="5" xfId="315" applyNumberFormat="1" applyFill="1" applyBorder="1" applyAlignment="1">
      <alignment horizontal="center" vertical="center"/>
    </xf>
    <xf numFmtId="0" fontId="27" fillId="0" borderId="18" xfId="315" applyNumberFormat="1" applyFill="1" applyBorder="1" applyAlignment="1">
      <alignment horizontal="center" vertical="center"/>
    </xf>
    <xf numFmtId="0" fontId="27" fillId="2" borderId="4" xfId="315" applyFill="1" applyBorder="1" applyAlignment="1">
      <alignment horizontal="center" vertical="center"/>
    </xf>
    <xf numFmtId="0" fontId="27" fillId="2" borderId="3" xfId="315" applyFill="1" applyBorder="1" applyAlignment="1">
      <alignment horizontal="center" vertical="center"/>
    </xf>
    <xf numFmtId="0" fontId="0" fillId="2" borderId="4" xfId="315" applyFont="1" applyFill="1" applyBorder="1" applyAlignment="1">
      <alignment horizontal="center" vertical="center"/>
    </xf>
    <xf numFmtId="0" fontId="27" fillId="2" borderId="16" xfId="315" applyFill="1" applyBorder="1" applyAlignment="1">
      <alignment horizontal="center" vertical="center"/>
    </xf>
    <xf numFmtId="0" fontId="25" fillId="13" borderId="4" xfId="0" applyFont="1" applyFill="1" applyBorder="1" applyAlignment="1">
      <alignment horizontal="center" vertical="center"/>
    </xf>
    <xf numFmtId="0" fontId="25" fillId="13" borderId="3" xfId="0" applyFont="1" applyFill="1" applyBorder="1" applyAlignment="1">
      <alignment horizontal="center" vertical="center"/>
    </xf>
    <xf numFmtId="0" fontId="0" fillId="2" borderId="3" xfId="315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</cellXfs>
  <cellStyles count="336">
    <cellStyle name="Bad" xfId="1"/>
    <cellStyle name="Calculation" xfId="2"/>
    <cellStyle name="Check Cell" xfId="3"/>
    <cellStyle name="Explanatory Text" xfId="4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Good" xfId="5"/>
    <cellStyle name="Heading 1" xfId="6"/>
    <cellStyle name="Heading 2" xfId="7"/>
    <cellStyle name="Heading 3" xfId="8"/>
    <cellStyle name="Heading 4" xfId="9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Input" xfId="10"/>
    <cellStyle name="Linked Cell" xfId="11"/>
    <cellStyle name="Neutral" xfId="12"/>
    <cellStyle name="Normal" xfId="0" builtinId="0"/>
    <cellStyle name="Normal 2" xfId="315"/>
    <cellStyle name="Note" xfId="13"/>
    <cellStyle name="Output" xfId="14"/>
    <cellStyle name="Standaard 2" xfId="15"/>
    <cellStyle name="Title" xfId="16"/>
    <cellStyle name="Total" xfId="17"/>
    <cellStyle name="Warning Text" xfId="18"/>
  </cellStyles>
  <dxfs count="0"/>
  <tableStyles count="0" defaultTableStyle="TableStyleMedium9" defaultPivotStyle="PivotStyleLight16"/>
  <colors>
    <mruColors>
      <color rgb="FFBF0000"/>
      <color rgb="FFDE00FD"/>
      <color rgb="FFFEC009"/>
      <color rgb="FF67FF65"/>
      <color rgb="FFFF00FF"/>
      <color rgb="FFE46C0A"/>
      <color rgb="FF996633"/>
      <color rgb="FF4949F1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chartsheet" Target="chartsheets/sheet1.xml"/><Relationship Id="rId23" Type="http://schemas.openxmlformats.org/officeDocument/2006/relationships/chartsheet" Target="chartsheets/sheet2.xml"/><Relationship Id="rId24" Type="http://schemas.openxmlformats.org/officeDocument/2006/relationships/worksheet" Target="worksheets/sheet22.xml"/><Relationship Id="rId25" Type="http://schemas.openxmlformats.org/officeDocument/2006/relationships/externalLink" Target="externalLinks/externalLink1.xml"/><Relationship Id="rId26" Type="http://schemas.openxmlformats.org/officeDocument/2006/relationships/theme" Target="theme/theme1.xml"/><Relationship Id="rId27" Type="http://schemas.openxmlformats.org/officeDocument/2006/relationships/connections" Target="connections.xml"/><Relationship Id="rId28" Type="http://schemas.openxmlformats.org/officeDocument/2006/relationships/styles" Target="styles.xml"/><Relationship Id="rId29" Type="http://schemas.openxmlformats.org/officeDocument/2006/relationships/sharedStrings" Target="sharedStrings.xml"/><Relationship Id="rId3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9800524934383"/>
                  <c:y val="-0.318278652668416"/>
                </c:manualLayout>
              </c:layout>
              <c:numFmt formatCode="General" sourceLinked="0"/>
            </c:trendlineLbl>
          </c:trendline>
          <c:xVal>
            <c:numRef>
              <c:f>('[1]Calibration F. prausnitzii'!$R$4:$R$5,'[1]Calibration F. prausnitzii'!$R$7:$R$9,'[1]Calibration F. prausnitzii'!$R$12:$R$18)</c:f>
              <c:numCache>
                <c:formatCode>General</c:formatCode>
                <c:ptCount val="12"/>
                <c:pt idx="0">
                  <c:v>8.615856001921256</c:v>
                </c:pt>
                <c:pt idx="1">
                  <c:v>7.578787169009893</c:v>
                </c:pt>
                <c:pt idx="2">
                  <c:v>5.16625245195416</c:v>
                </c:pt>
                <c:pt idx="3">
                  <c:v>4.327142945090009</c:v>
                </c:pt>
                <c:pt idx="4">
                  <c:v>8.5970052819172</c:v>
                </c:pt>
                <c:pt idx="5">
                  <c:v>7.638654956108294</c:v>
                </c:pt>
                <c:pt idx="6">
                  <c:v>7.317915960046743</c:v>
                </c:pt>
                <c:pt idx="7">
                  <c:v>6.979500247162297</c:v>
                </c:pt>
                <c:pt idx="8">
                  <c:v>6.727141401256697</c:v>
                </c:pt>
                <c:pt idx="9">
                  <c:v>6.258345785566837</c:v>
                </c:pt>
                <c:pt idx="10">
                  <c:v>5.898754948228658</c:v>
                </c:pt>
                <c:pt idx="11">
                  <c:v>5.513685518117733</c:v>
                </c:pt>
              </c:numCache>
            </c:numRef>
          </c:xVal>
          <c:yVal>
            <c:numRef>
              <c:f>('Calibration F. prausnitzii'!$L$23:$L$24,'Calibration F. prausnitzii'!$L$26:$L$28,'Calibration F. prausnitzii'!$L$31:$L$37)</c:f>
              <c:numCache>
                <c:formatCode>0.0</c:formatCode>
                <c:ptCount val="12"/>
                <c:pt idx="0">
                  <c:v>7.615938071690805</c:v>
                </c:pt>
                <c:pt idx="1">
                  <c:v>10.99721674549859</c:v>
                </c:pt>
                <c:pt idx="2">
                  <c:v>18.92516283619683</c:v>
                </c:pt>
                <c:pt idx="3">
                  <c:v>22.15071698455295</c:v>
                </c:pt>
                <c:pt idx="4">
                  <c:v>7.926772761510367</c:v>
                </c:pt>
                <c:pt idx="5">
                  <c:v>11.08311685737625</c:v>
                </c:pt>
                <c:pt idx="6">
                  <c:v>13.44173781888341</c:v>
                </c:pt>
                <c:pt idx="7">
                  <c:v>14.0348183395133</c:v>
                </c:pt>
                <c:pt idx="8">
                  <c:v>13.99912230985021</c:v>
                </c:pt>
                <c:pt idx="9">
                  <c:v>15.79201794481929</c:v>
                </c:pt>
                <c:pt idx="10">
                  <c:v>16.9694255274202</c:v>
                </c:pt>
                <c:pt idx="11">
                  <c:v>17.46778266446447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692904"/>
        <c:axId val="-2111819704"/>
      </c:scatterChart>
      <c:valAx>
        <c:axId val="-2094692904"/>
        <c:scaling>
          <c:orientation val="minMax"/>
          <c:max val="15.0"/>
          <c:min val="0.0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Cel</a:t>
                </a:r>
                <a:r>
                  <a:rPr lang="nl-BE" baseline="0"/>
                  <a:t> concentration [log(cell counts/ml)]</a:t>
                </a:r>
                <a:endParaRPr lang="nl-BE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1819704"/>
        <c:crosses val="autoZero"/>
        <c:crossBetween val="midCat"/>
        <c:majorUnit val="2.0"/>
      </c:valAx>
      <c:valAx>
        <c:axId val="-2111819704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Ct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chemeClr val="bg1">
                <a:lumMod val="65000"/>
              </a:schemeClr>
            </a:solidFill>
          </a:ln>
        </c:spPr>
        <c:crossAx val="-2094692904"/>
        <c:crosses val="autoZero"/>
        <c:crossBetween val="midCat"/>
        <c:minorUnit val="1.0"/>
      </c:valAx>
      <c:spPr>
        <a:ln>
          <a:solidFill>
            <a:schemeClr val="bg1">
              <a:lumMod val="6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BE"/>
              <a:t>Calibration</a:t>
            </a:r>
            <a:r>
              <a:rPr lang="nl-BE" baseline="0"/>
              <a:t> </a:t>
            </a:r>
            <a:r>
              <a:rPr lang="nl-BE" i="1" baseline="0"/>
              <a:t>B. hydrogenotrophica</a:t>
            </a:r>
            <a:endParaRPr lang="nl-BE" i="1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7518545148449"/>
          <c:y val="0.13013698630137"/>
          <c:w val="0.833789874261263"/>
          <c:h val="0.73188751662891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9800524934383"/>
                  <c:y val="-0.318278652668416"/>
                </c:manualLayout>
              </c:layout>
              <c:numFmt formatCode="General" sourceLinked="0"/>
            </c:trendlineLbl>
          </c:trendline>
          <c:xVal>
            <c:numRef>
              <c:f>'CalibrationB. hydrogenotrophica'!$R$4:$R$19</c:f>
              <c:numCache>
                <c:formatCode>0.00</c:formatCode>
                <c:ptCount val="16"/>
                <c:pt idx="0">
                  <c:v>8.313473506507658</c:v>
                </c:pt>
                <c:pt idx="1">
                  <c:v>7.276996109489027</c:v>
                </c:pt>
                <c:pt idx="2">
                  <c:v>6.34002746828266</c:v>
                </c:pt>
                <c:pt idx="3">
                  <c:v>5.410412073674764</c:v>
                </c:pt>
                <c:pt idx="4">
                  <c:v>4.624207964119256</c:v>
                </c:pt>
                <c:pt idx="5">
                  <c:v>8.368066736978313</c:v>
                </c:pt>
                <c:pt idx="6">
                  <c:v>8.001570749713231</c:v>
                </c:pt>
                <c:pt idx="7">
                  <c:v>7.678536588070615</c:v>
                </c:pt>
                <c:pt idx="8">
                  <c:v>7.377558180514065</c:v>
                </c:pt>
                <c:pt idx="9">
                  <c:v>6.962198804905538</c:v>
                </c:pt>
                <c:pt idx="10">
                  <c:v>6.642461222625335</c:v>
                </c:pt>
                <c:pt idx="11">
                  <c:v>6.437813958847346</c:v>
                </c:pt>
                <c:pt idx="12">
                  <c:v>6.193364379200031</c:v>
                </c:pt>
                <c:pt idx="13">
                  <c:v>5.945938002689035</c:v>
                </c:pt>
                <c:pt idx="14">
                  <c:v>5.659438986853353</c:v>
                </c:pt>
                <c:pt idx="15">
                  <c:v>5.359831154750319</c:v>
                </c:pt>
              </c:numCache>
            </c:numRef>
          </c:xVal>
          <c:yVal>
            <c:numRef>
              <c:f>'CalibrationB. hydrogenotrophica'!$F$23:$F$38</c:f>
              <c:numCache>
                <c:formatCode>0.0</c:formatCode>
                <c:ptCount val="16"/>
                <c:pt idx="0">
                  <c:v>12.0253438949585</c:v>
                </c:pt>
                <c:pt idx="1">
                  <c:v>17.51580047607422</c:v>
                </c:pt>
                <c:pt idx="2">
                  <c:v>19.98495546976725</c:v>
                </c:pt>
                <c:pt idx="3">
                  <c:v>24.50247510274251</c:v>
                </c:pt>
                <c:pt idx="4">
                  <c:v>27.92595100402832</c:v>
                </c:pt>
                <c:pt idx="5">
                  <c:v>13.76362260182699</c:v>
                </c:pt>
                <c:pt idx="6">
                  <c:v>15.44432004292806</c:v>
                </c:pt>
                <c:pt idx="7">
                  <c:v>16.26623217264811</c:v>
                </c:pt>
                <c:pt idx="8">
                  <c:v>18.50184694925944</c:v>
                </c:pt>
                <c:pt idx="9">
                  <c:v>18.70137278238932</c:v>
                </c:pt>
                <c:pt idx="10">
                  <c:v>19.19911956787109</c:v>
                </c:pt>
                <c:pt idx="11">
                  <c:v>20.34818077087402</c:v>
                </c:pt>
                <c:pt idx="12">
                  <c:v>21.39213307698568</c:v>
                </c:pt>
                <c:pt idx="13">
                  <c:v>22.52744038899739</c:v>
                </c:pt>
                <c:pt idx="14">
                  <c:v>25.06320190429687</c:v>
                </c:pt>
                <c:pt idx="15">
                  <c:v>25.82879130045573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547384"/>
        <c:axId val="-2109818936"/>
      </c:scatterChart>
      <c:valAx>
        <c:axId val="-2110547384"/>
        <c:scaling>
          <c:orientation val="minMax"/>
          <c:max val="15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Cel</a:t>
                </a:r>
                <a:r>
                  <a:rPr lang="nl-BE" baseline="0"/>
                  <a:t> concentration [log(cell counts/ml)]</a:t>
                </a:r>
                <a:endParaRPr lang="nl-BE"/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-2109818936"/>
        <c:crosses val="autoZero"/>
        <c:crossBetween val="midCat"/>
        <c:majorUnit val="2.0"/>
      </c:valAx>
      <c:valAx>
        <c:axId val="-21098189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Ct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-2110547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89461511983133"/>
          <c:y val="0.0345387605837973"/>
          <c:w val="0.836883974334042"/>
          <c:h val="0.849427405643557"/>
        </c:manualLayout>
      </c:layout>
      <c:scatterChart>
        <c:scatterStyle val="lineMarker"/>
        <c:varyColors val="0"/>
        <c:ser>
          <c:idx val="1"/>
          <c:order val="0"/>
          <c:tx>
            <c:strRef>
              <c:f>Metabolites!$J$1</c:f>
              <c:strCache>
                <c:ptCount val="1"/>
                <c:pt idx="0">
                  <c:v>Lactic acid</c:v>
                </c:pt>
              </c:strCache>
            </c:strRef>
          </c:tx>
          <c:spPr>
            <a:ln>
              <a:solidFill>
                <a:srgbClr val="4949F1"/>
              </a:solidFill>
            </a:ln>
          </c:spPr>
          <c:marker>
            <c:symbol val="triangle"/>
            <c:size val="8"/>
            <c:spPr>
              <a:solidFill>
                <a:srgbClr val="4949F1"/>
              </a:solidFill>
              <a:ln>
                <a:solidFill>
                  <a:srgbClr val="4949F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Metabolites!$M$4:$M$20</c:f>
                <c:numCache>
                  <c:formatCode>General</c:formatCode>
                  <c:ptCount val="17"/>
                  <c:pt idx="0">
                    <c:v>0.0222431287676613</c:v>
                  </c:pt>
                  <c:pt idx="1">
                    <c:v>1.89152006241982E-16</c:v>
                  </c:pt>
                  <c:pt idx="2">
                    <c:v>0.0340213511236129</c:v>
                  </c:pt>
                  <c:pt idx="3">
                    <c:v>0.0129029294304327</c:v>
                  </c:pt>
                  <c:pt idx="4">
                    <c:v>0.0259887494268532</c:v>
                  </c:pt>
                  <c:pt idx="5">
                    <c:v>0.0131082771944792</c:v>
                  </c:pt>
                  <c:pt idx="6">
                    <c:v>0.0132758266022283</c:v>
                  </c:pt>
                  <c:pt idx="7">
                    <c:v>0.0134588012414627</c:v>
                  </c:pt>
                  <c:pt idx="8">
                    <c:v>0.0234754918377703</c:v>
                  </c:pt>
                  <c:pt idx="9">
                    <c:v>0.0624106049110882</c:v>
                  </c:pt>
                  <c:pt idx="10">
                    <c:v>0.02744319095505</c:v>
                  </c:pt>
                  <c:pt idx="11">
                    <c:v>0.0137452738131202</c:v>
                  </c:pt>
                  <c:pt idx="12">
                    <c:v>0.0412726720393964</c:v>
                  </c:pt>
                  <c:pt idx="13">
                    <c:v>0.0238287883121207</c:v>
                  </c:pt>
                  <c:pt idx="14">
                    <c:v>0.0496035784378175</c:v>
                  </c:pt>
                  <c:pt idx="15">
                    <c:v>0.132673078373646</c:v>
                  </c:pt>
                  <c:pt idx="16">
                    <c:v>0.0687877867323273</c:v>
                  </c:pt>
                </c:numCache>
              </c:numRef>
            </c:plus>
            <c:minus>
              <c:numRef>
                <c:f>Metabolites!$M$4:$M$20</c:f>
                <c:numCache>
                  <c:formatCode>General</c:formatCode>
                  <c:ptCount val="17"/>
                  <c:pt idx="0">
                    <c:v>0.0222431287676613</c:v>
                  </c:pt>
                  <c:pt idx="1">
                    <c:v>1.89152006241982E-16</c:v>
                  </c:pt>
                  <c:pt idx="2">
                    <c:v>0.0340213511236129</c:v>
                  </c:pt>
                  <c:pt idx="3">
                    <c:v>0.0129029294304327</c:v>
                  </c:pt>
                  <c:pt idx="4">
                    <c:v>0.0259887494268532</c:v>
                  </c:pt>
                  <c:pt idx="5">
                    <c:v>0.0131082771944792</c:v>
                  </c:pt>
                  <c:pt idx="6">
                    <c:v>0.0132758266022283</c:v>
                  </c:pt>
                  <c:pt idx="7">
                    <c:v>0.0134588012414627</c:v>
                  </c:pt>
                  <c:pt idx="8">
                    <c:v>0.0234754918377703</c:v>
                  </c:pt>
                  <c:pt idx="9">
                    <c:v>0.0624106049110882</c:v>
                  </c:pt>
                  <c:pt idx="10">
                    <c:v>0.02744319095505</c:v>
                  </c:pt>
                  <c:pt idx="11">
                    <c:v>0.0137452738131202</c:v>
                  </c:pt>
                  <c:pt idx="12">
                    <c:v>0.0412726720393964</c:v>
                  </c:pt>
                  <c:pt idx="13">
                    <c:v>0.0238287883121207</c:v>
                  </c:pt>
                  <c:pt idx="14">
                    <c:v>0.0496035784378175</c:v>
                  </c:pt>
                  <c:pt idx="15">
                    <c:v>0.132673078373646</c:v>
                  </c:pt>
                  <c:pt idx="16">
                    <c:v>0.0687877867323273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30.25</c:v>
                </c:pt>
                <c:pt idx="16">
                  <c:v>48.0</c:v>
                </c:pt>
              </c:numCache>
            </c:numRef>
          </c:xVal>
          <c:yVal>
            <c:numRef>
              <c:f>Metabolites!$L$4:$L$20</c:f>
              <c:numCache>
                <c:formatCode>0</c:formatCode>
                <c:ptCount val="17"/>
                <c:pt idx="0">
                  <c:v>0.978697665777097</c:v>
                </c:pt>
                <c:pt idx="1">
                  <c:v>1.023841919404582</c:v>
                </c:pt>
                <c:pt idx="2">
                  <c:v>1.076489782450045</c:v>
                </c:pt>
                <c:pt idx="3">
                  <c:v>1.132325486559256</c:v>
                </c:pt>
                <c:pt idx="4">
                  <c:v>1.132848166550907</c:v>
                </c:pt>
                <c:pt idx="5">
                  <c:v>1.15034623976042</c:v>
                </c:pt>
                <c:pt idx="6">
                  <c:v>1.801228484690156</c:v>
                </c:pt>
                <c:pt idx="7">
                  <c:v>2.043626382688503</c:v>
                </c:pt>
                <c:pt idx="8">
                  <c:v>2.324073691939255</c:v>
                </c:pt>
                <c:pt idx="9">
                  <c:v>2.665556027680937</c:v>
                </c:pt>
                <c:pt idx="10">
                  <c:v>2.764836228088416</c:v>
                </c:pt>
                <c:pt idx="11">
                  <c:v>2.793414812703742</c:v>
                </c:pt>
                <c:pt idx="12">
                  <c:v>2.883283385766598</c:v>
                </c:pt>
                <c:pt idx="13">
                  <c:v>2.907112174078718</c:v>
                </c:pt>
                <c:pt idx="14">
                  <c:v>3.177171774949418</c:v>
                </c:pt>
                <c:pt idx="15">
                  <c:v>3.407516728633252</c:v>
                </c:pt>
                <c:pt idx="16">
                  <c:v>3.701405117816072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Metabolites!$N$1</c:f>
              <c:strCache>
                <c:ptCount val="1"/>
                <c:pt idx="0">
                  <c:v>Acetic acid</c:v>
                </c:pt>
              </c:strCache>
            </c:strRef>
          </c:tx>
          <c:spPr>
            <a:ln>
              <a:solidFill>
                <a:srgbClr val="FEC009"/>
              </a:solidFill>
            </a:ln>
          </c:spPr>
          <c:marker>
            <c:symbol val="triangle"/>
            <c:size val="8"/>
            <c:spPr>
              <a:solidFill>
                <a:srgbClr val="FEC009"/>
              </a:solidFill>
              <a:ln>
                <a:solidFill>
                  <a:srgbClr val="FEC009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Metabolites!$Q$4:$Q$20</c:f>
                <c:numCache>
                  <c:formatCode>General</c:formatCode>
                  <c:ptCount val="17"/>
                  <c:pt idx="0">
                    <c:v>0.203872958757543</c:v>
                  </c:pt>
                  <c:pt idx="1">
                    <c:v>0.536637064149827</c:v>
                  </c:pt>
                  <c:pt idx="2">
                    <c:v>0.468139783919982</c:v>
                  </c:pt>
                  <c:pt idx="3">
                    <c:v>0.184639401586728</c:v>
                  </c:pt>
                  <c:pt idx="4">
                    <c:v>0.118569124740759</c:v>
                  </c:pt>
                  <c:pt idx="5">
                    <c:v>0.598042225226406</c:v>
                  </c:pt>
                  <c:pt idx="6">
                    <c:v>0.536962729681026</c:v>
                  </c:pt>
                  <c:pt idx="7">
                    <c:v>1.225410383715095</c:v>
                  </c:pt>
                  <c:pt idx="8">
                    <c:v>0.640038745987633</c:v>
                  </c:pt>
                  <c:pt idx="9">
                    <c:v>2.806180065059559</c:v>
                  </c:pt>
                  <c:pt idx="10">
                    <c:v>2.00105423336828</c:v>
                  </c:pt>
                  <c:pt idx="11">
                    <c:v>1.451118655471247</c:v>
                  </c:pt>
                  <c:pt idx="12">
                    <c:v>0.975871415504395</c:v>
                  </c:pt>
                  <c:pt idx="13">
                    <c:v>1.21953372575179</c:v>
                  </c:pt>
                  <c:pt idx="14">
                    <c:v>1.574546522882242</c:v>
                  </c:pt>
                  <c:pt idx="15">
                    <c:v>3.776208000228879</c:v>
                  </c:pt>
                  <c:pt idx="16">
                    <c:v>1.424434795697851</c:v>
                  </c:pt>
                </c:numCache>
              </c:numRef>
            </c:plus>
            <c:minus>
              <c:numRef>
                <c:f>Metabolites!$Q$4:$Q$20</c:f>
                <c:numCache>
                  <c:formatCode>General</c:formatCode>
                  <c:ptCount val="17"/>
                  <c:pt idx="0">
                    <c:v>0.203872958757543</c:v>
                  </c:pt>
                  <c:pt idx="1">
                    <c:v>0.536637064149827</c:v>
                  </c:pt>
                  <c:pt idx="2">
                    <c:v>0.468139783919982</c:v>
                  </c:pt>
                  <c:pt idx="3">
                    <c:v>0.184639401586728</c:v>
                  </c:pt>
                  <c:pt idx="4">
                    <c:v>0.118569124740759</c:v>
                  </c:pt>
                  <c:pt idx="5">
                    <c:v>0.598042225226406</c:v>
                  </c:pt>
                  <c:pt idx="6">
                    <c:v>0.536962729681026</c:v>
                  </c:pt>
                  <c:pt idx="7">
                    <c:v>1.225410383715095</c:v>
                  </c:pt>
                  <c:pt idx="8">
                    <c:v>0.640038745987633</c:v>
                  </c:pt>
                  <c:pt idx="9">
                    <c:v>2.806180065059559</c:v>
                  </c:pt>
                  <c:pt idx="10">
                    <c:v>2.00105423336828</c:v>
                  </c:pt>
                  <c:pt idx="11">
                    <c:v>1.451118655471247</c:v>
                  </c:pt>
                  <c:pt idx="12">
                    <c:v>0.975871415504395</c:v>
                  </c:pt>
                  <c:pt idx="13">
                    <c:v>1.21953372575179</c:v>
                  </c:pt>
                  <c:pt idx="14">
                    <c:v>1.574546522882242</c:v>
                  </c:pt>
                  <c:pt idx="15">
                    <c:v>3.776208000228879</c:v>
                  </c:pt>
                  <c:pt idx="16">
                    <c:v>1.424434795697851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30.25</c:v>
                </c:pt>
                <c:pt idx="16">
                  <c:v>48.0</c:v>
                </c:pt>
              </c:numCache>
            </c:numRef>
          </c:xVal>
          <c:yVal>
            <c:numRef>
              <c:f>Metabolites!$P$4:$P$20</c:f>
              <c:numCache>
                <c:formatCode>0</c:formatCode>
                <c:ptCount val="17"/>
                <c:pt idx="0">
                  <c:v>47.22478364281924</c:v>
                </c:pt>
                <c:pt idx="1">
                  <c:v>46.79885057383965</c:v>
                </c:pt>
                <c:pt idx="2">
                  <c:v>47.66515883904425</c:v>
                </c:pt>
                <c:pt idx="3">
                  <c:v>48.72249836272011</c:v>
                </c:pt>
                <c:pt idx="4">
                  <c:v>50.0469083448563</c:v>
                </c:pt>
                <c:pt idx="5">
                  <c:v>52.0636252713921</c:v>
                </c:pt>
                <c:pt idx="6">
                  <c:v>59.78877473627467</c:v>
                </c:pt>
                <c:pt idx="7">
                  <c:v>73.784447220335</c:v>
                </c:pt>
                <c:pt idx="8">
                  <c:v>84.80992174183923</c:v>
                </c:pt>
                <c:pt idx="9">
                  <c:v>95.04532193832838</c:v>
                </c:pt>
                <c:pt idx="10">
                  <c:v>95.73677811305785</c:v>
                </c:pt>
                <c:pt idx="11">
                  <c:v>96.92576381071886</c:v>
                </c:pt>
                <c:pt idx="12">
                  <c:v>97.46515411853825</c:v>
                </c:pt>
                <c:pt idx="13">
                  <c:v>96.86940134275258</c:v>
                </c:pt>
                <c:pt idx="14">
                  <c:v>97.2864282858025</c:v>
                </c:pt>
                <c:pt idx="15">
                  <c:v>98.3826133932482</c:v>
                </c:pt>
                <c:pt idx="16">
                  <c:v>96.86940134275258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Metabolites!$R$1</c:f>
              <c:strCache>
                <c:ptCount val="1"/>
                <c:pt idx="0">
                  <c:v>Formic acid</c:v>
                </c:pt>
              </c:strCache>
            </c:strRef>
          </c:tx>
          <c:spPr>
            <a:ln>
              <a:solidFill>
                <a:srgbClr val="DE00FD"/>
              </a:solidFill>
            </a:ln>
          </c:spPr>
          <c:marker>
            <c:symbol val="triangle"/>
            <c:size val="8"/>
            <c:spPr>
              <a:solidFill>
                <a:srgbClr val="DE00FD"/>
              </a:solidFill>
              <a:ln>
                <a:solidFill>
                  <a:srgbClr val="DE00FD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Metabolites!$U$4:$U$20</c:f>
                <c:numCache>
                  <c:formatCode>General</c:formatCode>
                  <c:ptCount val="17"/>
                  <c:pt idx="0">
                    <c:v>0.0251317453933765</c:v>
                  </c:pt>
                  <c:pt idx="1">
                    <c:v>0.0754437218625604</c:v>
                  </c:pt>
                  <c:pt idx="2">
                    <c:v>0.0503291893690516</c:v>
                  </c:pt>
                  <c:pt idx="3">
                    <c:v>0.0668074268203192</c:v>
                  </c:pt>
                  <c:pt idx="4">
                    <c:v>0.076289372638636</c:v>
                  </c:pt>
                  <c:pt idx="5">
                    <c:v>0.111817510705367</c:v>
                  </c:pt>
                  <c:pt idx="6">
                    <c:v>0.0899993964533154</c:v>
                  </c:pt>
                  <c:pt idx="7">
                    <c:v>0.146647488320444</c:v>
                  </c:pt>
                  <c:pt idx="8">
                    <c:v>7.80850647831609E-16</c:v>
                  </c:pt>
                  <c:pt idx="9">
                    <c:v>0.0923265846143046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plus>
            <c:minus>
              <c:numRef>
                <c:f>Metabolites!$U$4:$U$20</c:f>
                <c:numCache>
                  <c:formatCode>General</c:formatCode>
                  <c:ptCount val="17"/>
                  <c:pt idx="0">
                    <c:v>0.0251317453933765</c:v>
                  </c:pt>
                  <c:pt idx="1">
                    <c:v>0.0754437218625604</c:v>
                  </c:pt>
                  <c:pt idx="2">
                    <c:v>0.0503291893690516</c:v>
                  </c:pt>
                  <c:pt idx="3">
                    <c:v>0.0668074268203192</c:v>
                  </c:pt>
                  <c:pt idx="4">
                    <c:v>0.076289372638636</c:v>
                  </c:pt>
                  <c:pt idx="5">
                    <c:v>0.111817510705367</c:v>
                  </c:pt>
                  <c:pt idx="6">
                    <c:v>0.0899993964533154</c:v>
                  </c:pt>
                  <c:pt idx="7">
                    <c:v>0.146647488320444</c:v>
                  </c:pt>
                  <c:pt idx="8">
                    <c:v>7.80850647831609E-16</c:v>
                  </c:pt>
                  <c:pt idx="9">
                    <c:v>0.0923265846143046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30.25</c:v>
                </c:pt>
                <c:pt idx="16">
                  <c:v>48.0</c:v>
                </c:pt>
              </c:numCache>
            </c:numRef>
          </c:xVal>
          <c:yVal>
            <c:numRef>
              <c:f>Metabolites!$T$4:$T$20</c:f>
              <c:numCache>
                <c:formatCode>0</c:formatCode>
                <c:ptCount val="17"/>
                <c:pt idx="0">
                  <c:v>1.24784451725411</c:v>
                </c:pt>
                <c:pt idx="1">
                  <c:v>1.176051234402445</c:v>
                </c:pt>
                <c:pt idx="2">
                  <c:v>1.365705838424925</c:v>
                </c:pt>
                <c:pt idx="3">
                  <c:v>2.565829328977294</c:v>
                </c:pt>
                <c:pt idx="4">
                  <c:v>6.298533645579051</c:v>
                </c:pt>
                <c:pt idx="5">
                  <c:v>7.583022644005152</c:v>
                </c:pt>
                <c:pt idx="6">
                  <c:v>7.469949905625177</c:v>
                </c:pt>
                <c:pt idx="7">
                  <c:v>6.949432722462305</c:v>
                </c:pt>
                <c:pt idx="8">
                  <c:v>4.180646963543718</c:v>
                </c:pt>
                <c:pt idx="9">
                  <c:v>0.923265846143046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CO2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'CO2'!$A$5:$A$101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'CO2'!$G$5:$G$101</c:f>
              <c:numCache>
                <c:formatCode>0.0</c:formatCode>
                <c:ptCount val="97"/>
                <c:pt idx="0">
                  <c:v>0.0195683109990517</c:v>
                </c:pt>
                <c:pt idx="1">
                  <c:v>0.0672342836908122</c:v>
                </c:pt>
                <c:pt idx="2">
                  <c:v>0.126804141107704</c:v>
                </c:pt>
                <c:pt idx="3">
                  <c:v>0.19692130486514</c:v>
                </c:pt>
                <c:pt idx="4">
                  <c:v>0.282575987477202</c:v>
                </c:pt>
                <c:pt idx="5">
                  <c:v>0.386960566026662</c:v>
                </c:pt>
                <c:pt idx="6">
                  <c:v>0.515349222832897</c:v>
                </c:pt>
                <c:pt idx="7">
                  <c:v>0.682545143322698</c:v>
                </c:pt>
                <c:pt idx="8">
                  <c:v>0.913599086756704</c:v>
                </c:pt>
                <c:pt idx="9">
                  <c:v>1.244225009565975</c:v>
                </c:pt>
                <c:pt idx="10">
                  <c:v>1.716970024109623</c:v>
                </c:pt>
                <c:pt idx="11">
                  <c:v>2.347176161787021</c:v>
                </c:pt>
                <c:pt idx="12">
                  <c:v>3.123015947763982</c:v>
                </c:pt>
                <c:pt idx="13">
                  <c:v>4.04715108435005</c:v>
                </c:pt>
                <c:pt idx="14">
                  <c:v>5.144435063484628</c:v>
                </c:pt>
                <c:pt idx="15">
                  <c:v>6.46953523331279</c:v>
                </c:pt>
                <c:pt idx="16">
                  <c:v>8.018099727526181</c:v>
                </c:pt>
                <c:pt idx="17">
                  <c:v>9.738823492582627</c:v>
                </c:pt>
                <c:pt idx="18">
                  <c:v>11.60642746888854</c:v>
                </c:pt>
                <c:pt idx="19">
                  <c:v>13.57996169094861</c:v>
                </c:pt>
                <c:pt idx="20">
                  <c:v>15.59477140353206</c:v>
                </c:pt>
                <c:pt idx="21">
                  <c:v>17.56993009767478</c:v>
                </c:pt>
                <c:pt idx="22">
                  <c:v>19.4211594904411</c:v>
                </c:pt>
                <c:pt idx="23">
                  <c:v>21.1293050760261</c:v>
                </c:pt>
                <c:pt idx="24">
                  <c:v>22.75016609272552</c:v>
                </c:pt>
                <c:pt idx="25">
                  <c:v>24.19875323099554</c:v>
                </c:pt>
                <c:pt idx="26">
                  <c:v>25.35932082036653</c:v>
                </c:pt>
                <c:pt idx="27">
                  <c:v>26.26155784908554</c:v>
                </c:pt>
                <c:pt idx="28">
                  <c:v>27.1037200282435</c:v>
                </c:pt>
                <c:pt idx="29">
                  <c:v>27.92092711612899</c:v>
                </c:pt>
                <c:pt idx="30">
                  <c:v>28.58642252089761</c:v>
                </c:pt>
                <c:pt idx="31">
                  <c:v>29.12334802327471</c:v>
                </c:pt>
                <c:pt idx="32">
                  <c:v>29.55059635284157</c:v>
                </c:pt>
                <c:pt idx="33">
                  <c:v>29.88365139409854</c:v>
                </c:pt>
                <c:pt idx="34">
                  <c:v>30.14623416472091</c:v>
                </c:pt>
                <c:pt idx="35">
                  <c:v>30.35478048045341</c:v>
                </c:pt>
                <c:pt idx="36">
                  <c:v>30.52427774616525</c:v>
                </c:pt>
                <c:pt idx="37">
                  <c:v>30.6621475478106</c:v>
                </c:pt>
                <c:pt idx="38">
                  <c:v>30.76751425016854</c:v>
                </c:pt>
                <c:pt idx="39">
                  <c:v>30.84907539521654</c:v>
                </c:pt>
                <c:pt idx="40">
                  <c:v>30.91550957821142</c:v>
                </c:pt>
                <c:pt idx="41">
                  <c:v>30.97067046241528</c:v>
                </c:pt>
                <c:pt idx="42">
                  <c:v>31.01759101892699</c:v>
                </c:pt>
                <c:pt idx="43">
                  <c:v>31.0567663554732</c:v>
                </c:pt>
                <c:pt idx="44">
                  <c:v>31.09067849246002</c:v>
                </c:pt>
                <c:pt idx="45">
                  <c:v>31.11968193300288</c:v>
                </c:pt>
                <c:pt idx="46">
                  <c:v>31.14427178482845</c:v>
                </c:pt>
                <c:pt idx="47">
                  <c:v>31.16627690507804</c:v>
                </c:pt>
                <c:pt idx="48">
                  <c:v>31.18719528414082</c:v>
                </c:pt>
                <c:pt idx="49">
                  <c:v>31.20796152707843</c:v>
                </c:pt>
                <c:pt idx="50">
                  <c:v>31.22845144224492</c:v>
                </c:pt>
                <c:pt idx="51">
                  <c:v>31.24794467900027</c:v>
                </c:pt>
                <c:pt idx="52">
                  <c:v>31.25717318280708</c:v>
                </c:pt>
                <c:pt idx="53">
                  <c:v>31.25717318280708</c:v>
                </c:pt>
                <c:pt idx="54">
                  <c:v>31.25717318280708</c:v>
                </c:pt>
                <c:pt idx="55">
                  <c:v>31.25717318280708</c:v>
                </c:pt>
                <c:pt idx="56">
                  <c:v>31.25717318280708</c:v>
                </c:pt>
                <c:pt idx="57">
                  <c:v>31.25717318280708</c:v>
                </c:pt>
                <c:pt idx="58">
                  <c:v>31.25717318280708</c:v>
                </c:pt>
                <c:pt idx="59">
                  <c:v>31.25717318280708</c:v>
                </c:pt>
                <c:pt idx="60">
                  <c:v>31.25717318280708</c:v>
                </c:pt>
                <c:pt idx="61">
                  <c:v>31.25717318280708</c:v>
                </c:pt>
                <c:pt idx="62">
                  <c:v>31.25717318280708</c:v>
                </c:pt>
                <c:pt idx="63">
                  <c:v>31.25717318280708</c:v>
                </c:pt>
                <c:pt idx="64">
                  <c:v>31.25717318280708</c:v>
                </c:pt>
                <c:pt idx="65">
                  <c:v>31.25717318280708</c:v>
                </c:pt>
                <c:pt idx="66">
                  <c:v>31.25717318280708</c:v>
                </c:pt>
                <c:pt idx="67">
                  <c:v>31.25717318280708</c:v>
                </c:pt>
                <c:pt idx="68">
                  <c:v>31.25717318280708</c:v>
                </c:pt>
                <c:pt idx="69">
                  <c:v>31.25717318280708</c:v>
                </c:pt>
                <c:pt idx="70">
                  <c:v>31.25717318280708</c:v>
                </c:pt>
                <c:pt idx="71">
                  <c:v>31.25717318280708</c:v>
                </c:pt>
                <c:pt idx="72">
                  <c:v>31.25717318280708</c:v>
                </c:pt>
                <c:pt idx="73">
                  <c:v>31.25717318280708</c:v>
                </c:pt>
                <c:pt idx="74">
                  <c:v>31.25717318280708</c:v>
                </c:pt>
                <c:pt idx="75">
                  <c:v>31.25717318280708</c:v>
                </c:pt>
                <c:pt idx="76">
                  <c:v>31.25717318280708</c:v>
                </c:pt>
                <c:pt idx="77">
                  <c:v>31.25717318280708</c:v>
                </c:pt>
                <c:pt idx="78">
                  <c:v>31.25717318280708</c:v>
                </c:pt>
                <c:pt idx="79">
                  <c:v>31.25717318280708</c:v>
                </c:pt>
                <c:pt idx="80">
                  <c:v>31.25717318280708</c:v>
                </c:pt>
                <c:pt idx="81">
                  <c:v>31.25717318280708</c:v>
                </c:pt>
                <c:pt idx="82">
                  <c:v>31.25717318280708</c:v>
                </c:pt>
                <c:pt idx="83">
                  <c:v>31.25717318280708</c:v>
                </c:pt>
                <c:pt idx="84">
                  <c:v>31.25717318280708</c:v>
                </c:pt>
                <c:pt idx="85">
                  <c:v>31.25717318280708</c:v>
                </c:pt>
                <c:pt idx="86">
                  <c:v>31.25717318280708</c:v>
                </c:pt>
                <c:pt idx="87">
                  <c:v>31.25717318280708</c:v>
                </c:pt>
                <c:pt idx="88">
                  <c:v>31.25717318280708</c:v>
                </c:pt>
                <c:pt idx="89">
                  <c:v>31.25717318280708</c:v>
                </c:pt>
                <c:pt idx="90">
                  <c:v>31.25717318280708</c:v>
                </c:pt>
                <c:pt idx="91">
                  <c:v>31.25717318280708</c:v>
                </c:pt>
                <c:pt idx="92">
                  <c:v>31.25717318280708</c:v>
                </c:pt>
                <c:pt idx="93">
                  <c:v>31.25717318280708</c:v>
                </c:pt>
                <c:pt idx="94">
                  <c:v>31.25717318280708</c:v>
                </c:pt>
                <c:pt idx="95">
                  <c:v>31.25717318280708</c:v>
                </c:pt>
                <c:pt idx="96">
                  <c:v>31.25717318280708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Metabolites!$F$1</c:f>
              <c:strCache>
                <c:ptCount val="1"/>
                <c:pt idx="0">
                  <c:v>D-Fructose</c:v>
                </c:pt>
              </c:strCache>
            </c:strRef>
          </c:tx>
          <c:spPr>
            <a:ln>
              <a:solidFill>
                <a:srgbClr val="67FF65"/>
              </a:solidFill>
            </a:ln>
          </c:spPr>
          <c:marker>
            <c:symbol val="circle"/>
            <c:size val="8"/>
            <c:spPr>
              <a:solidFill>
                <a:srgbClr val="67FF65"/>
              </a:solidFill>
              <a:ln>
                <a:solidFill>
                  <a:srgbClr val="67FF65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Metabolites!$I$4:$I$20</c:f>
                <c:numCache>
                  <c:formatCode>General</c:formatCode>
                  <c:ptCount val="17"/>
                  <c:pt idx="0">
                    <c:v>0.199052183915244</c:v>
                  </c:pt>
                  <c:pt idx="1">
                    <c:v>0.579014190471468</c:v>
                  </c:pt>
                  <c:pt idx="2">
                    <c:v>0.447711895531327</c:v>
                  </c:pt>
                  <c:pt idx="3">
                    <c:v>0.296276097944601</c:v>
                  </c:pt>
                  <c:pt idx="4">
                    <c:v>0.1297812158047</c:v>
                  </c:pt>
                  <c:pt idx="5">
                    <c:v>0.216683430141177</c:v>
                  </c:pt>
                  <c:pt idx="6">
                    <c:v>0.279029326270238</c:v>
                  </c:pt>
                  <c:pt idx="7">
                    <c:v>0.216598907411866</c:v>
                  </c:pt>
                  <c:pt idx="8">
                    <c:v>0.0295393461102859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plus>
            <c:minus>
              <c:numRef>
                <c:f>Metabolites!$I$4:$I$20</c:f>
                <c:numCache>
                  <c:formatCode>General</c:formatCode>
                  <c:ptCount val="17"/>
                  <c:pt idx="0">
                    <c:v>0.199052183915244</c:v>
                  </c:pt>
                  <c:pt idx="1">
                    <c:v>0.579014190471468</c:v>
                  </c:pt>
                  <c:pt idx="2">
                    <c:v>0.447711895531327</c:v>
                  </c:pt>
                  <c:pt idx="3">
                    <c:v>0.296276097944601</c:v>
                  </c:pt>
                  <c:pt idx="4">
                    <c:v>0.1297812158047</c:v>
                  </c:pt>
                  <c:pt idx="5">
                    <c:v>0.216683430141177</c:v>
                  </c:pt>
                  <c:pt idx="6">
                    <c:v>0.279029326270238</c:v>
                  </c:pt>
                  <c:pt idx="7">
                    <c:v>0.216598907411866</c:v>
                  </c:pt>
                  <c:pt idx="8">
                    <c:v>0.0295393461102859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30.25</c:v>
                </c:pt>
                <c:pt idx="16">
                  <c:v>48.0</c:v>
                </c:pt>
              </c:numCache>
            </c:numRef>
          </c:xVal>
          <c:yVal>
            <c:numRef>
              <c:f>Metabolites!$H$4:$H$20</c:f>
              <c:numCache>
                <c:formatCode>0</c:formatCode>
                <c:ptCount val="17"/>
                <c:pt idx="0">
                  <c:v>50.05074691536588</c:v>
                </c:pt>
                <c:pt idx="1">
                  <c:v>49.48940234339323</c:v>
                </c:pt>
                <c:pt idx="2">
                  <c:v>49.54822626256274</c:v>
                </c:pt>
                <c:pt idx="3">
                  <c:v>48.16108072766837</c:v>
                </c:pt>
                <c:pt idx="4">
                  <c:v>44.21483887130975</c:v>
                </c:pt>
                <c:pt idx="5">
                  <c:v>36.72783093129811</c:v>
                </c:pt>
                <c:pt idx="6">
                  <c:v>24.90294190109921</c:v>
                </c:pt>
                <c:pt idx="7">
                  <c:v>12.72409962605484</c:v>
                </c:pt>
                <c:pt idx="8">
                  <c:v>5.325024065200886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Metabolites!$J$22</c:f>
              <c:strCache>
                <c:ptCount val="1"/>
                <c:pt idx="0">
                  <c:v>Butyric acid</c:v>
                </c:pt>
              </c:strCache>
            </c:strRef>
          </c:tx>
          <c:spPr>
            <a:ln>
              <a:solidFill>
                <a:srgbClr val="BF0000"/>
              </a:solidFill>
            </a:ln>
          </c:spPr>
          <c:marker>
            <c:symbol val="triangle"/>
            <c:size val="8"/>
            <c:spPr>
              <a:solidFill>
                <a:srgbClr val="BF0000"/>
              </a:solidFill>
              <a:ln>
                <a:solidFill>
                  <a:srgbClr val="B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Metabolites!$M$25:$M$41</c:f>
                <c:numCache>
                  <c:formatCode>General</c:formatCode>
                  <c:ptCount val="17"/>
                  <c:pt idx="0">
                    <c:v>0.0454808997705352</c:v>
                  </c:pt>
                  <c:pt idx="1">
                    <c:v>0.0682652219063853</c:v>
                  </c:pt>
                  <c:pt idx="2">
                    <c:v>0.0473998960880133</c:v>
                  </c:pt>
                  <c:pt idx="3">
                    <c:v>0.0349012127629021</c:v>
                  </c:pt>
                  <c:pt idx="4">
                    <c:v>0.082964226016876</c:v>
                  </c:pt>
                  <c:pt idx="5">
                    <c:v>0.0483192816415476</c:v>
                  </c:pt>
                  <c:pt idx="6">
                    <c:v>0.21331098653976</c:v>
                  </c:pt>
                  <c:pt idx="7">
                    <c:v>0.466005738540904</c:v>
                  </c:pt>
                  <c:pt idx="8">
                    <c:v>0.186679042031649</c:v>
                  </c:pt>
                  <c:pt idx="9">
                    <c:v>0.819366430011531</c:v>
                  </c:pt>
                  <c:pt idx="10">
                    <c:v>0.731093076178656</c:v>
                  </c:pt>
                  <c:pt idx="11">
                    <c:v>0.257971377290612</c:v>
                  </c:pt>
                  <c:pt idx="12">
                    <c:v>0.341351767103788</c:v>
                  </c:pt>
                  <c:pt idx="13">
                    <c:v>0.433288950728</c:v>
                  </c:pt>
                  <c:pt idx="14">
                    <c:v>0.412231419646114</c:v>
                  </c:pt>
                  <c:pt idx="15">
                    <c:v>1.197769929538047</c:v>
                  </c:pt>
                  <c:pt idx="16">
                    <c:v>0.436019790476197</c:v>
                  </c:pt>
                </c:numCache>
              </c:numRef>
            </c:plus>
            <c:minus>
              <c:numRef>
                <c:f>Metabolites!$M$25:$M$41</c:f>
                <c:numCache>
                  <c:formatCode>General</c:formatCode>
                  <c:ptCount val="17"/>
                  <c:pt idx="0">
                    <c:v>0.0454808997705352</c:v>
                  </c:pt>
                  <c:pt idx="1">
                    <c:v>0.0682652219063853</c:v>
                  </c:pt>
                  <c:pt idx="2">
                    <c:v>0.0473998960880133</c:v>
                  </c:pt>
                  <c:pt idx="3">
                    <c:v>0.0349012127629021</c:v>
                  </c:pt>
                  <c:pt idx="4">
                    <c:v>0.082964226016876</c:v>
                  </c:pt>
                  <c:pt idx="5">
                    <c:v>0.0483192816415476</c:v>
                  </c:pt>
                  <c:pt idx="6">
                    <c:v>0.21331098653976</c:v>
                  </c:pt>
                  <c:pt idx="7">
                    <c:v>0.466005738540904</c:v>
                  </c:pt>
                  <c:pt idx="8">
                    <c:v>0.186679042031649</c:v>
                  </c:pt>
                  <c:pt idx="9">
                    <c:v>0.819366430011531</c:v>
                  </c:pt>
                  <c:pt idx="10">
                    <c:v>0.731093076178656</c:v>
                  </c:pt>
                  <c:pt idx="11">
                    <c:v>0.257971377290612</c:v>
                  </c:pt>
                  <c:pt idx="12">
                    <c:v>0.341351767103788</c:v>
                  </c:pt>
                  <c:pt idx="13">
                    <c:v>0.433288950728</c:v>
                  </c:pt>
                  <c:pt idx="14">
                    <c:v>0.412231419646114</c:v>
                  </c:pt>
                  <c:pt idx="15">
                    <c:v>1.197769929538047</c:v>
                  </c:pt>
                  <c:pt idx="16">
                    <c:v>0.436019790476197</c:v>
                  </c:pt>
                </c:numCache>
              </c:numRef>
            </c:minus>
          </c:errBars>
          <c:xVal>
            <c:numRef>
              <c:f>Metabolites!$E$25:$E$41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30.25</c:v>
                </c:pt>
                <c:pt idx="16">
                  <c:v>48.0</c:v>
                </c:pt>
              </c:numCache>
            </c:numRef>
          </c:xVal>
          <c:yVal>
            <c:numRef>
              <c:f>Metabolites!$L$25:$L$41</c:f>
              <c:numCache>
                <c:formatCode>0</c:formatCode>
                <c:ptCount val="17"/>
                <c:pt idx="0">
                  <c:v>0.682213496558029</c:v>
                </c:pt>
                <c:pt idx="1">
                  <c:v>0.84193773684542</c:v>
                </c:pt>
                <c:pt idx="2">
                  <c:v>1.426930876011788</c:v>
                </c:pt>
                <c:pt idx="3">
                  <c:v>3.252061469745734</c:v>
                </c:pt>
                <c:pt idx="4">
                  <c:v>7.96150713406377</c:v>
                </c:pt>
                <c:pt idx="5">
                  <c:v>14.43002228096747</c:v>
                </c:pt>
                <c:pt idx="6">
                  <c:v>21.24387013396265</c:v>
                </c:pt>
                <c:pt idx="7">
                  <c:v>26.30317105060056</c:v>
                </c:pt>
                <c:pt idx="8">
                  <c:v>27.51642035400844</c:v>
                </c:pt>
                <c:pt idx="9">
                  <c:v>28.58597738606314</c:v>
                </c:pt>
                <c:pt idx="10">
                  <c:v>28.75249349237607</c:v>
                </c:pt>
                <c:pt idx="11">
                  <c:v>29.14286688164343</c:v>
                </c:pt>
                <c:pt idx="12">
                  <c:v>29.34756200838784</c:v>
                </c:pt>
                <c:pt idx="13">
                  <c:v>29.31507992536805</c:v>
                </c:pt>
                <c:pt idx="14">
                  <c:v>29.88351637821451</c:v>
                </c:pt>
                <c:pt idx="15">
                  <c:v>30.3869886650214</c:v>
                </c:pt>
                <c:pt idx="16">
                  <c:v>30.10277043859816</c:v>
                </c:pt>
              </c:numCache>
            </c:numRef>
          </c:yVal>
          <c:smooth val="0"/>
        </c:ser>
        <c:ser>
          <c:idx val="10"/>
          <c:order val="8"/>
          <c:tx>
            <c:v>H2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'H2'!$A$5:$A$101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'H2'!$G$5:$G$101</c:f>
              <c:numCache>
                <c:formatCode>0.0</c:formatCode>
                <c:ptCount val="97"/>
                <c:pt idx="0">
                  <c:v>0.0391429639718514</c:v>
                </c:pt>
                <c:pt idx="1">
                  <c:v>0.133958793491779</c:v>
                </c:pt>
                <c:pt idx="2">
                  <c:v>0.275200286837595</c:v>
                </c:pt>
                <c:pt idx="3">
                  <c:v>0.477597433036071</c:v>
                </c:pt>
                <c:pt idx="4">
                  <c:v>0.733669624055708</c:v>
                </c:pt>
                <c:pt idx="5">
                  <c:v>1.026661505532219</c:v>
                </c:pt>
                <c:pt idx="6">
                  <c:v>1.374601681605195</c:v>
                </c:pt>
                <c:pt idx="7">
                  <c:v>1.839895412644112</c:v>
                </c:pt>
                <c:pt idx="8">
                  <c:v>2.545580808089353</c:v>
                </c:pt>
                <c:pt idx="9">
                  <c:v>3.516924480424463</c:v>
                </c:pt>
                <c:pt idx="10">
                  <c:v>4.665999448025476</c:v>
                </c:pt>
                <c:pt idx="11">
                  <c:v>6.020020980663868</c:v>
                </c:pt>
                <c:pt idx="12">
                  <c:v>7.208632000952836</c:v>
                </c:pt>
                <c:pt idx="13">
                  <c:v>8.128712684711065</c:v>
                </c:pt>
                <c:pt idx="14">
                  <c:v>9.144256451265825</c:v>
                </c:pt>
                <c:pt idx="15">
                  <c:v>10.30828643752593</c:v>
                </c:pt>
                <c:pt idx="16">
                  <c:v>11.76265184762277</c:v>
                </c:pt>
                <c:pt idx="17">
                  <c:v>13.5166340509053</c:v>
                </c:pt>
                <c:pt idx="18">
                  <c:v>15.7558601603675</c:v>
                </c:pt>
                <c:pt idx="19">
                  <c:v>18.09418003032119</c:v>
                </c:pt>
                <c:pt idx="20">
                  <c:v>19.95843140239383</c:v>
                </c:pt>
                <c:pt idx="21">
                  <c:v>21.64744002805576</c:v>
                </c:pt>
                <c:pt idx="22">
                  <c:v>23.22107208347766</c:v>
                </c:pt>
                <c:pt idx="23">
                  <c:v>24.59310967562823</c:v>
                </c:pt>
                <c:pt idx="24">
                  <c:v>25.64119999419114</c:v>
                </c:pt>
                <c:pt idx="25">
                  <c:v>26.31893244578371</c:v>
                </c:pt>
                <c:pt idx="26">
                  <c:v>26.78994363586821</c:v>
                </c:pt>
                <c:pt idx="27">
                  <c:v>27.12610971074587</c:v>
                </c:pt>
                <c:pt idx="28">
                  <c:v>27.35496728159641</c:v>
                </c:pt>
                <c:pt idx="29">
                  <c:v>27.49175140823541</c:v>
                </c:pt>
                <c:pt idx="30">
                  <c:v>27.55146250001443</c:v>
                </c:pt>
                <c:pt idx="31">
                  <c:v>27.57428594558142</c:v>
                </c:pt>
                <c:pt idx="32">
                  <c:v>27.5944089081277</c:v>
                </c:pt>
                <c:pt idx="33">
                  <c:v>27.61716902581382</c:v>
                </c:pt>
                <c:pt idx="34">
                  <c:v>27.64217887341055</c:v>
                </c:pt>
                <c:pt idx="35">
                  <c:v>27.66856442280992</c:v>
                </c:pt>
                <c:pt idx="36">
                  <c:v>27.69811657596771</c:v>
                </c:pt>
                <c:pt idx="37">
                  <c:v>27.72986629381005</c:v>
                </c:pt>
                <c:pt idx="38">
                  <c:v>27.75891361096917</c:v>
                </c:pt>
                <c:pt idx="39">
                  <c:v>27.79021259629903</c:v>
                </c:pt>
                <c:pt idx="40">
                  <c:v>27.82349350832921</c:v>
                </c:pt>
                <c:pt idx="41">
                  <c:v>27.85483786606906</c:v>
                </c:pt>
                <c:pt idx="42">
                  <c:v>27.88514613734771</c:v>
                </c:pt>
                <c:pt idx="43">
                  <c:v>27.91576952250676</c:v>
                </c:pt>
                <c:pt idx="44">
                  <c:v>27.94688851399038</c:v>
                </c:pt>
                <c:pt idx="45">
                  <c:v>27.97715191145694</c:v>
                </c:pt>
                <c:pt idx="46">
                  <c:v>28.0091264969576</c:v>
                </c:pt>
                <c:pt idx="47">
                  <c:v>28.04339762444108</c:v>
                </c:pt>
                <c:pt idx="48">
                  <c:v>28.08100828077552</c:v>
                </c:pt>
                <c:pt idx="49">
                  <c:v>28.11811266685271</c:v>
                </c:pt>
                <c:pt idx="50">
                  <c:v>28.15059700025267</c:v>
                </c:pt>
                <c:pt idx="51">
                  <c:v>28.18393879349205</c:v>
                </c:pt>
                <c:pt idx="52">
                  <c:v>28.22185317853194</c:v>
                </c:pt>
                <c:pt idx="53">
                  <c:v>28.25895756460912</c:v>
                </c:pt>
                <c:pt idx="54">
                  <c:v>28.2925846504519</c:v>
                </c:pt>
                <c:pt idx="55">
                  <c:v>28.32978448562561</c:v>
                </c:pt>
                <c:pt idx="56">
                  <c:v>28.36550776019022</c:v>
                </c:pt>
                <c:pt idx="57">
                  <c:v>28.39842082350989</c:v>
                </c:pt>
                <c:pt idx="58">
                  <c:v>28.43571610778011</c:v>
                </c:pt>
                <c:pt idx="59">
                  <c:v>28.4731537746805</c:v>
                </c:pt>
                <c:pt idx="60">
                  <c:v>28.51302038378282</c:v>
                </c:pt>
                <c:pt idx="61">
                  <c:v>28.55283292621974</c:v>
                </c:pt>
                <c:pt idx="62">
                  <c:v>28.59716731768648</c:v>
                </c:pt>
                <c:pt idx="63">
                  <c:v>28.6448190669331</c:v>
                </c:pt>
                <c:pt idx="64">
                  <c:v>28.68327225775941</c:v>
                </c:pt>
                <c:pt idx="65">
                  <c:v>28.7216753626605</c:v>
                </c:pt>
                <c:pt idx="66">
                  <c:v>28.76249093962597</c:v>
                </c:pt>
                <c:pt idx="67">
                  <c:v>28.80395985966031</c:v>
                </c:pt>
                <c:pt idx="68">
                  <c:v>28.84568032234127</c:v>
                </c:pt>
                <c:pt idx="69">
                  <c:v>28.88453531358983</c:v>
                </c:pt>
                <c:pt idx="70">
                  <c:v>28.92017311890895</c:v>
                </c:pt>
                <c:pt idx="71">
                  <c:v>28.95520822359468</c:v>
                </c:pt>
                <c:pt idx="72">
                  <c:v>28.99431475748986</c:v>
                </c:pt>
                <c:pt idx="73">
                  <c:v>29.03507969201983</c:v>
                </c:pt>
                <c:pt idx="74">
                  <c:v>29.07348224041065</c:v>
                </c:pt>
                <c:pt idx="75">
                  <c:v>29.11168388859033</c:v>
                </c:pt>
                <c:pt idx="76">
                  <c:v>29.15159457984031</c:v>
                </c:pt>
                <c:pt idx="77">
                  <c:v>29.19125372844366</c:v>
                </c:pt>
                <c:pt idx="78">
                  <c:v>29.23121450561884</c:v>
                </c:pt>
                <c:pt idx="79">
                  <c:v>29.27127601115473</c:v>
                </c:pt>
                <c:pt idx="80">
                  <c:v>29.31038254504991</c:v>
                </c:pt>
                <c:pt idx="81">
                  <c:v>29.35014242201397</c:v>
                </c:pt>
                <c:pt idx="82">
                  <c:v>29.38939977019506</c:v>
                </c:pt>
                <c:pt idx="83">
                  <c:v>29.42760141837475</c:v>
                </c:pt>
                <c:pt idx="84">
                  <c:v>29.46424483777006</c:v>
                </c:pt>
                <c:pt idx="85">
                  <c:v>29.49817415652917</c:v>
                </c:pt>
                <c:pt idx="86">
                  <c:v>29.52581991771531</c:v>
                </c:pt>
                <c:pt idx="87">
                  <c:v>29.55648140810948</c:v>
                </c:pt>
                <c:pt idx="88">
                  <c:v>29.59805049999425</c:v>
                </c:pt>
                <c:pt idx="89">
                  <c:v>29.63635232002436</c:v>
                </c:pt>
                <c:pt idx="90">
                  <c:v>29.67018091042276</c:v>
                </c:pt>
                <c:pt idx="91">
                  <c:v>29.70516592918328</c:v>
                </c:pt>
                <c:pt idx="92">
                  <c:v>29.73587806201295</c:v>
                </c:pt>
                <c:pt idx="93">
                  <c:v>29.7701590952691</c:v>
                </c:pt>
                <c:pt idx="94">
                  <c:v>29.80981880038273</c:v>
                </c:pt>
                <c:pt idx="95">
                  <c:v>29.84570870485875</c:v>
                </c:pt>
                <c:pt idx="96">
                  <c:v>29.88845589435207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936840"/>
        <c:axId val="-2111433864"/>
      </c:scatterChart>
      <c:scatterChart>
        <c:scatterStyle val="lineMarker"/>
        <c:varyColors val="0"/>
        <c:ser>
          <c:idx val="8"/>
          <c:order val="6"/>
          <c:tx>
            <c:v>CFU (log/ml)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'Plate Count'!#REF!</c:f>
            </c:numRef>
          </c:xVal>
          <c:yVal>
            <c:numRef>
              <c:f>'Flow cytometer'!$N$4:$N$13</c:f>
              <c:numCache>
                <c:formatCode>General</c:formatCode>
                <c:ptCount val="10"/>
                <c:pt idx="0">
                  <c:v>3412.0</c:v>
                </c:pt>
                <c:pt idx="1">
                  <c:v>6052.0</c:v>
                </c:pt>
                <c:pt idx="2">
                  <c:v>11579.0</c:v>
                </c:pt>
                <c:pt idx="3">
                  <c:v>28789.0</c:v>
                </c:pt>
                <c:pt idx="4">
                  <c:v>5988.0</c:v>
                </c:pt>
                <c:pt idx="5">
                  <c:v>24338.0</c:v>
                </c:pt>
                <c:pt idx="6">
                  <c:v>17519.0</c:v>
                </c:pt>
                <c:pt idx="7">
                  <c:v>24338.0</c:v>
                </c:pt>
                <c:pt idx="8">
                  <c:v>24874.0</c:v>
                </c:pt>
                <c:pt idx="9">
                  <c:v>31038.0</c:v>
                </c:pt>
              </c:numCache>
            </c:numRef>
          </c:yVal>
          <c:smooth val="0"/>
        </c:ser>
        <c:ser>
          <c:idx val="9"/>
          <c:order val="7"/>
          <c:tx>
            <c:v>count (log (count/ml))</c:v>
          </c:tx>
          <c:spPr>
            <a:ln>
              <a:solidFill>
                <a:srgbClr val="7030A0"/>
              </a:solidFill>
            </a:ln>
          </c:spPr>
          <c:marker>
            <c:symbol val="circle"/>
            <c:size val="8"/>
            <c:spPr>
              <a:solidFill>
                <a:sysClr val="window" lastClr="FFFFFF"/>
              </a:solidFill>
              <a:ln w="25400"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'Flow cytometer'!$X$4:$X$20</c:f>
                <c:numCache>
                  <c:formatCode>General</c:formatCode>
                  <c:ptCount val="17"/>
                  <c:pt idx="0">
                    <c:v>0.0135859779416415</c:v>
                  </c:pt>
                  <c:pt idx="1">
                    <c:v>0.0123013510653846</c:v>
                  </c:pt>
                  <c:pt idx="2">
                    <c:v>0.02996605186392</c:v>
                  </c:pt>
                  <c:pt idx="3">
                    <c:v>0.0120292008386239</c:v>
                  </c:pt>
                  <c:pt idx="4">
                    <c:v>0.0253976465637876</c:v>
                  </c:pt>
                  <c:pt idx="5">
                    <c:v>0.00923856297903182</c:v>
                  </c:pt>
                  <c:pt idx="6">
                    <c:v>0.012176291336827</c:v>
                  </c:pt>
                  <c:pt idx="7">
                    <c:v>0.00948560829518404</c:v>
                  </c:pt>
                  <c:pt idx="8">
                    <c:v>0.015899998153916</c:v>
                  </c:pt>
                  <c:pt idx="9">
                    <c:v>0.00990757827279408</c:v>
                  </c:pt>
                  <c:pt idx="10">
                    <c:v>0.0481010893137413</c:v>
                  </c:pt>
                  <c:pt idx="11">
                    <c:v>0.0121793497442384</c:v>
                  </c:pt>
                  <c:pt idx="12">
                    <c:v>0.0215573540351124</c:v>
                  </c:pt>
                  <c:pt idx="13">
                    <c:v>0.00445350975986543</c:v>
                  </c:pt>
                  <c:pt idx="14">
                    <c:v>0.0737715132769169</c:v>
                  </c:pt>
                  <c:pt idx="15">
                    <c:v>0.0848765097138264</c:v>
                  </c:pt>
                  <c:pt idx="16">
                    <c:v>0.0175282642344877</c:v>
                  </c:pt>
                </c:numCache>
              </c:numRef>
            </c:plus>
            <c:minus>
              <c:numRef>
                <c:f>'Flow cytometer'!$X$4:$X$20</c:f>
                <c:numCache>
                  <c:formatCode>General</c:formatCode>
                  <c:ptCount val="17"/>
                  <c:pt idx="0">
                    <c:v>0.0135859779416415</c:v>
                  </c:pt>
                  <c:pt idx="1">
                    <c:v>0.0123013510653846</c:v>
                  </c:pt>
                  <c:pt idx="2">
                    <c:v>0.02996605186392</c:v>
                  </c:pt>
                  <c:pt idx="3">
                    <c:v>0.0120292008386239</c:v>
                  </c:pt>
                  <c:pt idx="4">
                    <c:v>0.0253976465637876</c:v>
                  </c:pt>
                  <c:pt idx="5">
                    <c:v>0.00923856297903182</c:v>
                  </c:pt>
                  <c:pt idx="6">
                    <c:v>0.012176291336827</c:v>
                  </c:pt>
                  <c:pt idx="7">
                    <c:v>0.00948560829518404</c:v>
                  </c:pt>
                  <c:pt idx="8">
                    <c:v>0.015899998153916</c:v>
                  </c:pt>
                  <c:pt idx="9">
                    <c:v>0.00990757827279408</c:v>
                  </c:pt>
                  <c:pt idx="10">
                    <c:v>0.0481010893137413</c:v>
                  </c:pt>
                  <c:pt idx="11">
                    <c:v>0.0121793497442384</c:v>
                  </c:pt>
                  <c:pt idx="12">
                    <c:v>0.0215573540351124</c:v>
                  </c:pt>
                  <c:pt idx="13">
                    <c:v>0.00445350975986543</c:v>
                  </c:pt>
                  <c:pt idx="14">
                    <c:v>0.0737715132769169</c:v>
                  </c:pt>
                  <c:pt idx="15">
                    <c:v>0.0848765097138264</c:v>
                  </c:pt>
                  <c:pt idx="16">
                    <c:v>0.0175282642344877</c:v>
                  </c:pt>
                </c:numCache>
              </c:numRef>
            </c:minus>
          </c:errBars>
          <c:xVal>
            <c:numRef>
              <c:f>'Flow cytometer'!$D$4:$D$20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30.25</c:v>
                </c:pt>
                <c:pt idx="16">
                  <c:v>48.0</c:v>
                </c:pt>
              </c:numCache>
            </c:numRef>
          </c:xVal>
          <c:yVal>
            <c:numRef>
              <c:f>'Flow cytometer'!$S$4:$S$20</c:f>
              <c:numCache>
                <c:formatCode>0.00</c:formatCode>
                <c:ptCount val="17"/>
                <c:pt idx="0">
                  <c:v>7.694154325474272</c:v>
                </c:pt>
                <c:pt idx="1">
                  <c:v>7.932423794327006</c:v>
                </c:pt>
                <c:pt idx="2">
                  <c:v>8.197656981151516</c:v>
                </c:pt>
                <c:pt idx="3">
                  <c:v>8.623074728689143</c:v>
                </c:pt>
                <c:pt idx="4">
                  <c:v>8.969698176488803</c:v>
                </c:pt>
                <c:pt idx="5">
                  <c:v>9.567745988948484</c:v>
                </c:pt>
                <c:pt idx="6">
                  <c:v>9.414065955441503</c:v>
                </c:pt>
                <c:pt idx="7">
                  <c:v>9.57920675186901</c:v>
                </c:pt>
                <c:pt idx="8">
                  <c:v>9.599749938126265</c:v>
                </c:pt>
                <c:pt idx="9">
                  <c:v>9.67373459830755</c:v>
                </c:pt>
                <c:pt idx="10">
                  <c:v>9.585862330360432</c:v>
                </c:pt>
                <c:pt idx="11">
                  <c:v>9.59860835556089</c:v>
                </c:pt>
                <c:pt idx="12">
                  <c:v>9.612675016912378</c:v>
                </c:pt>
                <c:pt idx="13">
                  <c:v>9.61523024840141</c:v>
                </c:pt>
                <c:pt idx="14">
                  <c:v>9.318380528208603</c:v>
                </c:pt>
                <c:pt idx="15">
                  <c:v>8.95575446129811</c:v>
                </c:pt>
                <c:pt idx="16">
                  <c:v>8.94303629091028</c:v>
                </c:pt>
              </c:numCache>
            </c:numRef>
          </c:yVal>
          <c:smooth val="0"/>
        </c:ser>
        <c:ser>
          <c:idx val="5"/>
          <c:order val="9"/>
          <c:tx>
            <c:v>qPCR FP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8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'Determination cell counts FP'!$S$4:$S$20</c:f>
                <c:numCache>
                  <c:formatCode>General</c:formatCode>
                  <c:ptCount val="17"/>
                  <c:pt idx="0">
                    <c:v>0.107314561673344</c:v>
                  </c:pt>
                  <c:pt idx="1">
                    <c:v>0.0547856922768827</c:v>
                  </c:pt>
                  <c:pt idx="2">
                    <c:v>0.051798508553038</c:v>
                  </c:pt>
                  <c:pt idx="3">
                    <c:v>0.0503190866641088</c:v>
                  </c:pt>
                  <c:pt idx="4">
                    <c:v>0.0731011240935891</c:v>
                  </c:pt>
                  <c:pt idx="5">
                    <c:v>0.0620101130164481</c:v>
                  </c:pt>
                  <c:pt idx="6">
                    <c:v>0.0167699477918025</c:v>
                  </c:pt>
                  <c:pt idx="7">
                    <c:v>0.0341453474854005</c:v>
                  </c:pt>
                  <c:pt idx="8">
                    <c:v>0.0922029090408835</c:v>
                  </c:pt>
                  <c:pt idx="9">
                    <c:v>0.0185376779865361</c:v>
                  </c:pt>
                  <c:pt idx="10">
                    <c:v>0.0240207053050516</c:v>
                  </c:pt>
                  <c:pt idx="11">
                    <c:v>0.134438311835012</c:v>
                  </c:pt>
                  <c:pt idx="12">
                    <c:v>0.00312431093760774</c:v>
                  </c:pt>
                  <c:pt idx="13">
                    <c:v>0.0563227179774592</c:v>
                  </c:pt>
                  <c:pt idx="14">
                    <c:v>0.0270833008898276</c:v>
                  </c:pt>
                  <c:pt idx="15">
                    <c:v>0.0175966781867407</c:v>
                  </c:pt>
                  <c:pt idx="16">
                    <c:v>0.0614740462510988</c:v>
                  </c:pt>
                </c:numCache>
              </c:numRef>
            </c:plus>
            <c:minus>
              <c:numRef>
                <c:f>'Determination cell counts FP'!$S$4:$S$20</c:f>
                <c:numCache>
                  <c:formatCode>General</c:formatCode>
                  <c:ptCount val="17"/>
                  <c:pt idx="0">
                    <c:v>0.107314561673344</c:v>
                  </c:pt>
                  <c:pt idx="1">
                    <c:v>0.0547856922768827</c:v>
                  </c:pt>
                  <c:pt idx="2">
                    <c:v>0.051798508553038</c:v>
                  </c:pt>
                  <c:pt idx="3">
                    <c:v>0.0503190866641088</c:v>
                  </c:pt>
                  <c:pt idx="4">
                    <c:v>0.0731011240935891</c:v>
                  </c:pt>
                  <c:pt idx="5">
                    <c:v>0.0620101130164481</c:v>
                  </c:pt>
                  <c:pt idx="6">
                    <c:v>0.0167699477918025</c:v>
                  </c:pt>
                  <c:pt idx="7">
                    <c:v>0.0341453474854005</c:v>
                  </c:pt>
                  <c:pt idx="8">
                    <c:v>0.0922029090408835</c:v>
                  </c:pt>
                  <c:pt idx="9">
                    <c:v>0.0185376779865361</c:v>
                  </c:pt>
                  <c:pt idx="10">
                    <c:v>0.0240207053050516</c:v>
                  </c:pt>
                  <c:pt idx="11">
                    <c:v>0.134438311835012</c:v>
                  </c:pt>
                  <c:pt idx="12">
                    <c:v>0.00312431093760774</c:v>
                  </c:pt>
                  <c:pt idx="13">
                    <c:v>0.0563227179774592</c:v>
                  </c:pt>
                  <c:pt idx="14">
                    <c:v>0.0270833008898276</c:v>
                  </c:pt>
                  <c:pt idx="15">
                    <c:v>0.0175966781867407</c:v>
                  </c:pt>
                  <c:pt idx="16">
                    <c:v>0.0614740462510988</c:v>
                  </c:pt>
                </c:numCache>
              </c:numRef>
            </c:minus>
          </c:errBars>
          <c:xVal>
            <c:numRef>
              <c:f>'Determination cell counts FP'!$D$4:$D$20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30.25</c:v>
                </c:pt>
                <c:pt idx="16">
                  <c:v>48.0</c:v>
                </c:pt>
              </c:numCache>
            </c:numRef>
          </c:xVal>
          <c:yVal>
            <c:numRef>
              <c:f>'Determination cell counts FP'!$R$4:$R$20</c:f>
              <c:numCache>
                <c:formatCode>0.00</c:formatCode>
                <c:ptCount val="17"/>
                <c:pt idx="0">
                  <c:v>6.862245710917582</c:v>
                </c:pt>
                <c:pt idx="1">
                  <c:v>7.389957630277963</c:v>
                </c:pt>
                <c:pt idx="2">
                  <c:v>7.984637249385078</c:v>
                </c:pt>
                <c:pt idx="3">
                  <c:v>8.442618352962433</c:v>
                </c:pt>
                <c:pt idx="4">
                  <c:v>9.03828439202586</c:v>
                </c:pt>
                <c:pt idx="5">
                  <c:v>9.305152725400594</c:v>
                </c:pt>
                <c:pt idx="6">
                  <c:v>9.502407331841167</c:v>
                </c:pt>
                <c:pt idx="7">
                  <c:v>9.556806912136325</c:v>
                </c:pt>
                <c:pt idx="8">
                  <c:v>9.441400382164065</c:v>
                </c:pt>
                <c:pt idx="9">
                  <c:v>9.568210303339008</c:v>
                </c:pt>
                <c:pt idx="10">
                  <c:v>9.518298546194021</c:v>
                </c:pt>
                <c:pt idx="11">
                  <c:v>9.438918599267688</c:v>
                </c:pt>
                <c:pt idx="12">
                  <c:v>9.497199470514615</c:v>
                </c:pt>
                <c:pt idx="13">
                  <c:v>9.443838783098418</c:v>
                </c:pt>
                <c:pt idx="14">
                  <c:v>9.217257300276545</c:v>
                </c:pt>
                <c:pt idx="15">
                  <c:v>9.1473074886578</c:v>
                </c:pt>
                <c:pt idx="16">
                  <c:v>8.737172135240662</c:v>
                </c:pt>
              </c:numCache>
            </c:numRef>
          </c:yVal>
          <c:smooth val="0"/>
        </c:ser>
        <c:ser>
          <c:idx val="7"/>
          <c:order val="10"/>
          <c:tx>
            <c:v>qPCR BH</c:v>
          </c:tx>
          <c:spPr>
            <a:ln>
              <a:solidFill>
                <a:srgbClr val="008000"/>
              </a:solidFill>
            </a:ln>
          </c:spPr>
          <c:marker>
            <c:symbol val="circle"/>
            <c:size val="8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'Determination cell counts BH'!$S$4:$S$20</c:f>
                <c:numCache>
                  <c:formatCode>General</c:formatCode>
                  <c:ptCount val="17"/>
                  <c:pt idx="0">
                    <c:v>0.187032693954905</c:v>
                  </c:pt>
                  <c:pt idx="1">
                    <c:v>0.0509540226891685</c:v>
                  </c:pt>
                  <c:pt idx="2">
                    <c:v>0.012554076386018</c:v>
                  </c:pt>
                  <c:pt idx="3">
                    <c:v>0.0210247604209793</c:v>
                  </c:pt>
                  <c:pt idx="4">
                    <c:v>0.0626123677940899</c:v>
                  </c:pt>
                  <c:pt idx="5">
                    <c:v>0.136209921939241</c:v>
                  </c:pt>
                  <c:pt idx="6">
                    <c:v>0.05160320748139</c:v>
                  </c:pt>
                  <c:pt idx="7">
                    <c:v>0.0523010365383447</c:v>
                  </c:pt>
                  <c:pt idx="8">
                    <c:v>0.082435575833761</c:v>
                  </c:pt>
                  <c:pt idx="9">
                    <c:v>0.0477698404466724</c:v>
                  </c:pt>
                  <c:pt idx="10">
                    <c:v>0.0612643774167309</c:v>
                  </c:pt>
                  <c:pt idx="11">
                    <c:v>0.0444011822758076</c:v>
                  </c:pt>
                  <c:pt idx="12">
                    <c:v>0.0348212441262571</c:v>
                  </c:pt>
                  <c:pt idx="13">
                    <c:v>0.0484994052530853</c:v>
                  </c:pt>
                  <c:pt idx="14">
                    <c:v>0.0366522398213319</c:v>
                  </c:pt>
                  <c:pt idx="15">
                    <c:v>0.014412778157455</c:v>
                  </c:pt>
                  <c:pt idx="16">
                    <c:v>0.0478782112587917</c:v>
                  </c:pt>
                </c:numCache>
              </c:numRef>
            </c:plus>
            <c:minus>
              <c:numRef>
                <c:f>'Determination cell counts BH'!$S$4:$S$20</c:f>
                <c:numCache>
                  <c:formatCode>General</c:formatCode>
                  <c:ptCount val="17"/>
                  <c:pt idx="0">
                    <c:v>0.187032693954905</c:v>
                  </c:pt>
                  <c:pt idx="1">
                    <c:v>0.0509540226891685</c:v>
                  </c:pt>
                  <c:pt idx="2">
                    <c:v>0.012554076386018</c:v>
                  </c:pt>
                  <c:pt idx="3">
                    <c:v>0.0210247604209793</c:v>
                  </c:pt>
                  <c:pt idx="4">
                    <c:v>0.0626123677940899</c:v>
                  </c:pt>
                  <c:pt idx="5">
                    <c:v>0.136209921939241</c:v>
                  </c:pt>
                  <c:pt idx="6">
                    <c:v>0.05160320748139</c:v>
                  </c:pt>
                  <c:pt idx="7">
                    <c:v>0.0523010365383447</c:v>
                  </c:pt>
                  <c:pt idx="8">
                    <c:v>0.082435575833761</c:v>
                  </c:pt>
                  <c:pt idx="9">
                    <c:v>0.0477698404466724</c:v>
                  </c:pt>
                  <c:pt idx="10">
                    <c:v>0.0612643774167309</c:v>
                  </c:pt>
                  <c:pt idx="11">
                    <c:v>0.0444011822758076</c:v>
                  </c:pt>
                  <c:pt idx="12">
                    <c:v>0.0348212441262571</c:v>
                  </c:pt>
                  <c:pt idx="13">
                    <c:v>0.0484994052530853</c:v>
                  </c:pt>
                  <c:pt idx="14">
                    <c:v>0.0366522398213319</c:v>
                  </c:pt>
                  <c:pt idx="15">
                    <c:v>0.014412778157455</c:v>
                  </c:pt>
                  <c:pt idx="16">
                    <c:v>0.0478782112587917</c:v>
                  </c:pt>
                </c:numCache>
              </c:numRef>
            </c:minus>
          </c:errBars>
          <c:xVal>
            <c:numRef>
              <c:f>'Determination cell counts BH'!$D$4:$D$20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30.25</c:v>
                </c:pt>
                <c:pt idx="16">
                  <c:v>48.0</c:v>
                </c:pt>
              </c:numCache>
            </c:numRef>
          </c:xVal>
          <c:yVal>
            <c:numRef>
              <c:f>'Determination cell counts BH'!$R$4:$R$20</c:f>
              <c:numCache>
                <c:formatCode>0.00</c:formatCode>
                <c:ptCount val="17"/>
                <c:pt idx="0">
                  <c:v>7.712838170351923</c:v>
                </c:pt>
                <c:pt idx="1">
                  <c:v>7.980670732729802</c:v>
                </c:pt>
                <c:pt idx="2">
                  <c:v>8.42928086894095</c:v>
                </c:pt>
                <c:pt idx="3">
                  <c:v>8.754238992976431</c:v>
                </c:pt>
                <c:pt idx="4">
                  <c:v>9.062202191837055</c:v>
                </c:pt>
                <c:pt idx="5">
                  <c:v>9.280429318591171</c:v>
                </c:pt>
                <c:pt idx="6">
                  <c:v>9.62263069232238</c:v>
                </c:pt>
                <c:pt idx="7">
                  <c:v>9.62871547230594</c:v>
                </c:pt>
                <c:pt idx="8">
                  <c:v>9.76552965546935</c:v>
                </c:pt>
                <c:pt idx="9">
                  <c:v>10.00799573762517</c:v>
                </c:pt>
                <c:pt idx="10">
                  <c:v>10.02454915105697</c:v>
                </c:pt>
                <c:pt idx="11">
                  <c:v>10.02009862158118</c:v>
                </c:pt>
                <c:pt idx="12">
                  <c:v>10.03159228421911</c:v>
                </c:pt>
                <c:pt idx="13">
                  <c:v>10.06084893921434</c:v>
                </c:pt>
                <c:pt idx="14">
                  <c:v>9.929196896270807</c:v>
                </c:pt>
                <c:pt idx="15">
                  <c:v>9.532967329494264</c:v>
                </c:pt>
                <c:pt idx="16">
                  <c:v>9.073549833152807</c:v>
                </c:pt>
              </c:numCache>
            </c:numRef>
          </c:yVal>
          <c:smooth val="0"/>
        </c:ser>
        <c:ser>
          <c:idx val="11"/>
          <c:order val="11"/>
          <c:tx>
            <c:v>qPCR Total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'Total cell count'!$K$5:$K$21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30.25</c:v>
                </c:pt>
                <c:pt idx="16">
                  <c:v>48.0</c:v>
                </c:pt>
              </c:numCache>
            </c:numRef>
          </c:xVal>
          <c:yVal>
            <c:numRef>
              <c:f>'Total cell count'!$P$5:$P$21</c:f>
              <c:numCache>
                <c:formatCode>0.00</c:formatCode>
                <c:ptCount val="17"/>
                <c:pt idx="0">
                  <c:v>7.770147104329538</c:v>
                </c:pt>
                <c:pt idx="1">
                  <c:v>8.07987396446874</c:v>
                </c:pt>
                <c:pt idx="2">
                  <c:v>8.56256953421481</c:v>
                </c:pt>
                <c:pt idx="3">
                  <c:v>8.926828654800536</c:v>
                </c:pt>
                <c:pt idx="4">
                  <c:v>9.35143791922553</c:v>
                </c:pt>
                <c:pt idx="5">
                  <c:v>9.593996924892648</c:v>
                </c:pt>
                <c:pt idx="6">
                  <c:v>9.86769588878012</c:v>
                </c:pt>
                <c:pt idx="7">
                  <c:v>9.895277778593358</c:v>
                </c:pt>
                <c:pt idx="8">
                  <c:v>9.93405684975204</c:v>
                </c:pt>
                <c:pt idx="9">
                  <c:v>10.14257362687507</c:v>
                </c:pt>
                <c:pt idx="10">
                  <c:v>10.14238666208216</c:v>
                </c:pt>
                <c:pt idx="11">
                  <c:v>10.12126571036169</c:v>
                </c:pt>
                <c:pt idx="12">
                  <c:v>10.14290550907896</c:v>
                </c:pt>
                <c:pt idx="13">
                  <c:v>10.154809807574</c:v>
                </c:pt>
                <c:pt idx="14">
                  <c:v>10.00624326266969</c:v>
                </c:pt>
                <c:pt idx="15">
                  <c:v>9.682639559350455</c:v>
                </c:pt>
                <c:pt idx="16">
                  <c:v>9.238175242039505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694824"/>
        <c:axId val="-2112371112"/>
      </c:scatterChart>
      <c:valAx>
        <c:axId val="-2111936840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-2111433864"/>
        <c:crosses val="autoZero"/>
        <c:crossBetween val="midCat"/>
        <c:majorUnit val="6.0"/>
      </c:valAx>
      <c:valAx>
        <c:axId val="-2111433864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Concentration (mM)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-2111936840"/>
        <c:crosses val="autoZero"/>
        <c:crossBetween val="midCat"/>
      </c:valAx>
      <c:valAx>
        <c:axId val="-2112371112"/>
        <c:scaling>
          <c:orientation val="minMax"/>
          <c:max val="12.0"/>
          <c:min val="5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NL" sz="1050"/>
                  <a:t>Cell</a:t>
                </a:r>
                <a:r>
                  <a:rPr lang="nl-NL" sz="1050" baseline="0"/>
                  <a:t> growth </a:t>
                </a:r>
                <a:r>
                  <a:rPr lang="nl-NL" sz="1050"/>
                  <a:t>(log (events/ml))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i="0" baseline="0"/>
            </a:pPr>
            <a:endParaRPr lang="en-US"/>
          </a:p>
        </c:txPr>
        <c:crossAx val="-2094694824"/>
        <c:crosses val="max"/>
        <c:crossBetween val="midCat"/>
        <c:majorUnit val="1.0"/>
        <c:minorUnit val="0.2"/>
      </c:valAx>
      <c:valAx>
        <c:axId val="-2094694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2112371112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98751235366057"/>
          <c:y val="0.0387228103381178"/>
          <c:w val="0.836883974334042"/>
          <c:h val="0.849427405643557"/>
        </c:manualLayout>
      </c:layout>
      <c:scatterChart>
        <c:scatterStyle val="lineMarker"/>
        <c:varyColors val="0"/>
        <c:ser>
          <c:idx val="1"/>
          <c:order val="0"/>
          <c:tx>
            <c:strRef>
              <c:f>Metabolites!$J$1</c:f>
              <c:strCache>
                <c:ptCount val="1"/>
                <c:pt idx="0">
                  <c:v>Lactic acid</c:v>
                </c:pt>
              </c:strCache>
            </c:strRef>
          </c:tx>
          <c:spPr>
            <a:ln>
              <a:solidFill>
                <a:srgbClr val="4949F1"/>
              </a:solidFill>
            </a:ln>
          </c:spPr>
          <c:marker>
            <c:symbol val="triangle"/>
            <c:size val="8"/>
            <c:spPr>
              <a:solidFill>
                <a:srgbClr val="4949F1"/>
              </a:solidFill>
              <a:ln>
                <a:solidFill>
                  <a:srgbClr val="4949F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Metabolites!$M$4:$M$20</c:f>
                <c:numCache>
                  <c:formatCode>General</c:formatCode>
                  <c:ptCount val="17"/>
                  <c:pt idx="0">
                    <c:v>0.0222431287676613</c:v>
                  </c:pt>
                  <c:pt idx="1">
                    <c:v>1.89152006241982E-16</c:v>
                  </c:pt>
                  <c:pt idx="2">
                    <c:v>0.0340213511236129</c:v>
                  </c:pt>
                  <c:pt idx="3">
                    <c:v>0.0129029294304327</c:v>
                  </c:pt>
                  <c:pt idx="4">
                    <c:v>0.0259887494268532</c:v>
                  </c:pt>
                  <c:pt idx="5">
                    <c:v>0.0131082771944792</c:v>
                  </c:pt>
                  <c:pt idx="6">
                    <c:v>0.0132758266022283</c:v>
                  </c:pt>
                  <c:pt idx="7">
                    <c:v>0.0134588012414627</c:v>
                  </c:pt>
                  <c:pt idx="8">
                    <c:v>0.0234754918377703</c:v>
                  </c:pt>
                  <c:pt idx="9">
                    <c:v>0.0624106049110882</c:v>
                  </c:pt>
                  <c:pt idx="10">
                    <c:v>0.02744319095505</c:v>
                  </c:pt>
                  <c:pt idx="11">
                    <c:v>0.0137452738131202</c:v>
                  </c:pt>
                  <c:pt idx="12">
                    <c:v>0.0412726720393964</c:v>
                  </c:pt>
                  <c:pt idx="13">
                    <c:v>0.0238287883121207</c:v>
                  </c:pt>
                  <c:pt idx="14">
                    <c:v>0.0496035784378175</c:v>
                  </c:pt>
                  <c:pt idx="15">
                    <c:v>0.132673078373646</c:v>
                  </c:pt>
                  <c:pt idx="16">
                    <c:v>0.0687877867323273</c:v>
                  </c:pt>
                </c:numCache>
              </c:numRef>
            </c:plus>
            <c:minus>
              <c:numRef>
                <c:f>Metabolites!$M$4:$M$20</c:f>
                <c:numCache>
                  <c:formatCode>General</c:formatCode>
                  <c:ptCount val="17"/>
                  <c:pt idx="0">
                    <c:v>0.0222431287676613</c:v>
                  </c:pt>
                  <c:pt idx="1">
                    <c:v>1.89152006241982E-16</c:v>
                  </c:pt>
                  <c:pt idx="2">
                    <c:v>0.0340213511236129</c:v>
                  </c:pt>
                  <c:pt idx="3">
                    <c:v>0.0129029294304327</c:v>
                  </c:pt>
                  <c:pt idx="4">
                    <c:v>0.0259887494268532</c:v>
                  </c:pt>
                  <c:pt idx="5">
                    <c:v>0.0131082771944792</c:v>
                  </c:pt>
                  <c:pt idx="6">
                    <c:v>0.0132758266022283</c:v>
                  </c:pt>
                  <c:pt idx="7">
                    <c:v>0.0134588012414627</c:v>
                  </c:pt>
                  <c:pt idx="8">
                    <c:v>0.0234754918377703</c:v>
                  </c:pt>
                  <c:pt idx="9">
                    <c:v>0.0624106049110882</c:v>
                  </c:pt>
                  <c:pt idx="10">
                    <c:v>0.02744319095505</c:v>
                  </c:pt>
                  <c:pt idx="11">
                    <c:v>0.0137452738131202</c:v>
                  </c:pt>
                  <c:pt idx="12">
                    <c:v>0.0412726720393964</c:v>
                  </c:pt>
                  <c:pt idx="13">
                    <c:v>0.0238287883121207</c:v>
                  </c:pt>
                  <c:pt idx="14">
                    <c:v>0.0496035784378175</c:v>
                  </c:pt>
                  <c:pt idx="15">
                    <c:v>0.132673078373646</c:v>
                  </c:pt>
                  <c:pt idx="16">
                    <c:v>0.0687877867323273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30.25</c:v>
                </c:pt>
                <c:pt idx="16">
                  <c:v>48.0</c:v>
                </c:pt>
              </c:numCache>
            </c:numRef>
          </c:xVal>
          <c:yVal>
            <c:numRef>
              <c:f>Metabolites!$L$4:$L$20</c:f>
              <c:numCache>
                <c:formatCode>0</c:formatCode>
                <c:ptCount val="17"/>
                <c:pt idx="0">
                  <c:v>0.978697665777097</c:v>
                </c:pt>
                <c:pt idx="1">
                  <c:v>1.023841919404582</c:v>
                </c:pt>
                <c:pt idx="2">
                  <c:v>1.076489782450045</c:v>
                </c:pt>
                <c:pt idx="3">
                  <c:v>1.132325486559256</c:v>
                </c:pt>
                <c:pt idx="4">
                  <c:v>1.132848166550907</c:v>
                </c:pt>
                <c:pt idx="5">
                  <c:v>1.15034623976042</c:v>
                </c:pt>
                <c:pt idx="6">
                  <c:v>1.801228484690156</c:v>
                </c:pt>
                <c:pt idx="7">
                  <c:v>2.043626382688503</c:v>
                </c:pt>
                <c:pt idx="8">
                  <c:v>2.324073691939255</c:v>
                </c:pt>
                <c:pt idx="9">
                  <c:v>2.665556027680937</c:v>
                </c:pt>
                <c:pt idx="10">
                  <c:v>2.764836228088416</c:v>
                </c:pt>
                <c:pt idx="11">
                  <c:v>2.793414812703742</c:v>
                </c:pt>
                <c:pt idx="12">
                  <c:v>2.883283385766598</c:v>
                </c:pt>
                <c:pt idx="13">
                  <c:v>2.907112174078718</c:v>
                </c:pt>
                <c:pt idx="14">
                  <c:v>3.177171774949418</c:v>
                </c:pt>
                <c:pt idx="15">
                  <c:v>3.407516728633252</c:v>
                </c:pt>
                <c:pt idx="16">
                  <c:v>3.701405117816072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Metabolites!$N$1</c:f>
              <c:strCache>
                <c:ptCount val="1"/>
                <c:pt idx="0">
                  <c:v>Acetic acid</c:v>
                </c:pt>
              </c:strCache>
            </c:strRef>
          </c:tx>
          <c:spPr>
            <a:ln>
              <a:solidFill>
                <a:srgbClr val="FEC009"/>
              </a:solidFill>
            </a:ln>
          </c:spPr>
          <c:marker>
            <c:symbol val="circle"/>
            <c:size val="8"/>
            <c:spPr>
              <a:solidFill>
                <a:srgbClr val="FEC009"/>
              </a:solidFill>
              <a:ln>
                <a:solidFill>
                  <a:srgbClr val="FEC009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Metabolites!$Q$4:$Q$20</c:f>
                <c:numCache>
                  <c:formatCode>General</c:formatCode>
                  <c:ptCount val="17"/>
                  <c:pt idx="0">
                    <c:v>0.203872958757543</c:v>
                  </c:pt>
                  <c:pt idx="1">
                    <c:v>0.536637064149827</c:v>
                  </c:pt>
                  <c:pt idx="2">
                    <c:v>0.468139783919982</c:v>
                  </c:pt>
                  <c:pt idx="3">
                    <c:v>0.184639401586728</c:v>
                  </c:pt>
                  <c:pt idx="4">
                    <c:v>0.118569124740759</c:v>
                  </c:pt>
                  <c:pt idx="5">
                    <c:v>0.598042225226406</c:v>
                  </c:pt>
                  <c:pt idx="6">
                    <c:v>0.536962729681026</c:v>
                  </c:pt>
                  <c:pt idx="7">
                    <c:v>1.225410383715095</c:v>
                  </c:pt>
                  <c:pt idx="8">
                    <c:v>0.640038745987633</c:v>
                  </c:pt>
                  <c:pt idx="9">
                    <c:v>2.806180065059559</c:v>
                  </c:pt>
                  <c:pt idx="10">
                    <c:v>2.00105423336828</c:v>
                  </c:pt>
                  <c:pt idx="11">
                    <c:v>1.451118655471247</c:v>
                  </c:pt>
                  <c:pt idx="12">
                    <c:v>0.975871415504395</c:v>
                  </c:pt>
                  <c:pt idx="13">
                    <c:v>1.21953372575179</c:v>
                  </c:pt>
                  <c:pt idx="14">
                    <c:v>1.574546522882242</c:v>
                  </c:pt>
                  <c:pt idx="15">
                    <c:v>3.776208000228879</c:v>
                  </c:pt>
                  <c:pt idx="16">
                    <c:v>1.424434795697851</c:v>
                  </c:pt>
                </c:numCache>
              </c:numRef>
            </c:plus>
            <c:minus>
              <c:numRef>
                <c:f>Metabolites!$Q$4:$Q$20</c:f>
                <c:numCache>
                  <c:formatCode>General</c:formatCode>
                  <c:ptCount val="17"/>
                  <c:pt idx="0">
                    <c:v>0.203872958757543</c:v>
                  </c:pt>
                  <c:pt idx="1">
                    <c:v>0.536637064149827</c:v>
                  </c:pt>
                  <c:pt idx="2">
                    <c:v>0.468139783919982</c:v>
                  </c:pt>
                  <c:pt idx="3">
                    <c:v>0.184639401586728</c:v>
                  </c:pt>
                  <c:pt idx="4">
                    <c:v>0.118569124740759</c:v>
                  </c:pt>
                  <c:pt idx="5">
                    <c:v>0.598042225226406</c:v>
                  </c:pt>
                  <c:pt idx="6">
                    <c:v>0.536962729681026</c:v>
                  </c:pt>
                  <c:pt idx="7">
                    <c:v>1.225410383715095</c:v>
                  </c:pt>
                  <c:pt idx="8">
                    <c:v>0.640038745987633</c:v>
                  </c:pt>
                  <c:pt idx="9">
                    <c:v>2.806180065059559</c:v>
                  </c:pt>
                  <c:pt idx="10">
                    <c:v>2.00105423336828</c:v>
                  </c:pt>
                  <c:pt idx="11">
                    <c:v>1.451118655471247</c:v>
                  </c:pt>
                  <c:pt idx="12">
                    <c:v>0.975871415504395</c:v>
                  </c:pt>
                  <c:pt idx="13">
                    <c:v>1.21953372575179</c:v>
                  </c:pt>
                  <c:pt idx="14">
                    <c:v>1.574546522882242</c:v>
                  </c:pt>
                  <c:pt idx="15">
                    <c:v>3.776208000228879</c:v>
                  </c:pt>
                  <c:pt idx="16">
                    <c:v>1.424434795697851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30.25</c:v>
                </c:pt>
                <c:pt idx="16">
                  <c:v>48.0</c:v>
                </c:pt>
              </c:numCache>
            </c:numRef>
          </c:xVal>
          <c:yVal>
            <c:numRef>
              <c:f>Metabolites!$P$4:$P$20</c:f>
              <c:numCache>
                <c:formatCode>0</c:formatCode>
                <c:ptCount val="17"/>
                <c:pt idx="0">
                  <c:v>47.22478364281924</c:v>
                </c:pt>
                <c:pt idx="1">
                  <c:v>46.79885057383965</c:v>
                </c:pt>
                <c:pt idx="2">
                  <c:v>47.66515883904425</c:v>
                </c:pt>
                <c:pt idx="3">
                  <c:v>48.72249836272011</c:v>
                </c:pt>
                <c:pt idx="4">
                  <c:v>50.0469083448563</c:v>
                </c:pt>
                <c:pt idx="5">
                  <c:v>52.0636252713921</c:v>
                </c:pt>
                <c:pt idx="6">
                  <c:v>59.78877473627467</c:v>
                </c:pt>
                <c:pt idx="7">
                  <c:v>73.784447220335</c:v>
                </c:pt>
                <c:pt idx="8">
                  <c:v>84.80992174183923</c:v>
                </c:pt>
                <c:pt idx="9">
                  <c:v>95.04532193832838</c:v>
                </c:pt>
                <c:pt idx="10">
                  <c:v>95.73677811305785</c:v>
                </c:pt>
                <c:pt idx="11">
                  <c:v>96.92576381071886</c:v>
                </c:pt>
                <c:pt idx="12">
                  <c:v>97.46515411853825</c:v>
                </c:pt>
                <c:pt idx="13">
                  <c:v>96.86940134275258</c:v>
                </c:pt>
                <c:pt idx="14">
                  <c:v>97.2864282858025</c:v>
                </c:pt>
                <c:pt idx="15">
                  <c:v>98.3826133932482</c:v>
                </c:pt>
                <c:pt idx="16">
                  <c:v>96.86940134275258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Metabolites!$R$1</c:f>
              <c:strCache>
                <c:ptCount val="1"/>
                <c:pt idx="0">
                  <c:v>Formic acid</c:v>
                </c:pt>
              </c:strCache>
            </c:strRef>
          </c:tx>
          <c:spPr>
            <a:ln>
              <a:solidFill>
                <a:srgbClr val="DE00FD"/>
              </a:solidFill>
            </a:ln>
          </c:spPr>
          <c:marker>
            <c:symbol val="triangle"/>
            <c:size val="8"/>
            <c:spPr>
              <a:solidFill>
                <a:srgbClr val="DE00FD"/>
              </a:solidFill>
              <a:ln>
                <a:solidFill>
                  <a:srgbClr val="DE00FD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Metabolites!$U$4:$U$20</c:f>
                <c:numCache>
                  <c:formatCode>General</c:formatCode>
                  <c:ptCount val="17"/>
                  <c:pt idx="0">
                    <c:v>0.0251317453933765</c:v>
                  </c:pt>
                  <c:pt idx="1">
                    <c:v>0.0754437218625604</c:v>
                  </c:pt>
                  <c:pt idx="2">
                    <c:v>0.0503291893690516</c:v>
                  </c:pt>
                  <c:pt idx="3">
                    <c:v>0.0668074268203192</c:v>
                  </c:pt>
                  <c:pt idx="4">
                    <c:v>0.076289372638636</c:v>
                  </c:pt>
                  <c:pt idx="5">
                    <c:v>0.111817510705367</c:v>
                  </c:pt>
                  <c:pt idx="6">
                    <c:v>0.0899993964533154</c:v>
                  </c:pt>
                  <c:pt idx="7">
                    <c:v>0.146647488320444</c:v>
                  </c:pt>
                  <c:pt idx="8">
                    <c:v>7.80850647831609E-16</c:v>
                  </c:pt>
                  <c:pt idx="9">
                    <c:v>0.0923265846143046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plus>
            <c:minus>
              <c:numRef>
                <c:f>Metabolites!$U$4:$U$20</c:f>
                <c:numCache>
                  <c:formatCode>General</c:formatCode>
                  <c:ptCount val="17"/>
                  <c:pt idx="0">
                    <c:v>0.0251317453933765</c:v>
                  </c:pt>
                  <c:pt idx="1">
                    <c:v>0.0754437218625604</c:v>
                  </c:pt>
                  <c:pt idx="2">
                    <c:v>0.0503291893690516</c:v>
                  </c:pt>
                  <c:pt idx="3">
                    <c:v>0.0668074268203192</c:v>
                  </c:pt>
                  <c:pt idx="4">
                    <c:v>0.076289372638636</c:v>
                  </c:pt>
                  <c:pt idx="5">
                    <c:v>0.111817510705367</c:v>
                  </c:pt>
                  <c:pt idx="6">
                    <c:v>0.0899993964533154</c:v>
                  </c:pt>
                  <c:pt idx="7">
                    <c:v>0.146647488320444</c:v>
                  </c:pt>
                  <c:pt idx="8">
                    <c:v>7.80850647831609E-16</c:v>
                  </c:pt>
                  <c:pt idx="9">
                    <c:v>0.0923265846143046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30.25</c:v>
                </c:pt>
                <c:pt idx="16">
                  <c:v>48.0</c:v>
                </c:pt>
              </c:numCache>
            </c:numRef>
          </c:xVal>
          <c:yVal>
            <c:numRef>
              <c:f>Metabolites!$T$4:$T$20</c:f>
              <c:numCache>
                <c:formatCode>0</c:formatCode>
                <c:ptCount val="17"/>
                <c:pt idx="0">
                  <c:v>1.24784451725411</c:v>
                </c:pt>
                <c:pt idx="1">
                  <c:v>1.176051234402445</c:v>
                </c:pt>
                <c:pt idx="2">
                  <c:v>1.365705838424925</c:v>
                </c:pt>
                <c:pt idx="3">
                  <c:v>2.565829328977294</c:v>
                </c:pt>
                <c:pt idx="4">
                  <c:v>6.298533645579051</c:v>
                </c:pt>
                <c:pt idx="5">
                  <c:v>7.583022644005152</c:v>
                </c:pt>
                <c:pt idx="6">
                  <c:v>7.469949905625177</c:v>
                </c:pt>
                <c:pt idx="7">
                  <c:v>6.949432722462305</c:v>
                </c:pt>
                <c:pt idx="8">
                  <c:v>4.180646963543718</c:v>
                </c:pt>
                <c:pt idx="9">
                  <c:v>0.923265846143046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CO2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'CO2'!$A$5:$A$101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'CO2'!$G$5:$G$101</c:f>
              <c:numCache>
                <c:formatCode>0.0</c:formatCode>
                <c:ptCount val="97"/>
                <c:pt idx="0">
                  <c:v>0.0195683109990517</c:v>
                </c:pt>
                <c:pt idx="1">
                  <c:v>0.0672342836908122</c:v>
                </c:pt>
                <c:pt idx="2">
                  <c:v>0.126804141107704</c:v>
                </c:pt>
                <c:pt idx="3">
                  <c:v>0.19692130486514</c:v>
                </c:pt>
                <c:pt idx="4">
                  <c:v>0.282575987477202</c:v>
                </c:pt>
                <c:pt idx="5">
                  <c:v>0.386960566026662</c:v>
                </c:pt>
                <c:pt idx="6">
                  <c:v>0.515349222832897</c:v>
                </c:pt>
                <c:pt idx="7">
                  <c:v>0.682545143322698</c:v>
                </c:pt>
                <c:pt idx="8">
                  <c:v>0.913599086756704</c:v>
                </c:pt>
                <c:pt idx="9">
                  <c:v>1.244225009565975</c:v>
                </c:pt>
                <c:pt idx="10">
                  <c:v>1.716970024109623</c:v>
                </c:pt>
                <c:pt idx="11">
                  <c:v>2.347176161787021</c:v>
                </c:pt>
                <c:pt idx="12">
                  <c:v>3.123015947763982</c:v>
                </c:pt>
                <c:pt idx="13">
                  <c:v>4.04715108435005</c:v>
                </c:pt>
                <c:pt idx="14">
                  <c:v>5.144435063484628</c:v>
                </c:pt>
                <c:pt idx="15">
                  <c:v>6.46953523331279</c:v>
                </c:pt>
                <c:pt idx="16">
                  <c:v>8.018099727526181</c:v>
                </c:pt>
                <c:pt idx="17">
                  <c:v>9.738823492582627</c:v>
                </c:pt>
                <c:pt idx="18">
                  <c:v>11.60642746888854</c:v>
                </c:pt>
                <c:pt idx="19">
                  <c:v>13.57996169094861</c:v>
                </c:pt>
                <c:pt idx="20">
                  <c:v>15.59477140353206</c:v>
                </c:pt>
                <c:pt idx="21">
                  <c:v>17.56993009767478</c:v>
                </c:pt>
                <c:pt idx="22">
                  <c:v>19.4211594904411</c:v>
                </c:pt>
                <c:pt idx="23">
                  <c:v>21.1293050760261</c:v>
                </c:pt>
                <c:pt idx="24">
                  <c:v>22.75016609272552</c:v>
                </c:pt>
                <c:pt idx="25">
                  <c:v>24.19875323099554</c:v>
                </c:pt>
                <c:pt idx="26">
                  <c:v>25.35932082036653</c:v>
                </c:pt>
                <c:pt idx="27">
                  <c:v>26.26155784908554</c:v>
                </c:pt>
                <c:pt idx="28">
                  <c:v>27.1037200282435</c:v>
                </c:pt>
                <c:pt idx="29">
                  <c:v>27.92092711612899</c:v>
                </c:pt>
                <c:pt idx="30">
                  <c:v>28.58642252089761</c:v>
                </c:pt>
                <c:pt idx="31">
                  <c:v>29.12334802327471</c:v>
                </c:pt>
                <c:pt idx="32">
                  <c:v>29.55059635284157</c:v>
                </c:pt>
                <c:pt idx="33">
                  <c:v>29.88365139409854</c:v>
                </c:pt>
                <c:pt idx="34">
                  <c:v>30.14623416472091</c:v>
                </c:pt>
                <c:pt idx="35">
                  <c:v>30.35478048045341</c:v>
                </c:pt>
                <c:pt idx="36">
                  <c:v>30.52427774616525</c:v>
                </c:pt>
                <c:pt idx="37">
                  <c:v>30.6621475478106</c:v>
                </c:pt>
                <c:pt idx="38">
                  <c:v>30.76751425016854</c:v>
                </c:pt>
                <c:pt idx="39">
                  <c:v>30.84907539521654</c:v>
                </c:pt>
                <c:pt idx="40">
                  <c:v>30.91550957821142</c:v>
                </c:pt>
                <c:pt idx="41">
                  <c:v>30.97067046241528</c:v>
                </c:pt>
                <c:pt idx="42">
                  <c:v>31.01759101892699</c:v>
                </c:pt>
                <c:pt idx="43">
                  <c:v>31.0567663554732</c:v>
                </c:pt>
                <c:pt idx="44">
                  <c:v>31.09067849246002</c:v>
                </c:pt>
                <c:pt idx="45">
                  <c:v>31.11968193300288</c:v>
                </c:pt>
                <c:pt idx="46">
                  <c:v>31.14427178482845</c:v>
                </c:pt>
                <c:pt idx="47">
                  <c:v>31.16627690507804</c:v>
                </c:pt>
                <c:pt idx="48">
                  <c:v>31.18719528414082</c:v>
                </c:pt>
                <c:pt idx="49">
                  <c:v>31.20796152707843</c:v>
                </c:pt>
                <c:pt idx="50">
                  <c:v>31.22845144224492</c:v>
                </c:pt>
                <c:pt idx="51">
                  <c:v>31.24794467900027</c:v>
                </c:pt>
                <c:pt idx="52">
                  <c:v>31.25717318280708</c:v>
                </c:pt>
                <c:pt idx="53">
                  <c:v>31.25717318280708</c:v>
                </c:pt>
                <c:pt idx="54">
                  <c:v>31.25717318280708</c:v>
                </c:pt>
                <c:pt idx="55">
                  <c:v>31.25717318280708</c:v>
                </c:pt>
                <c:pt idx="56">
                  <c:v>31.25717318280708</c:v>
                </c:pt>
                <c:pt idx="57">
                  <c:v>31.25717318280708</c:v>
                </c:pt>
                <c:pt idx="58">
                  <c:v>31.25717318280708</c:v>
                </c:pt>
                <c:pt idx="59">
                  <c:v>31.25717318280708</c:v>
                </c:pt>
                <c:pt idx="60">
                  <c:v>31.25717318280708</c:v>
                </c:pt>
                <c:pt idx="61">
                  <c:v>31.25717318280708</c:v>
                </c:pt>
                <c:pt idx="62">
                  <c:v>31.25717318280708</c:v>
                </c:pt>
                <c:pt idx="63">
                  <c:v>31.25717318280708</c:v>
                </c:pt>
                <c:pt idx="64">
                  <c:v>31.25717318280708</c:v>
                </c:pt>
                <c:pt idx="65">
                  <c:v>31.25717318280708</c:v>
                </c:pt>
                <c:pt idx="66">
                  <c:v>31.25717318280708</c:v>
                </c:pt>
                <c:pt idx="67">
                  <c:v>31.25717318280708</c:v>
                </c:pt>
                <c:pt idx="68">
                  <c:v>31.25717318280708</c:v>
                </c:pt>
                <c:pt idx="69">
                  <c:v>31.25717318280708</c:v>
                </c:pt>
                <c:pt idx="70">
                  <c:v>31.25717318280708</c:v>
                </c:pt>
                <c:pt idx="71">
                  <c:v>31.25717318280708</c:v>
                </c:pt>
                <c:pt idx="72">
                  <c:v>31.25717318280708</c:v>
                </c:pt>
                <c:pt idx="73">
                  <c:v>31.25717318280708</c:v>
                </c:pt>
                <c:pt idx="74">
                  <c:v>31.25717318280708</c:v>
                </c:pt>
                <c:pt idx="75">
                  <c:v>31.25717318280708</c:v>
                </c:pt>
                <c:pt idx="76">
                  <c:v>31.25717318280708</c:v>
                </c:pt>
                <c:pt idx="77">
                  <c:v>31.25717318280708</c:v>
                </c:pt>
                <c:pt idx="78">
                  <c:v>31.25717318280708</c:v>
                </c:pt>
                <c:pt idx="79">
                  <c:v>31.25717318280708</c:v>
                </c:pt>
                <c:pt idx="80">
                  <c:v>31.25717318280708</c:v>
                </c:pt>
                <c:pt idx="81">
                  <c:v>31.25717318280708</c:v>
                </c:pt>
                <c:pt idx="82">
                  <c:v>31.25717318280708</c:v>
                </c:pt>
                <c:pt idx="83">
                  <c:v>31.25717318280708</c:v>
                </c:pt>
                <c:pt idx="84">
                  <c:v>31.25717318280708</c:v>
                </c:pt>
                <c:pt idx="85">
                  <c:v>31.25717318280708</c:v>
                </c:pt>
                <c:pt idx="86">
                  <c:v>31.25717318280708</c:v>
                </c:pt>
                <c:pt idx="87">
                  <c:v>31.25717318280708</c:v>
                </c:pt>
                <c:pt idx="88">
                  <c:v>31.25717318280708</c:v>
                </c:pt>
                <c:pt idx="89">
                  <c:v>31.25717318280708</c:v>
                </c:pt>
                <c:pt idx="90">
                  <c:v>31.25717318280708</c:v>
                </c:pt>
                <c:pt idx="91">
                  <c:v>31.25717318280708</c:v>
                </c:pt>
                <c:pt idx="92">
                  <c:v>31.25717318280708</c:v>
                </c:pt>
                <c:pt idx="93">
                  <c:v>31.25717318280708</c:v>
                </c:pt>
                <c:pt idx="94">
                  <c:v>31.25717318280708</c:v>
                </c:pt>
                <c:pt idx="95">
                  <c:v>31.25717318280708</c:v>
                </c:pt>
                <c:pt idx="96">
                  <c:v>31.25717318280708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Metabolites!$F$1</c:f>
              <c:strCache>
                <c:ptCount val="1"/>
                <c:pt idx="0">
                  <c:v>D-Fructose</c:v>
                </c:pt>
              </c:strCache>
            </c:strRef>
          </c:tx>
          <c:spPr>
            <a:ln>
              <a:solidFill>
                <a:srgbClr val="67FF65"/>
              </a:solidFill>
            </a:ln>
          </c:spPr>
          <c:marker>
            <c:symbol val="circle"/>
            <c:size val="8"/>
            <c:spPr>
              <a:solidFill>
                <a:srgbClr val="67FF65"/>
              </a:solidFill>
              <a:ln>
                <a:solidFill>
                  <a:srgbClr val="67FF65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Metabolites!$I$4:$I$20</c:f>
                <c:numCache>
                  <c:formatCode>General</c:formatCode>
                  <c:ptCount val="17"/>
                  <c:pt idx="0">
                    <c:v>0.199052183915244</c:v>
                  </c:pt>
                  <c:pt idx="1">
                    <c:v>0.579014190471468</c:v>
                  </c:pt>
                  <c:pt idx="2">
                    <c:v>0.447711895531327</c:v>
                  </c:pt>
                  <c:pt idx="3">
                    <c:v>0.296276097944601</c:v>
                  </c:pt>
                  <c:pt idx="4">
                    <c:v>0.1297812158047</c:v>
                  </c:pt>
                  <c:pt idx="5">
                    <c:v>0.216683430141177</c:v>
                  </c:pt>
                  <c:pt idx="6">
                    <c:v>0.279029326270238</c:v>
                  </c:pt>
                  <c:pt idx="7">
                    <c:v>0.216598907411866</c:v>
                  </c:pt>
                  <c:pt idx="8">
                    <c:v>0.0295393461102859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plus>
            <c:minus>
              <c:numRef>
                <c:f>Metabolites!$I$4:$I$20</c:f>
                <c:numCache>
                  <c:formatCode>General</c:formatCode>
                  <c:ptCount val="17"/>
                  <c:pt idx="0">
                    <c:v>0.199052183915244</c:v>
                  </c:pt>
                  <c:pt idx="1">
                    <c:v>0.579014190471468</c:v>
                  </c:pt>
                  <c:pt idx="2">
                    <c:v>0.447711895531327</c:v>
                  </c:pt>
                  <c:pt idx="3">
                    <c:v>0.296276097944601</c:v>
                  </c:pt>
                  <c:pt idx="4">
                    <c:v>0.1297812158047</c:v>
                  </c:pt>
                  <c:pt idx="5">
                    <c:v>0.216683430141177</c:v>
                  </c:pt>
                  <c:pt idx="6">
                    <c:v>0.279029326270238</c:v>
                  </c:pt>
                  <c:pt idx="7">
                    <c:v>0.216598907411866</c:v>
                  </c:pt>
                  <c:pt idx="8">
                    <c:v>0.0295393461102859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30.25</c:v>
                </c:pt>
                <c:pt idx="16">
                  <c:v>48.0</c:v>
                </c:pt>
              </c:numCache>
            </c:numRef>
          </c:xVal>
          <c:yVal>
            <c:numRef>
              <c:f>Metabolites!$H$4:$H$20</c:f>
              <c:numCache>
                <c:formatCode>0</c:formatCode>
                <c:ptCount val="17"/>
                <c:pt idx="0">
                  <c:v>50.05074691536588</c:v>
                </c:pt>
                <c:pt idx="1">
                  <c:v>49.48940234339323</c:v>
                </c:pt>
                <c:pt idx="2">
                  <c:v>49.54822626256274</c:v>
                </c:pt>
                <c:pt idx="3">
                  <c:v>48.16108072766837</c:v>
                </c:pt>
                <c:pt idx="4">
                  <c:v>44.21483887130975</c:v>
                </c:pt>
                <c:pt idx="5">
                  <c:v>36.72783093129811</c:v>
                </c:pt>
                <c:pt idx="6">
                  <c:v>24.90294190109921</c:v>
                </c:pt>
                <c:pt idx="7">
                  <c:v>12.72409962605484</c:v>
                </c:pt>
                <c:pt idx="8">
                  <c:v>5.325024065200886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Metabolites!$J$22</c:f>
              <c:strCache>
                <c:ptCount val="1"/>
                <c:pt idx="0">
                  <c:v>Butyric acid</c:v>
                </c:pt>
              </c:strCache>
            </c:strRef>
          </c:tx>
          <c:spPr>
            <a:ln>
              <a:solidFill>
                <a:srgbClr val="BF0000"/>
              </a:solidFill>
            </a:ln>
          </c:spPr>
          <c:marker>
            <c:symbol val="triangle"/>
            <c:size val="8"/>
            <c:spPr>
              <a:solidFill>
                <a:srgbClr val="BF0000"/>
              </a:solidFill>
              <a:ln>
                <a:solidFill>
                  <a:srgbClr val="B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Metabolites!$M$25:$M$41</c:f>
                <c:numCache>
                  <c:formatCode>General</c:formatCode>
                  <c:ptCount val="17"/>
                  <c:pt idx="0">
                    <c:v>0.0454808997705352</c:v>
                  </c:pt>
                  <c:pt idx="1">
                    <c:v>0.0682652219063853</c:v>
                  </c:pt>
                  <c:pt idx="2">
                    <c:v>0.0473998960880133</c:v>
                  </c:pt>
                  <c:pt idx="3">
                    <c:v>0.0349012127629021</c:v>
                  </c:pt>
                  <c:pt idx="4">
                    <c:v>0.082964226016876</c:v>
                  </c:pt>
                  <c:pt idx="5">
                    <c:v>0.0483192816415476</c:v>
                  </c:pt>
                  <c:pt idx="6">
                    <c:v>0.21331098653976</c:v>
                  </c:pt>
                  <c:pt idx="7">
                    <c:v>0.466005738540904</c:v>
                  </c:pt>
                  <c:pt idx="8">
                    <c:v>0.186679042031649</c:v>
                  </c:pt>
                  <c:pt idx="9">
                    <c:v>0.819366430011531</c:v>
                  </c:pt>
                  <c:pt idx="10">
                    <c:v>0.731093076178656</c:v>
                  </c:pt>
                  <c:pt idx="11">
                    <c:v>0.257971377290612</c:v>
                  </c:pt>
                  <c:pt idx="12">
                    <c:v>0.341351767103788</c:v>
                  </c:pt>
                  <c:pt idx="13">
                    <c:v>0.433288950728</c:v>
                  </c:pt>
                  <c:pt idx="14">
                    <c:v>0.412231419646114</c:v>
                  </c:pt>
                  <c:pt idx="15">
                    <c:v>1.197769929538047</c:v>
                  </c:pt>
                  <c:pt idx="16">
                    <c:v>0.436019790476197</c:v>
                  </c:pt>
                </c:numCache>
              </c:numRef>
            </c:plus>
            <c:minus>
              <c:numRef>
                <c:f>Metabolites!$M$25:$M$41</c:f>
                <c:numCache>
                  <c:formatCode>General</c:formatCode>
                  <c:ptCount val="17"/>
                  <c:pt idx="0">
                    <c:v>0.0454808997705352</c:v>
                  </c:pt>
                  <c:pt idx="1">
                    <c:v>0.0682652219063853</c:v>
                  </c:pt>
                  <c:pt idx="2">
                    <c:v>0.0473998960880133</c:v>
                  </c:pt>
                  <c:pt idx="3">
                    <c:v>0.0349012127629021</c:v>
                  </c:pt>
                  <c:pt idx="4">
                    <c:v>0.082964226016876</c:v>
                  </c:pt>
                  <c:pt idx="5">
                    <c:v>0.0483192816415476</c:v>
                  </c:pt>
                  <c:pt idx="6">
                    <c:v>0.21331098653976</c:v>
                  </c:pt>
                  <c:pt idx="7">
                    <c:v>0.466005738540904</c:v>
                  </c:pt>
                  <c:pt idx="8">
                    <c:v>0.186679042031649</c:v>
                  </c:pt>
                  <c:pt idx="9">
                    <c:v>0.819366430011531</c:v>
                  </c:pt>
                  <c:pt idx="10">
                    <c:v>0.731093076178656</c:v>
                  </c:pt>
                  <c:pt idx="11">
                    <c:v>0.257971377290612</c:v>
                  </c:pt>
                  <c:pt idx="12">
                    <c:v>0.341351767103788</c:v>
                  </c:pt>
                  <c:pt idx="13">
                    <c:v>0.433288950728</c:v>
                  </c:pt>
                  <c:pt idx="14">
                    <c:v>0.412231419646114</c:v>
                  </c:pt>
                  <c:pt idx="15">
                    <c:v>1.197769929538047</c:v>
                  </c:pt>
                  <c:pt idx="16">
                    <c:v>0.436019790476197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30.25</c:v>
                </c:pt>
                <c:pt idx="16">
                  <c:v>48.0</c:v>
                </c:pt>
              </c:numCache>
            </c:numRef>
          </c:xVal>
          <c:yVal>
            <c:numRef>
              <c:f>Metabolites!$L$25:$L$41</c:f>
              <c:numCache>
                <c:formatCode>0</c:formatCode>
                <c:ptCount val="17"/>
                <c:pt idx="0">
                  <c:v>0.682213496558029</c:v>
                </c:pt>
                <c:pt idx="1">
                  <c:v>0.84193773684542</c:v>
                </c:pt>
                <c:pt idx="2">
                  <c:v>1.426930876011788</c:v>
                </c:pt>
                <c:pt idx="3">
                  <c:v>3.252061469745734</c:v>
                </c:pt>
                <c:pt idx="4">
                  <c:v>7.96150713406377</c:v>
                </c:pt>
                <c:pt idx="5">
                  <c:v>14.43002228096747</c:v>
                </c:pt>
                <c:pt idx="6">
                  <c:v>21.24387013396265</c:v>
                </c:pt>
                <c:pt idx="7">
                  <c:v>26.30317105060056</c:v>
                </c:pt>
                <c:pt idx="8">
                  <c:v>27.51642035400844</c:v>
                </c:pt>
                <c:pt idx="9">
                  <c:v>28.58597738606314</c:v>
                </c:pt>
                <c:pt idx="10">
                  <c:v>28.75249349237607</c:v>
                </c:pt>
                <c:pt idx="11">
                  <c:v>29.14286688164343</c:v>
                </c:pt>
                <c:pt idx="12">
                  <c:v>29.34756200838784</c:v>
                </c:pt>
                <c:pt idx="13">
                  <c:v>29.31507992536805</c:v>
                </c:pt>
                <c:pt idx="14">
                  <c:v>29.88351637821451</c:v>
                </c:pt>
                <c:pt idx="15">
                  <c:v>30.3869886650214</c:v>
                </c:pt>
                <c:pt idx="16">
                  <c:v>30.10277043859816</c:v>
                </c:pt>
              </c:numCache>
            </c:numRef>
          </c:yVal>
          <c:smooth val="0"/>
        </c:ser>
        <c:ser>
          <c:idx val="10"/>
          <c:order val="7"/>
          <c:tx>
            <c:v>H2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'H2'!$A$5:$A$101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'H2'!$G$5:$G$101</c:f>
              <c:numCache>
                <c:formatCode>0.0</c:formatCode>
                <c:ptCount val="97"/>
                <c:pt idx="0">
                  <c:v>0.0391429639718514</c:v>
                </c:pt>
                <c:pt idx="1">
                  <c:v>0.133958793491779</c:v>
                </c:pt>
                <c:pt idx="2">
                  <c:v>0.275200286837595</c:v>
                </c:pt>
                <c:pt idx="3">
                  <c:v>0.477597433036071</c:v>
                </c:pt>
                <c:pt idx="4">
                  <c:v>0.733669624055708</c:v>
                </c:pt>
                <c:pt idx="5">
                  <c:v>1.026661505532219</c:v>
                </c:pt>
                <c:pt idx="6">
                  <c:v>1.374601681605195</c:v>
                </c:pt>
                <c:pt idx="7">
                  <c:v>1.839895412644112</c:v>
                </c:pt>
                <c:pt idx="8">
                  <c:v>2.545580808089353</c:v>
                </c:pt>
                <c:pt idx="9">
                  <c:v>3.516924480424463</c:v>
                </c:pt>
                <c:pt idx="10">
                  <c:v>4.665999448025476</c:v>
                </c:pt>
                <c:pt idx="11">
                  <c:v>6.020020980663868</c:v>
                </c:pt>
                <c:pt idx="12">
                  <c:v>7.208632000952836</c:v>
                </c:pt>
                <c:pt idx="13">
                  <c:v>8.128712684711065</c:v>
                </c:pt>
                <c:pt idx="14">
                  <c:v>9.144256451265825</c:v>
                </c:pt>
                <c:pt idx="15">
                  <c:v>10.30828643752593</c:v>
                </c:pt>
                <c:pt idx="16">
                  <c:v>11.76265184762277</c:v>
                </c:pt>
                <c:pt idx="17">
                  <c:v>13.5166340509053</c:v>
                </c:pt>
                <c:pt idx="18">
                  <c:v>15.7558601603675</c:v>
                </c:pt>
                <c:pt idx="19">
                  <c:v>18.09418003032119</c:v>
                </c:pt>
                <c:pt idx="20">
                  <c:v>19.95843140239383</c:v>
                </c:pt>
                <c:pt idx="21">
                  <c:v>21.64744002805576</c:v>
                </c:pt>
                <c:pt idx="22">
                  <c:v>23.22107208347766</c:v>
                </c:pt>
                <c:pt idx="23">
                  <c:v>24.59310967562823</c:v>
                </c:pt>
                <c:pt idx="24">
                  <c:v>25.64119999419114</c:v>
                </c:pt>
                <c:pt idx="25">
                  <c:v>26.31893244578371</c:v>
                </c:pt>
                <c:pt idx="26">
                  <c:v>26.78994363586821</c:v>
                </c:pt>
                <c:pt idx="27">
                  <c:v>27.12610971074587</c:v>
                </c:pt>
                <c:pt idx="28">
                  <c:v>27.35496728159641</c:v>
                </c:pt>
                <c:pt idx="29">
                  <c:v>27.49175140823541</c:v>
                </c:pt>
                <c:pt idx="30">
                  <c:v>27.55146250001443</c:v>
                </c:pt>
                <c:pt idx="31">
                  <c:v>27.57428594558142</c:v>
                </c:pt>
                <c:pt idx="32">
                  <c:v>27.5944089081277</c:v>
                </c:pt>
                <c:pt idx="33">
                  <c:v>27.61716902581382</c:v>
                </c:pt>
                <c:pt idx="34">
                  <c:v>27.64217887341055</c:v>
                </c:pt>
                <c:pt idx="35">
                  <c:v>27.66856442280992</c:v>
                </c:pt>
                <c:pt idx="36">
                  <c:v>27.69811657596771</c:v>
                </c:pt>
                <c:pt idx="37">
                  <c:v>27.72986629381005</c:v>
                </c:pt>
                <c:pt idx="38">
                  <c:v>27.75891361096917</c:v>
                </c:pt>
                <c:pt idx="39">
                  <c:v>27.79021259629903</c:v>
                </c:pt>
                <c:pt idx="40">
                  <c:v>27.82349350832921</c:v>
                </c:pt>
                <c:pt idx="41">
                  <c:v>27.85483786606906</c:v>
                </c:pt>
                <c:pt idx="42">
                  <c:v>27.88514613734771</c:v>
                </c:pt>
                <c:pt idx="43">
                  <c:v>27.91576952250676</c:v>
                </c:pt>
                <c:pt idx="44">
                  <c:v>27.94688851399038</c:v>
                </c:pt>
                <c:pt idx="45">
                  <c:v>27.97715191145694</c:v>
                </c:pt>
                <c:pt idx="46">
                  <c:v>28.0091264969576</c:v>
                </c:pt>
                <c:pt idx="47">
                  <c:v>28.04339762444108</c:v>
                </c:pt>
                <c:pt idx="48">
                  <c:v>28.08100828077552</c:v>
                </c:pt>
                <c:pt idx="49">
                  <c:v>28.11811266685271</c:v>
                </c:pt>
                <c:pt idx="50">
                  <c:v>28.15059700025267</c:v>
                </c:pt>
                <c:pt idx="51">
                  <c:v>28.18393879349205</c:v>
                </c:pt>
                <c:pt idx="52">
                  <c:v>28.22185317853194</c:v>
                </c:pt>
                <c:pt idx="53">
                  <c:v>28.25895756460912</c:v>
                </c:pt>
                <c:pt idx="54">
                  <c:v>28.2925846504519</c:v>
                </c:pt>
                <c:pt idx="55">
                  <c:v>28.32978448562561</c:v>
                </c:pt>
                <c:pt idx="56">
                  <c:v>28.36550776019022</c:v>
                </c:pt>
                <c:pt idx="57">
                  <c:v>28.39842082350989</c:v>
                </c:pt>
                <c:pt idx="58">
                  <c:v>28.43571610778011</c:v>
                </c:pt>
                <c:pt idx="59">
                  <c:v>28.4731537746805</c:v>
                </c:pt>
                <c:pt idx="60">
                  <c:v>28.51302038378282</c:v>
                </c:pt>
                <c:pt idx="61">
                  <c:v>28.55283292621974</c:v>
                </c:pt>
                <c:pt idx="62">
                  <c:v>28.59716731768648</c:v>
                </c:pt>
                <c:pt idx="63">
                  <c:v>28.6448190669331</c:v>
                </c:pt>
                <c:pt idx="64">
                  <c:v>28.68327225775941</c:v>
                </c:pt>
                <c:pt idx="65">
                  <c:v>28.7216753626605</c:v>
                </c:pt>
                <c:pt idx="66">
                  <c:v>28.76249093962597</c:v>
                </c:pt>
                <c:pt idx="67">
                  <c:v>28.80395985966031</c:v>
                </c:pt>
                <c:pt idx="68">
                  <c:v>28.84568032234127</c:v>
                </c:pt>
                <c:pt idx="69">
                  <c:v>28.88453531358983</c:v>
                </c:pt>
                <c:pt idx="70">
                  <c:v>28.92017311890895</c:v>
                </c:pt>
                <c:pt idx="71">
                  <c:v>28.95520822359468</c:v>
                </c:pt>
                <c:pt idx="72">
                  <c:v>28.99431475748986</c:v>
                </c:pt>
                <c:pt idx="73">
                  <c:v>29.03507969201983</c:v>
                </c:pt>
                <c:pt idx="74">
                  <c:v>29.07348224041065</c:v>
                </c:pt>
                <c:pt idx="75">
                  <c:v>29.11168388859033</c:v>
                </c:pt>
                <c:pt idx="76">
                  <c:v>29.15159457984031</c:v>
                </c:pt>
                <c:pt idx="77">
                  <c:v>29.19125372844366</c:v>
                </c:pt>
                <c:pt idx="78">
                  <c:v>29.23121450561884</c:v>
                </c:pt>
                <c:pt idx="79">
                  <c:v>29.27127601115473</c:v>
                </c:pt>
                <c:pt idx="80">
                  <c:v>29.31038254504991</c:v>
                </c:pt>
                <c:pt idx="81">
                  <c:v>29.35014242201397</c:v>
                </c:pt>
                <c:pt idx="82">
                  <c:v>29.38939977019506</c:v>
                </c:pt>
                <c:pt idx="83">
                  <c:v>29.42760141837475</c:v>
                </c:pt>
                <c:pt idx="84">
                  <c:v>29.46424483777006</c:v>
                </c:pt>
                <c:pt idx="85">
                  <c:v>29.49817415652917</c:v>
                </c:pt>
                <c:pt idx="86">
                  <c:v>29.52581991771531</c:v>
                </c:pt>
                <c:pt idx="87">
                  <c:v>29.55648140810948</c:v>
                </c:pt>
                <c:pt idx="88">
                  <c:v>29.59805049999425</c:v>
                </c:pt>
                <c:pt idx="89">
                  <c:v>29.63635232002436</c:v>
                </c:pt>
                <c:pt idx="90">
                  <c:v>29.67018091042276</c:v>
                </c:pt>
                <c:pt idx="91">
                  <c:v>29.70516592918328</c:v>
                </c:pt>
                <c:pt idx="92">
                  <c:v>29.73587806201295</c:v>
                </c:pt>
                <c:pt idx="93">
                  <c:v>29.7701590952691</c:v>
                </c:pt>
                <c:pt idx="94">
                  <c:v>29.80981880038273</c:v>
                </c:pt>
                <c:pt idx="95">
                  <c:v>29.84570870485875</c:v>
                </c:pt>
                <c:pt idx="96">
                  <c:v>29.88845589435207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439176"/>
        <c:axId val="-2079921208"/>
      </c:scatterChart>
      <c:scatterChart>
        <c:scatterStyle val="lineMarker"/>
        <c:varyColors val="0"/>
        <c:ser>
          <c:idx val="8"/>
          <c:order val="6"/>
          <c:tx>
            <c:v>CFU (log/ml)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'Plate Count'!#REF!</c:f>
            </c:numRef>
          </c:xVal>
          <c:yVal>
            <c:numRef>
              <c:f>'Flow cytometer'!$N$4:$N$13</c:f>
              <c:numCache>
                <c:formatCode>General</c:formatCode>
                <c:ptCount val="10"/>
                <c:pt idx="0">
                  <c:v>3412.0</c:v>
                </c:pt>
                <c:pt idx="1">
                  <c:v>6052.0</c:v>
                </c:pt>
                <c:pt idx="2">
                  <c:v>11579.0</c:v>
                </c:pt>
                <c:pt idx="3">
                  <c:v>28789.0</c:v>
                </c:pt>
                <c:pt idx="4">
                  <c:v>5988.0</c:v>
                </c:pt>
                <c:pt idx="5">
                  <c:v>24338.0</c:v>
                </c:pt>
                <c:pt idx="6">
                  <c:v>17519.0</c:v>
                </c:pt>
                <c:pt idx="7">
                  <c:v>24338.0</c:v>
                </c:pt>
                <c:pt idx="8">
                  <c:v>24874.0</c:v>
                </c:pt>
                <c:pt idx="9">
                  <c:v>31038.0</c:v>
                </c:pt>
              </c:numCache>
            </c:numRef>
          </c:yVal>
          <c:smooth val="0"/>
        </c:ser>
        <c:ser>
          <c:idx val="5"/>
          <c:order val="8"/>
          <c:tx>
            <c:v>OD 600 nm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OD600nm!$J$4:$J$20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0.0577140592663521</c:v>
                  </c:pt>
                  <c:pt idx="4">
                    <c:v>0.104964918458502</c:v>
                  </c:pt>
                  <c:pt idx="5">
                    <c:v>0.240282789731877</c:v>
                  </c:pt>
                  <c:pt idx="6">
                    <c:v>0.65791171655271</c:v>
                  </c:pt>
                  <c:pt idx="7">
                    <c:v>0.55109972426171</c:v>
                  </c:pt>
                  <c:pt idx="8">
                    <c:v>0.58244368043271</c:v>
                  </c:pt>
                  <c:pt idx="9">
                    <c:v>0.485868044993014</c:v>
                  </c:pt>
                  <c:pt idx="10">
                    <c:v>0.490068711436807</c:v>
                  </c:pt>
                  <c:pt idx="11">
                    <c:v>0.870286325782498</c:v>
                  </c:pt>
                  <c:pt idx="12">
                    <c:v>0.157921311954192</c:v>
                  </c:pt>
                  <c:pt idx="13">
                    <c:v>0.356492816623281</c:v>
                  </c:pt>
                  <c:pt idx="14">
                    <c:v>0.0960420000000001</c:v>
                  </c:pt>
                  <c:pt idx="15">
                    <c:v>0.184832915178367</c:v>
                  </c:pt>
                  <c:pt idx="16">
                    <c:v>0.0184832915178367</c:v>
                  </c:pt>
                </c:numCache>
              </c:numRef>
            </c:plus>
            <c:minus>
              <c:numRef>
                <c:f>OD600nm!$J$4:$J$20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0.0577140592663521</c:v>
                  </c:pt>
                  <c:pt idx="4">
                    <c:v>0.104964918458502</c:v>
                  </c:pt>
                  <c:pt idx="5">
                    <c:v>0.240282789731877</c:v>
                  </c:pt>
                  <c:pt idx="6">
                    <c:v>0.65791171655271</c:v>
                  </c:pt>
                  <c:pt idx="7">
                    <c:v>0.55109972426171</c:v>
                  </c:pt>
                  <c:pt idx="8">
                    <c:v>0.58244368043271</c:v>
                  </c:pt>
                  <c:pt idx="9">
                    <c:v>0.485868044993014</c:v>
                  </c:pt>
                  <c:pt idx="10">
                    <c:v>0.490068711436807</c:v>
                  </c:pt>
                  <c:pt idx="11">
                    <c:v>0.870286325782498</c:v>
                  </c:pt>
                  <c:pt idx="12">
                    <c:v>0.157921311954192</c:v>
                  </c:pt>
                  <c:pt idx="13">
                    <c:v>0.356492816623281</c:v>
                  </c:pt>
                  <c:pt idx="14">
                    <c:v>0.0960420000000001</c:v>
                  </c:pt>
                  <c:pt idx="15">
                    <c:v>0.184832915178367</c:v>
                  </c:pt>
                  <c:pt idx="16">
                    <c:v>0.0184832915178367</c:v>
                  </c:pt>
                </c:numCache>
              </c:numRef>
            </c:minus>
          </c:errBars>
          <c:xVal>
            <c:numRef>
              <c:f>OD600nm!$D$4:$D$20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30.25</c:v>
                </c:pt>
                <c:pt idx="16">
                  <c:v>48.0</c:v>
                </c:pt>
              </c:numCache>
            </c:numRef>
          </c:xVal>
          <c:yVal>
            <c:numRef>
              <c:f>OD600nm!$I$4:$I$20</c:f>
              <c:numCache>
                <c:formatCode>0.000</c:formatCode>
                <c:ptCount val="17"/>
                <c:pt idx="0">
                  <c:v>0.1626763</c:v>
                </c:pt>
                <c:pt idx="1">
                  <c:v>0.2555169</c:v>
                </c:pt>
                <c:pt idx="2">
                  <c:v>0.4556044</c:v>
                </c:pt>
                <c:pt idx="3">
                  <c:v>1.098532</c:v>
                </c:pt>
                <c:pt idx="4">
                  <c:v>2.667218</c:v>
                </c:pt>
                <c:pt idx="5">
                  <c:v>4.673428666666666</c:v>
                </c:pt>
                <c:pt idx="6">
                  <c:v>7.404674666666668</c:v>
                </c:pt>
                <c:pt idx="7">
                  <c:v>9.293500666666666</c:v>
                </c:pt>
                <c:pt idx="8">
                  <c:v>10.00848</c:v>
                </c:pt>
                <c:pt idx="9">
                  <c:v>9.763039333333335</c:v>
                </c:pt>
                <c:pt idx="10">
                  <c:v>8.96268933333333</c:v>
                </c:pt>
                <c:pt idx="11">
                  <c:v>8.535836</c:v>
                </c:pt>
                <c:pt idx="12">
                  <c:v>7.756828666666667</c:v>
                </c:pt>
                <c:pt idx="13">
                  <c:v>7.095205999999999</c:v>
                </c:pt>
                <c:pt idx="14">
                  <c:v>4.694155999999999</c:v>
                </c:pt>
                <c:pt idx="15">
                  <c:v>4.011190666666667</c:v>
                </c:pt>
                <c:pt idx="16">
                  <c:v>2.880029333333334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564632"/>
        <c:axId val="-2079613832"/>
      </c:scatterChart>
      <c:valAx>
        <c:axId val="-2079439176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-2079921208"/>
        <c:crosses val="autoZero"/>
        <c:crossBetween val="midCat"/>
        <c:majorUnit val="6.0"/>
      </c:valAx>
      <c:valAx>
        <c:axId val="-2079921208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Concentration (mM)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-2079439176"/>
        <c:crosses val="autoZero"/>
        <c:crossBetween val="midCat"/>
      </c:valAx>
      <c:valAx>
        <c:axId val="-2079613832"/>
        <c:scaling>
          <c:orientation val="minMax"/>
          <c:max val="11.0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NL" sz="1050"/>
                  <a:t>Cell growth (OD</a:t>
                </a:r>
                <a:r>
                  <a:rPr lang="nl-NL" sz="1050" baseline="0"/>
                  <a:t> 600 nm)</a:t>
                </a:r>
                <a:endParaRPr lang="nl-NL" sz="1050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i="0" baseline="0"/>
            </a:pPr>
            <a:endParaRPr lang="en-US"/>
          </a:p>
        </c:txPr>
        <c:crossAx val="2073564632"/>
        <c:crosses val="max"/>
        <c:crossBetween val="midCat"/>
        <c:majorUnit val="1.0"/>
        <c:minorUnit val="0.2"/>
      </c:valAx>
      <c:valAx>
        <c:axId val="2073564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2079613832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pageSetup paperSize="9"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paperSize="9"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436880</xdr:colOff>
      <xdr:row>21</xdr:row>
      <xdr:rowOff>0</xdr:rowOff>
    </xdr:from>
    <xdr:to>
      <xdr:col>20</xdr:col>
      <xdr:colOff>360680</xdr:colOff>
      <xdr:row>46</xdr:row>
      <xdr:rowOff>5080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436880</xdr:colOff>
      <xdr:row>21</xdr:row>
      <xdr:rowOff>0</xdr:rowOff>
    </xdr:from>
    <xdr:to>
      <xdr:col>20</xdr:col>
      <xdr:colOff>360680</xdr:colOff>
      <xdr:row>46</xdr:row>
      <xdr:rowOff>5080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evin/Desktop/PhD/ELN/BATCH/Monocultures/Faecalibacterium%20prausnitzii/2014_10_29_Batch4_FP_Fructose%20%20%20/Batch_4_FP_Calculation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rmentation"/>
      <sheetName val="Calculation"/>
      <sheetName val="Plate Count"/>
      <sheetName val="Flow cytometer"/>
      <sheetName val="Calibration F. prausnitzii"/>
      <sheetName val="Determination cell count"/>
      <sheetName val="OD600nm"/>
      <sheetName val="CDM"/>
      <sheetName val="H2"/>
      <sheetName val="CO2"/>
      <sheetName val="Metabolites"/>
      <sheetName val="D-Fructose"/>
      <sheetName val="Formic acid"/>
      <sheetName val="Acetic acid"/>
      <sheetName val="Propionic acid"/>
      <sheetName val="Butyric acid"/>
      <sheetName val="Lactic acid"/>
      <sheetName val="Ethanol"/>
      <sheetName val="Graph"/>
      <sheetName val="Graph (2)"/>
      <sheetName val="Carbon recovery"/>
    </sheetNames>
    <sheetDataSet>
      <sheetData sheetId="0"/>
      <sheetData sheetId="1"/>
      <sheetData sheetId="2"/>
      <sheetData sheetId="3"/>
      <sheetData sheetId="4">
        <row r="4">
          <cell r="R4">
            <v>8.6158560019212569</v>
          </cell>
        </row>
        <row r="5">
          <cell r="R5">
            <v>7.5787871690098934</v>
          </cell>
        </row>
        <row r="7">
          <cell r="R7">
            <v>5.1662524519541604</v>
          </cell>
        </row>
        <row r="8">
          <cell r="R8">
            <v>4.3271429450900092</v>
          </cell>
        </row>
        <row r="9">
          <cell r="R9">
            <v>8.5970052819172</v>
          </cell>
        </row>
        <row r="12">
          <cell r="R12">
            <v>7.6386549561082937</v>
          </cell>
        </row>
        <row r="13">
          <cell r="R13">
            <v>7.3179159600467427</v>
          </cell>
        </row>
        <row r="14">
          <cell r="R14">
            <v>6.9795002471622967</v>
          </cell>
        </row>
        <row r="15">
          <cell r="R15">
            <v>6.7271414012566968</v>
          </cell>
        </row>
        <row r="16">
          <cell r="R16">
            <v>6.2583457855668376</v>
          </cell>
        </row>
        <row r="17">
          <cell r="R17">
            <v>5.8987549482286576</v>
          </cell>
        </row>
        <row r="18">
          <cell r="R18">
            <v>5.5136855181177333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/>
    </sheetDataSet>
  </externalBook>
</externalLink>
</file>

<file path=xl/queryTables/queryTable1.xml><?xml version="1.0" encoding="utf-8"?>
<queryTable xmlns="http://schemas.openxmlformats.org/spreadsheetml/2006/main" name="2012_06_08_BIF_REC_OLI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12_06_08_BIF_REC_OLI_1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012_05_10_FPRAU_fruc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Relationship Id="rId2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C11" sqref="C11"/>
    </sheetView>
  </sheetViews>
  <sheetFormatPr baseColWidth="10" defaultColWidth="8.83203125" defaultRowHeight="14" x14ac:dyDescent="0"/>
  <cols>
    <col min="1" max="1" width="23.33203125" style="2" customWidth="1"/>
    <col min="2" max="2" width="13.6640625" style="2" bestFit="1" customWidth="1"/>
    <col min="3" max="3" width="75.6640625" style="2" customWidth="1"/>
    <col min="4" max="16384" width="8.83203125" style="2"/>
  </cols>
  <sheetData>
    <row r="1" spans="1:3">
      <c r="A1" s="127" t="s">
        <v>0</v>
      </c>
      <c r="B1" s="128"/>
      <c r="C1" s="33">
        <v>42011</v>
      </c>
    </row>
    <row r="2" spans="1:3" ht="16">
      <c r="A2" s="127" t="s">
        <v>1</v>
      </c>
      <c r="B2" s="129"/>
      <c r="C2" s="31" t="s">
        <v>149</v>
      </c>
    </row>
    <row r="3" spans="1:3">
      <c r="A3" s="11"/>
      <c r="B3" s="11"/>
      <c r="C3" s="10"/>
    </row>
    <row r="4" spans="1:3">
      <c r="A4" s="130" t="s">
        <v>49</v>
      </c>
      <c r="B4" s="130"/>
      <c r="C4" s="7" t="s">
        <v>107</v>
      </c>
    </row>
    <row r="6" spans="1:3">
      <c r="A6" s="40" t="s">
        <v>83</v>
      </c>
      <c r="B6" s="40" t="s">
        <v>84</v>
      </c>
      <c r="C6" s="40" t="s">
        <v>69</v>
      </c>
    </row>
    <row r="7" spans="1:3">
      <c r="A7" s="31" t="s">
        <v>85</v>
      </c>
      <c r="B7" s="36" t="s">
        <v>86</v>
      </c>
      <c r="C7" s="36" t="s">
        <v>101</v>
      </c>
    </row>
    <row r="8" spans="1:3">
      <c r="A8" s="31" t="s">
        <v>87</v>
      </c>
      <c r="B8" s="36" t="s">
        <v>88</v>
      </c>
      <c r="C8" s="36" t="s">
        <v>101</v>
      </c>
    </row>
    <row r="9" spans="1:3">
      <c r="A9" s="31" t="s">
        <v>89</v>
      </c>
      <c r="B9" s="36" t="s">
        <v>90</v>
      </c>
      <c r="C9" s="36" t="s">
        <v>101</v>
      </c>
    </row>
    <row r="10" spans="1:3">
      <c r="A10" s="31" t="s">
        <v>91</v>
      </c>
      <c r="B10" s="36" t="s">
        <v>92</v>
      </c>
      <c r="C10" s="36" t="s">
        <v>101</v>
      </c>
    </row>
    <row r="11" spans="1:3">
      <c r="A11" s="29" t="s">
        <v>178</v>
      </c>
      <c r="B11" s="29" t="s">
        <v>179</v>
      </c>
      <c r="C11" s="29" t="s">
        <v>101</v>
      </c>
    </row>
    <row r="12" spans="1:3">
      <c r="A12" s="31" t="s">
        <v>73</v>
      </c>
      <c r="B12" s="36" t="s">
        <v>93</v>
      </c>
      <c r="C12" s="36" t="s">
        <v>101</v>
      </c>
    </row>
    <row r="13" spans="1:3" ht="16">
      <c r="A13" s="73" t="s">
        <v>77</v>
      </c>
      <c r="B13" s="36" t="s">
        <v>94</v>
      </c>
      <c r="C13" s="36" t="s">
        <v>101</v>
      </c>
    </row>
    <row r="14" spans="1:3" ht="16">
      <c r="A14" s="73" t="s">
        <v>76</v>
      </c>
      <c r="B14" s="36" t="s">
        <v>94</v>
      </c>
      <c r="C14" s="36" t="s">
        <v>101</v>
      </c>
    </row>
    <row r="15" spans="1:3" ht="16">
      <c r="A15" s="31" t="s">
        <v>109</v>
      </c>
      <c r="B15" s="36" t="s">
        <v>95</v>
      </c>
      <c r="C15" s="36" t="s">
        <v>101</v>
      </c>
    </row>
    <row r="16" spans="1:3" ht="16">
      <c r="A16" s="31" t="s">
        <v>108</v>
      </c>
      <c r="B16" s="36" t="s">
        <v>94</v>
      </c>
      <c r="C16" s="36" t="s">
        <v>101</v>
      </c>
    </row>
    <row r="17" spans="1:3" ht="16">
      <c r="A17" s="31" t="s">
        <v>110</v>
      </c>
      <c r="B17" s="36" t="s">
        <v>94</v>
      </c>
      <c r="C17" s="36" t="s">
        <v>101</v>
      </c>
    </row>
    <row r="18" spans="1:3" ht="16">
      <c r="A18" s="31" t="s">
        <v>111</v>
      </c>
      <c r="B18" s="36" t="s">
        <v>153</v>
      </c>
      <c r="C18" s="36" t="s">
        <v>101</v>
      </c>
    </row>
    <row r="19" spans="1:3" ht="16">
      <c r="A19" s="31" t="s">
        <v>75</v>
      </c>
      <c r="B19" s="36" t="s">
        <v>154</v>
      </c>
      <c r="C19" s="36" t="s">
        <v>101</v>
      </c>
    </row>
    <row r="20" spans="1:3" ht="16">
      <c r="A20" s="31" t="s">
        <v>112</v>
      </c>
      <c r="B20" s="36" t="s">
        <v>96</v>
      </c>
      <c r="C20" s="36" t="s">
        <v>101</v>
      </c>
    </row>
    <row r="21" spans="1:3" ht="16">
      <c r="A21" s="31" t="s">
        <v>113</v>
      </c>
      <c r="B21" s="36" t="s">
        <v>97</v>
      </c>
      <c r="C21" s="36" t="s">
        <v>101</v>
      </c>
    </row>
    <row r="22" spans="1:3" ht="16">
      <c r="A22" s="31" t="s">
        <v>114</v>
      </c>
      <c r="B22" s="36" t="s">
        <v>98</v>
      </c>
      <c r="C22" s="36" t="s">
        <v>101</v>
      </c>
    </row>
    <row r="23" spans="1:3" ht="16">
      <c r="A23" s="31" t="s">
        <v>115</v>
      </c>
      <c r="B23" s="36" t="s">
        <v>98</v>
      </c>
      <c r="C23" s="36" t="s">
        <v>101</v>
      </c>
    </row>
    <row r="24" spans="1:3">
      <c r="A24" s="31" t="s">
        <v>99</v>
      </c>
      <c r="B24" s="36" t="s">
        <v>98</v>
      </c>
      <c r="C24" s="36" t="s">
        <v>101</v>
      </c>
    </row>
    <row r="25" spans="1:3">
      <c r="A25" s="31" t="s">
        <v>100</v>
      </c>
      <c r="B25" s="36" t="s">
        <v>98</v>
      </c>
      <c r="C25" s="36" t="s">
        <v>101</v>
      </c>
    </row>
    <row r="26" spans="1:3">
      <c r="A26" s="31" t="s">
        <v>74</v>
      </c>
      <c r="B26" s="36" t="s">
        <v>102</v>
      </c>
      <c r="C26" s="36" t="s">
        <v>103</v>
      </c>
    </row>
    <row r="27" spans="1:3">
      <c r="A27" s="31" t="s">
        <v>104</v>
      </c>
      <c r="B27" s="36" t="s">
        <v>101</v>
      </c>
      <c r="C27" s="36" t="s">
        <v>106</v>
      </c>
    </row>
    <row r="28" spans="1:3">
      <c r="A28" s="31" t="s">
        <v>105</v>
      </c>
      <c r="B28" s="36" t="s">
        <v>101</v>
      </c>
      <c r="C28" s="36" t="s">
        <v>106</v>
      </c>
    </row>
    <row r="29" spans="1:3" ht="16">
      <c r="A29" s="29" t="s">
        <v>146</v>
      </c>
      <c r="B29" s="29" t="s">
        <v>147</v>
      </c>
      <c r="C29" s="29" t="s">
        <v>148</v>
      </c>
    </row>
  </sheetData>
  <mergeCells count="3">
    <mergeCell ref="A1:B1"/>
    <mergeCell ref="A2:B2"/>
    <mergeCell ref="A4:B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19" sqref="D19"/>
    </sheetView>
  </sheetViews>
  <sheetFormatPr baseColWidth="10" defaultColWidth="8.83203125" defaultRowHeight="14" x14ac:dyDescent="0"/>
  <cols>
    <col min="1" max="16384" width="8.83203125" style="2"/>
  </cols>
  <sheetData>
    <row r="1" spans="1:10">
      <c r="A1" s="131" t="s">
        <v>4</v>
      </c>
      <c r="B1" s="131" t="s">
        <v>117</v>
      </c>
      <c r="C1" s="131" t="s">
        <v>117</v>
      </c>
      <c r="D1" s="131" t="s">
        <v>5</v>
      </c>
      <c r="E1" s="131" t="s">
        <v>19</v>
      </c>
      <c r="F1" s="131" t="s">
        <v>24</v>
      </c>
      <c r="G1" s="130" t="s">
        <v>25</v>
      </c>
      <c r="H1" s="127" t="s">
        <v>26</v>
      </c>
      <c r="I1" s="4" t="s">
        <v>27</v>
      </c>
      <c r="J1" s="52" t="s">
        <v>27</v>
      </c>
    </row>
    <row r="2" spans="1:10">
      <c r="A2" s="132"/>
      <c r="B2" s="132"/>
      <c r="C2" s="132"/>
      <c r="D2" s="132"/>
      <c r="E2" s="132"/>
      <c r="F2" s="132"/>
      <c r="G2" s="130"/>
      <c r="H2" s="127"/>
      <c r="I2" s="5" t="s">
        <v>28</v>
      </c>
      <c r="J2" s="53" t="s">
        <v>23</v>
      </c>
    </row>
    <row r="3" spans="1:10">
      <c r="A3" s="64" t="s">
        <v>6</v>
      </c>
      <c r="B3" s="65">
        <v>-10</v>
      </c>
      <c r="C3" s="65">
        <v>-10</v>
      </c>
      <c r="D3" s="13">
        <f>C3/60</f>
        <v>-0.16666666666666666</v>
      </c>
      <c r="E3" s="39">
        <v>1</v>
      </c>
      <c r="F3" s="49">
        <v>7.8E-2</v>
      </c>
      <c r="G3" s="49">
        <v>7.8E-2</v>
      </c>
      <c r="H3" s="49">
        <v>7.8E-2</v>
      </c>
      <c r="I3" s="50">
        <f>E3*(AVERAGE(F3:H3)*1.6007-0.0118)</f>
        <v>0.11305459999999999</v>
      </c>
      <c r="J3" s="50">
        <f>E3*(STDEV(F3:H3)*1.6007)</f>
        <v>0</v>
      </c>
    </row>
    <row r="4" spans="1:10">
      <c r="A4" s="67">
        <v>0</v>
      </c>
      <c r="B4" s="68">
        <v>10</v>
      </c>
      <c r="C4" s="68">
        <v>10</v>
      </c>
      <c r="D4" s="13">
        <f t="shared" ref="D4:D18" si="0">C4/60</f>
        <v>0.16666666666666666</v>
      </c>
      <c r="E4" s="39">
        <v>1</v>
      </c>
      <c r="F4" s="49">
        <v>0.109</v>
      </c>
      <c r="G4" s="49">
        <v>0.109</v>
      </c>
      <c r="H4" s="49">
        <v>0.109</v>
      </c>
      <c r="I4" s="50">
        <f>E4*(AVERAGE(F4:H4)*1.6007-0.0118)</f>
        <v>0.1626763</v>
      </c>
      <c r="J4" s="50">
        <f t="shared" ref="J4:J18" si="1">E4*(STDEV(F4:H4)*1.6007)</f>
        <v>0</v>
      </c>
    </row>
    <row r="5" spans="1:10">
      <c r="A5" s="67">
        <v>1</v>
      </c>
      <c r="B5" s="68">
        <v>110</v>
      </c>
      <c r="C5" s="68">
        <v>120</v>
      </c>
      <c r="D5" s="13">
        <f t="shared" si="0"/>
        <v>2</v>
      </c>
      <c r="E5" s="39">
        <v>1</v>
      </c>
      <c r="F5" s="49">
        <v>0.16700000000000001</v>
      </c>
      <c r="G5" s="49">
        <v>0.16700000000000001</v>
      </c>
      <c r="H5" s="49">
        <v>0.16700000000000001</v>
      </c>
      <c r="I5" s="50">
        <f t="shared" ref="I5:I19" si="2">E5*(AVERAGE(F5:H5)*1.6007-0.0118)</f>
        <v>0.25551690000000005</v>
      </c>
      <c r="J5" s="50">
        <f t="shared" si="1"/>
        <v>0</v>
      </c>
    </row>
    <row r="6" spans="1:10">
      <c r="A6" s="67">
        <v>2</v>
      </c>
      <c r="B6" s="68">
        <v>80</v>
      </c>
      <c r="C6" s="68">
        <v>200</v>
      </c>
      <c r="D6" s="13">
        <f t="shared" si="0"/>
        <v>3.3333333333333335</v>
      </c>
      <c r="E6" s="39">
        <v>1</v>
      </c>
      <c r="F6" s="49">
        <v>0.29199999999999998</v>
      </c>
      <c r="G6" s="49">
        <v>0.29199999999999998</v>
      </c>
      <c r="H6" s="49">
        <v>0.29199999999999998</v>
      </c>
      <c r="I6" s="50">
        <f t="shared" si="2"/>
        <v>0.45560440000000002</v>
      </c>
      <c r="J6" s="50">
        <f t="shared" si="1"/>
        <v>0</v>
      </c>
    </row>
    <row r="7" spans="1:10">
      <c r="A7" s="67">
        <v>3</v>
      </c>
      <c r="B7" s="68">
        <v>80</v>
      </c>
      <c r="C7" s="68">
        <v>280</v>
      </c>
      <c r="D7" s="13">
        <f t="shared" si="0"/>
        <v>4.666666666666667</v>
      </c>
      <c r="E7" s="39">
        <v>10</v>
      </c>
      <c r="F7" s="49">
        <v>7.1999999999999995E-2</v>
      </c>
      <c r="G7" s="49">
        <v>7.6999999999999999E-2</v>
      </c>
      <c r="H7" s="49">
        <v>7.9000000000000001E-2</v>
      </c>
      <c r="I7" s="50">
        <f t="shared" si="2"/>
        <v>1.0985320000000001</v>
      </c>
      <c r="J7" s="50">
        <f t="shared" si="1"/>
        <v>5.7714059266352133E-2</v>
      </c>
    </row>
    <row r="8" spans="1:10">
      <c r="A8" s="67">
        <v>4</v>
      </c>
      <c r="B8" s="68">
        <v>80</v>
      </c>
      <c r="C8" s="68">
        <v>360</v>
      </c>
      <c r="D8" s="13">
        <f t="shared" si="0"/>
        <v>6</v>
      </c>
      <c r="E8" s="39">
        <v>10</v>
      </c>
      <c r="F8" s="49">
        <v>0.16700000000000001</v>
      </c>
      <c r="G8" s="49">
        <v>0.17499999999999999</v>
      </c>
      <c r="H8" s="49">
        <v>0.18</v>
      </c>
      <c r="I8" s="50">
        <f t="shared" si="2"/>
        <v>2.6672180000000005</v>
      </c>
      <c r="J8" s="50">
        <f t="shared" si="1"/>
        <v>0.10496491845850198</v>
      </c>
    </row>
    <row r="9" spans="1:10">
      <c r="A9" s="67">
        <v>5</v>
      </c>
      <c r="B9" s="68">
        <v>80</v>
      </c>
      <c r="C9" s="68">
        <v>440</v>
      </c>
      <c r="D9" s="13">
        <f t="shared" si="0"/>
        <v>7.333333333333333</v>
      </c>
      <c r="E9" s="39">
        <v>10</v>
      </c>
      <c r="F9" s="49">
        <v>0.28199999999999997</v>
      </c>
      <c r="G9" s="49">
        <v>0.308</v>
      </c>
      <c r="H9" s="49">
        <v>0.308</v>
      </c>
      <c r="I9" s="50">
        <f t="shared" si="2"/>
        <v>4.6734286666666662</v>
      </c>
      <c r="J9" s="50">
        <f t="shared" si="1"/>
        <v>0.24028278973187706</v>
      </c>
    </row>
    <row r="10" spans="1:10">
      <c r="A10" s="67">
        <v>6</v>
      </c>
      <c r="B10" s="68">
        <v>80</v>
      </c>
      <c r="C10" s="68">
        <v>520</v>
      </c>
      <c r="D10" s="13">
        <f t="shared" si="0"/>
        <v>8.6666666666666661</v>
      </c>
      <c r="E10" s="39">
        <v>20</v>
      </c>
      <c r="F10" s="49">
        <v>0.215</v>
      </c>
      <c r="G10" s="49">
        <v>0.249</v>
      </c>
      <c r="H10" s="49">
        <v>0.252</v>
      </c>
      <c r="I10" s="50">
        <f t="shared" si="2"/>
        <v>7.4046746666666676</v>
      </c>
      <c r="J10" s="50">
        <f t="shared" si="1"/>
        <v>0.65791171655270997</v>
      </c>
    </row>
    <row r="11" spans="1:10">
      <c r="A11" s="67">
        <v>7</v>
      </c>
      <c r="B11" s="68">
        <v>80</v>
      </c>
      <c r="C11" s="68">
        <v>600</v>
      </c>
      <c r="D11" s="13">
        <f t="shared" si="0"/>
        <v>10</v>
      </c>
      <c r="E11" s="39">
        <v>20</v>
      </c>
      <c r="F11" s="49">
        <v>0.27800000000000002</v>
      </c>
      <c r="G11" s="49">
        <v>0.30499999999999999</v>
      </c>
      <c r="H11" s="49">
        <v>0.31</v>
      </c>
      <c r="I11" s="50">
        <f t="shared" si="2"/>
        <v>9.2935006666666666</v>
      </c>
      <c r="J11" s="50">
        <f t="shared" si="1"/>
        <v>0.55109972426170994</v>
      </c>
    </row>
    <row r="12" spans="1:10">
      <c r="A12" s="67">
        <v>8</v>
      </c>
      <c r="B12" s="68">
        <v>80</v>
      </c>
      <c r="C12" s="68">
        <v>680</v>
      </c>
      <c r="D12" s="13">
        <f t="shared" si="0"/>
        <v>11.333333333333334</v>
      </c>
      <c r="E12" s="39">
        <v>20</v>
      </c>
      <c r="F12" s="49">
        <v>0.29899999999999999</v>
      </c>
      <c r="G12" s="49">
        <v>0.33100000000000002</v>
      </c>
      <c r="H12" s="49">
        <v>0.33</v>
      </c>
      <c r="I12" s="50">
        <f t="shared" si="2"/>
        <v>10.008479999999999</v>
      </c>
      <c r="J12" s="50">
        <f t="shared" si="1"/>
        <v>0.58244368043270978</v>
      </c>
    </row>
    <row r="13" spans="1:10">
      <c r="A13" s="67">
        <v>9</v>
      </c>
      <c r="B13" s="68">
        <v>80</v>
      </c>
      <c r="C13" s="68">
        <v>760</v>
      </c>
      <c r="D13" s="13">
        <f>C13/60</f>
        <v>12.666666666666666</v>
      </c>
      <c r="E13" s="39">
        <v>20</v>
      </c>
      <c r="F13" s="49">
        <v>0.29599999999999999</v>
      </c>
      <c r="G13" s="49">
        <v>0.315</v>
      </c>
      <c r="H13" s="49">
        <v>0.32600000000000001</v>
      </c>
      <c r="I13" s="50">
        <f t="shared" si="2"/>
        <v>9.7630393333333352</v>
      </c>
      <c r="J13" s="50">
        <f t="shared" si="1"/>
        <v>0.48586804499301428</v>
      </c>
    </row>
    <row r="14" spans="1:10">
      <c r="A14" s="67">
        <v>10</v>
      </c>
      <c r="B14" s="68">
        <v>80</v>
      </c>
      <c r="C14" s="68">
        <v>840</v>
      </c>
      <c r="D14" s="13">
        <f t="shared" si="0"/>
        <v>14</v>
      </c>
      <c r="E14" s="39">
        <v>20</v>
      </c>
      <c r="F14" s="49">
        <v>0.27</v>
      </c>
      <c r="G14" s="49">
        <v>0.29299999999999998</v>
      </c>
      <c r="H14" s="49">
        <v>0.29899999999999999</v>
      </c>
      <c r="I14" s="50">
        <f t="shared" si="2"/>
        <v>8.9626893333333317</v>
      </c>
      <c r="J14" s="50">
        <f t="shared" si="1"/>
        <v>0.49006871143680741</v>
      </c>
    </row>
    <row r="15" spans="1:10">
      <c r="A15" s="67">
        <v>11</v>
      </c>
      <c r="B15" s="68">
        <v>80</v>
      </c>
      <c r="C15" s="68">
        <v>920</v>
      </c>
      <c r="D15" s="13">
        <f t="shared" si="0"/>
        <v>15.333333333333334</v>
      </c>
      <c r="E15" s="39">
        <v>20</v>
      </c>
      <c r="F15" s="49">
        <v>0.24399999999999999</v>
      </c>
      <c r="G15" s="49">
        <v>0.29699999999999999</v>
      </c>
      <c r="H15" s="49">
        <v>0.28100000000000003</v>
      </c>
      <c r="I15" s="50">
        <f t="shared" si="2"/>
        <v>8.5358359999999998</v>
      </c>
      <c r="J15" s="50">
        <f t="shared" si="1"/>
        <v>0.87028632578249787</v>
      </c>
    </row>
    <row r="16" spans="1:10">
      <c r="A16" s="67">
        <v>12</v>
      </c>
      <c r="B16" s="68">
        <v>80</v>
      </c>
      <c r="C16" s="68">
        <v>1000</v>
      </c>
      <c r="D16" s="13">
        <f t="shared" si="0"/>
        <v>16.666666666666668</v>
      </c>
      <c r="E16" s="39">
        <v>20</v>
      </c>
      <c r="F16" s="49">
        <v>0.253</v>
      </c>
      <c r="G16" s="49">
        <v>0.252</v>
      </c>
      <c r="H16" s="49">
        <v>0.24399999999999999</v>
      </c>
      <c r="I16" s="50">
        <f t="shared" si="2"/>
        <v>7.7568286666666673</v>
      </c>
      <c r="J16" s="50">
        <f t="shared" si="1"/>
        <v>0.15792131195419248</v>
      </c>
    </row>
    <row r="17" spans="1:10">
      <c r="A17" s="67">
        <v>13</v>
      </c>
      <c r="B17" s="68">
        <v>80</v>
      </c>
      <c r="C17" s="68">
        <v>1080</v>
      </c>
      <c r="D17" s="13">
        <f t="shared" si="0"/>
        <v>18</v>
      </c>
      <c r="E17" s="39">
        <v>20</v>
      </c>
      <c r="F17" s="49">
        <v>0.23899999999999999</v>
      </c>
      <c r="G17" s="49">
        <v>0.217</v>
      </c>
      <c r="H17" s="49">
        <v>0.23100000000000001</v>
      </c>
      <c r="I17" s="50">
        <f t="shared" si="2"/>
        <v>7.0952059999999992</v>
      </c>
      <c r="J17" s="50">
        <f t="shared" si="1"/>
        <v>0.35649281662328058</v>
      </c>
    </row>
    <row r="18" spans="1:10">
      <c r="A18" s="67">
        <v>14</v>
      </c>
      <c r="B18" s="68">
        <v>360</v>
      </c>
      <c r="C18" s="68">
        <v>1440</v>
      </c>
      <c r="D18" s="13">
        <f t="shared" si="0"/>
        <v>24</v>
      </c>
      <c r="E18" s="39">
        <v>20</v>
      </c>
      <c r="F18" s="49">
        <v>0.157</v>
      </c>
      <c r="G18" s="49">
        <v>0.154</v>
      </c>
      <c r="H18" s="49">
        <v>0.151</v>
      </c>
      <c r="I18" s="50">
        <f t="shared" si="2"/>
        <v>4.6941559999999996</v>
      </c>
      <c r="J18" s="50">
        <f t="shared" si="1"/>
        <v>9.6042000000000086E-2</v>
      </c>
    </row>
    <row r="19" spans="1:10">
      <c r="A19" s="67">
        <v>15</v>
      </c>
      <c r="B19" s="68">
        <v>375</v>
      </c>
      <c r="C19" s="68">
        <v>1815</v>
      </c>
      <c r="D19" s="13">
        <f>C19/60</f>
        <v>30.25</v>
      </c>
      <c r="E19" s="39">
        <v>20</v>
      </c>
      <c r="F19" s="49">
        <v>0.126</v>
      </c>
      <c r="G19" s="49">
        <v>0.13600000000000001</v>
      </c>
      <c r="H19" s="49">
        <v>0.13600000000000001</v>
      </c>
      <c r="I19" s="50">
        <f t="shared" si="2"/>
        <v>4.0111906666666668</v>
      </c>
      <c r="J19" s="50">
        <f>E19*(STDEV(F19:H19)*1.6007)</f>
        <v>0.18483291517836697</v>
      </c>
    </row>
    <row r="20" spans="1:10">
      <c r="A20" s="67">
        <v>16</v>
      </c>
      <c r="B20" s="68">
        <v>1065</v>
      </c>
      <c r="C20" s="68">
        <v>2880</v>
      </c>
      <c r="D20" s="13">
        <f t="shared" ref="D20" si="3">C20/60</f>
        <v>48</v>
      </c>
      <c r="E20" s="39">
        <v>20</v>
      </c>
      <c r="F20" s="49">
        <v>9.8000000000000004E-2</v>
      </c>
      <c r="G20" s="49">
        <v>9.7000000000000003E-2</v>
      </c>
      <c r="H20" s="49">
        <v>9.7000000000000003E-2</v>
      </c>
      <c r="I20" s="50">
        <f t="shared" ref="I20" si="4">E20*(AVERAGE(F20:H20)*1.6007-0.0118)</f>
        <v>2.8800293333333338</v>
      </c>
      <c r="J20" s="50">
        <f t="shared" ref="J20" si="5">E20*(STDEV(F20:H20)*1.6007)</f>
        <v>1.8483291517836696E-2</v>
      </c>
    </row>
  </sheetData>
  <mergeCells count="8">
    <mergeCell ref="A1:A2"/>
    <mergeCell ref="B1:B2"/>
    <mergeCell ref="C1:C2"/>
    <mergeCell ref="D1:D2"/>
    <mergeCell ref="H1:H2"/>
    <mergeCell ref="E1:E2"/>
    <mergeCell ref="F1:F2"/>
    <mergeCell ref="G1:G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D19" sqref="D19"/>
    </sheetView>
  </sheetViews>
  <sheetFormatPr baseColWidth="10" defaultColWidth="8.83203125" defaultRowHeight="14" x14ac:dyDescent="0"/>
  <cols>
    <col min="1" max="2" width="8.83203125" style="2"/>
    <col min="3" max="3" width="10.83203125" style="2" bestFit="1" customWidth="1"/>
    <col min="4" max="4" width="12.1640625" style="2" bestFit="1" customWidth="1"/>
    <col min="5" max="16384" width="8.83203125" style="2"/>
  </cols>
  <sheetData>
    <row r="1" spans="1:7">
      <c r="A1" s="131" t="s">
        <v>4</v>
      </c>
      <c r="B1" s="131" t="s">
        <v>117</v>
      </c>
      <c r="C1" s="131" t="s">
        <v>117</v>
      </c>
      <c r="D1" s="131" t="s">
        <v>5</v>
      </c>
      <c r="E1" s="4" t="s">
        <v>29</v>
      </c>
      <c r="F1" s="4" t="s">
        <v>2</v>
      </c>
      <c r="G1" s="4" t="s">
        <v>32</v>
      </c>
    </row>
    <row r="2" spans="1:7">
      <c r="A2" s="132"/>
      <c r="B2" s="132"/>
      <c r="C2" s="132"/>
      <c r="D2" s="132"/>
      <c r="E2" s="5" t="s">
        <v>30</v>
      </c>
      <c r="F2" s="5" t="s">
        <v>31</v>
      </c>
      <c r="G2" s="5" t="s">
        <v>33</v>
      </c>
    </row>
    <row r="3" spans="1:7">
      <c r="A3" s="64" t="s">
        <v>6</v>
      </c>
      <c r="B3" s="65">
        <v>-10</v>
      </c>
      <c r="C3" s="65">
        <v>-10</v>
      </c>
      <c r="D3" s="13">
        <f>C3/60</f>
        <v>-0.16666666666666666</v>
      </c>
      <c r="E3" s="1"/>
      <c r="F3" s="1"/>
      <c r="G3" s="1" t="e">
        <f>(F3-$C$22)/E3*1000*Calculation!I4/Calculation!K3</f>
        <v>#DIV/0!</v>
      </c>
    </row>
    <row r="4" spans="1:7">
      <c r="A4" s="67">
        <v>0</v>
      </c>
      <c r="B4" s="68">
        <v>10</v>
      </c>
      <c r="C4" s="68">
        <v>10</v>
      </c>
      <c r="D4" s="13">
        <f t="shared" ref="D4:D18" si="0">C4/60</f>
        <v>0.16666666666666666</v>
      </c>
      <c r="E4" s="1"/>
      <c r="F4" s="1"/>
      <c r="G4" s="1" t="e">
        <f>(F4-$C$22)/E4*1000*Calculation!I5/Calculation!K4</f>
        <v>#DIV/0!</v>
      </c>
    </row>
    <row r="5" spans="1:7">
      <c r="A5" s="67">
        <v>1</v>
      </c>
      <c r="B5" s="68">
        <v>110</v>
      </c>
      <c r="C5" s="68">
        <v>120</v>
      </c>
      <c r="D5" s="13">
        <f t="shared" si="0"/>
        <v>2</v>
      </c>
      <c r="E5" s="1"/>
      <c r="F5" s="1"/>
      <c r="G5" s="1" t="e">
        <f>(F5-$C$22)/E5*1000*Calculation!I6/Calculation!K5</f>
        <v>#DIV/0!</v>
      </c>
    </row>
    <row r="6" spans="1:7">
      <c r="A6" s="67">
        <v>2</v>
      </c>
      <c r="B6" s="68">
        <v>80</v>
      </c>
      <c r="C6" s="68">
        <v>200</v>
      </c>
      <c r="D6" s="13">
        <f t="shared" si="0"/>
        <v>3.3333333333333335</v>
      </c>
      <c r="E6" s="1"/>
      <c r="F6" s="1"/>
      <c r="G6" s="1" t="e">
        <f>(F6-$C$22)/E6*1000*Calculation!I7/Calculation!K6</f>
        <v>#DIV/0!</v>
      </c>
    </row>
    <row r="7" spans="1:7">
      <c r="A7" s="67">
        <v>3</v>
      </c>
      <c r="B7" s="68">
        <v>80</v>
      </c>
      <c r="C7" s="68">
        <v>280</v>
      </c>
      <c r="D7" s="13">
        <f t="shared" si="0"/>
        <v>4.666666666666667</v>
      </c>
      <c r="E7" s="1"/>
      <c r="F7" s="1"/>
      <c r="G7" s="1" t="e">
        <f>(F7-$C$22)/E7*1000*Calculation!I8/Calculation!K7</f>
        <v>#DIV/0!</v>
      </c>
    </row>
    <row r="8" spans="1:7">
      <c r="A8" s="67">
        <v>4</v>
      </c>
      <c r="B8" s="68">
        <v>80</v>
      </c>
      <c r="C8" s="68">
        <v>360</v>
      </c>
      <c r="D8" s="13">
        <f t="shared" si="0"/>
        <v>6</v>
      </c>
      <c r="E8" s="1"/>
      <c r="F8" s="1"/>
      <c r="G8" s="1" t="e">
        <f>(F8-$C$22)/E8*1000*Calculation!I9/Calculation!K8</f>
        <v>#DIV/0!</v>
      </c>
    </row>
    <row r="9" spans="1:7">
      <c r="A9" s="67">
        <v>5</v>
      </c>
      <c r="B9" s="68">
        <v>80</v>
      </c>
      <c r="C9" s="68">
        <v>440</v>
      </c>
      <c r="D9" s="13">
        <f t="shared" si="0"/>
        <v>7.333333333333333</v>
      </c>
      <c r="E9" s="1"/>
      <c r="F9" s="1"/>
      <c r="G9" s="1" t="e">
        <f>(F9-$C$22)/E9*1000*Calculation!I10/Calculation!K9</f>
        <v>#DIV/0!</v>
      </c>
    </row>
    <row r="10" spans="1:7">
      <c r="A10" s="67">
        <v>6</v>
      </c>
      <c r="B10" s="68">
        <v>80</v>
      </c>
      <c r="C10" s="68">
        <v>520</v>
      </c>
      <c r="D10" s="13">
        <f t="shared" si="0"/>
        <v>8.6666666666666661</v>
      </c>
      <c r="E10" s="1"/>
      <c r="F10" s="1"/>
      <c r="G10" s="1" t="e">
        <f>(F10-$C$22)/E10*1000*Calculation!I11/Calculation!K10</f>
        <v>#DIV/0!</v>
      </c>
    </row>
    <row r="11" spans="1:7">
      <c r="A11" s="67">
        <v>7</v>
      </c>
      <c r="B11" s="68">
        <v>80</v>
      </c>
      <c r="C11" s="68">
        <v>600</v>
      </c>
      <c r="D11" s="13">
        <f t="shared" si="0"/>
        <v>10</v>
      </c>
      <c r="E11" s="1"/>
      <c r="F11" s="1"/>
      <c r="G11" s="1" t="e">
        <f>(F11-$C$22)/E11*1000*Calculation!I12/Calculation!K11</f>
        <v>#DIV/0!</v>
      </c>
    </row>
    <row r="12" spans="1:7">
      <c r="A12" s="67">
        <v>8</v>
      </c>
      <c r="B12" s="68">
        <v>80</v>
      </c>
      <c r="C12" s="68">
        <v>680</v>
      </c>
      <c r="D12" s="13">
        <f t="shared" si="0"/>
        <v>11.333333333333334</v>
      </c>
      <c r="E12" s="1"/>
      <c r="F12" s="1"/>
      <c r="G12" s="1" t="e">
        <f>(F12-$C$22)/E12*1000*Calculation!I13/Calculation!K12</f>
        <v>#DIV/0!</v>
      </c>
    </row>
    <row r="13" spans="1:7">
      <c r="A13" s="67">
        <v>9</v>
      </c>
      <c r="B13" s="68">
        <v>80</v>
      </c>
      <c r="C13" s="68">
        <v>760</v>
      </c>
      <c r="D13" s="13">
        <f>C13/60</f>
        <v>12.666666666666666</v>
      </c>
      <c r="E13" s="36"/>
      <c r="F13" s="36"/>
      <c r="G13" s="36" t="e">
        <f>(F13-$C$22)/E13*1000*Calculation!I14/Calculation!K13</f>
        <v>#DIV/0!</v>
      </c>
    </row>
    <row r="14" spans="1:7">
      <c r="A14" s="67">
        <v>10</v>
      </c>
      <c r="B14" s="68">
        <v>80</v>
      </c>
      <c r="C14" s="68">
        <v>840</v>
      </c>
      <c r="D14" s="13">
        <f t="shared" si="0"/>
        <v>14</v>
      </c>
      <c r="E14" s="36"/>
      <c r="F14" s="36"/>
      <c r="G14" s="36" t="e">
        <f>(F14-$C$22)/E14*1000*Calculation!I15/Calculation!K14</f>
        <v>#DIV/0!</v>
      </c>
    </row>
    <row r="15" spans="1:7">
      <c r="A15" s="67">
        <v>11</v>
      </c>
      <c r="B15" s="68">
        <v>80</v>
      </c>
      <c r="C15" s="68">
        <v>920</v>
      </c>
      <c r="D15" s="13">
        <f t="shared" si="0"/>
        <v>15.333333333333334</v>
      </c>
      <c r="E15" s="36"/>
      <c r="F15" s="36"/>
      <c r="G15" s="36" t="e">
        <f>(F15-$C$22)/E15*1000*Calculation!I16/Calculation!K15</f>
        <v>#DIV/0!</v>
      </c>
    </row>
    <row r="16" spans="1:7">
      <c r="A16" s="67">
        <v>12</v>
      </c>
      <c r="B16" s="68">
        <v>80</v>
      </c>
      <c r="C16" s="68">
        <v>1000</v>
      </c>
      <c r="D16" s="13">
        <f t="shared" si="0"/>
        <v>16.666666666666668</v>
      </c>
      <c r="E16" s="36"/>
      <c r="F16" s="36"/>
      <c r="G16" s="36" t="e">
        <f>(F16-$C$22)/E16*1000*Calculation!I17/Calculation!K16</f>
        <v>#DIV/0!</v>
      </c>
    </row>
    <row r="17" spans="1:7" ht="15" customHeight="1">
      <c r="A17" s="67">
        <v>13</v>
      </c>
      <c r="B17" s="68">
        <v>80</v>
      </c>
      <c r="C17" s="68">
        <v>1080</v>
      </c>
      <c r="D17" s="13">
        <f t="shared" si="0"/>
        <v>18</v>
      </c>
      <c r="E17" s="36"/>
      <c r="F17" s="36"/>
      <c r="G17" s="36" t="e">
        <f>(F17-$C$22)/E17*1000*Calculation!I18/Calculation!K17</f>
        <v>#DIV/0!</v>
      </c>
    </row>
    <row r="18" spans="1:7">
      <c r="A18" s="67">
        <v>14</v>
      </c>
      <c r="B18" s="68">
        <v>360</v>
      </c>
      <c r="C18" s="68">
        <v>1440</v>
      </c>
      <c r="D18" s="13">
        <f t="shared" si="0"/>
        <v>24</v>
      </c>
      <c r="E18" s="36"/>
      <c r="F18" s="36"/>
      <c r="G18" s="36" t="e">
        <f>(F18-$C$22)/E18*1000*Calculation!I19/Calculation!K18</f>
        <v>#DIV/0!</v>
      </c>
    </row>
    <row r="19" spans="1:7">
      <c r="A19" s="67">
        <v>15</v>
      </c>
      <c r="B19" s="68">
        <v>375</v>
      </c>
      <c r="C19" s="68">
        <v>1815</v>
      </c>
      <c r="D19" s="13">
        <f>C19/60</f>
        <v>30.25</v>
      </c>
      <c r="E19" s="39"/>
      <c r="F19" s="39"/>
      <c r="G19" s="39" t="e">
        <f>(F19-$C$22)/E19*1000*Calculation!I21/Calculation!K19</f>
        <v>#DIV/0!</v>
      </c>
    </row>
    <row r="20" spans="1:7">
      <c r="A20" s="67">
        <v>16</v>
      </c>
      <c r="B20" s="68">
        <v>1065</v>
      </c>
      <c r="C20" s="68">
        <v>2880</v>
      </c>
      <c r="D20" s="13">
        <f t="shared" ref="D20" si="1">C20/60</f>
        <v>48</v>
      </c>
      <c r="E20" s="39"/>
      <c r="F20" s="39"/>
      <c r="G20" s="39" t="e">
        <f>(F20-$C$22)/E20*1000*Calculation!I22/Calculation!K20</f>
        <v>#DIV/0!</v>
      </c>
    </row>
    <row r="22" spans="1:7">
      <c r="A22" s="152" t="s">
        <v>3</v>
      </c>
      <c r="B22" s="153"/>
      <c r="C22" s="1"/>
    </row>
  </sheetData>
  <mergeCells count="5">
    <mergeCell ref="A22:B22"/>
    <mergeCell ref="A1:A2"/>
    <mergeCell ref="B1:B2"/>
    <mergeCell ref="C1:C2"/>
    <mergeCell ref="D1:D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J101"/>
  <sheetViews>
    <sheetView workbookViewId="0">
      <selection activeCell="F5" sqref="F5:F101"/>
    </sheetView>
  </sheetViews>
  <sheetFormatPr baseColWidth="10" defaultColWidth="8.83203125" defaultRowHeight="14" x14ac:dyDescent="0"/>
  <cols>
    <col min="4" max="4" width="9.33203125" bestFit="1" customWidth="1"/>
    <col min="5" max="5" width="22.33203125" bestFit="1" customWidth="1"/>
    <col min="6" max="6" width="13.6640625" bestFit="1" customWidth="1"/>
    <col min="9" max="9" width="9.1640625" bestFit="1" customWidth="1"/>
    <col min="10" max="10" width="12" bestFit="1" customWidth="1"/>
    <col min="11" max="11" width="8.5" customWidth="1"/>
  </cols>
  <sheetData>
    <row r="1" spans="1:10">
      <c r="A1" s="23" t="s">
        <v>50</v>
      </c>
      <c r="B1" s="12">
        <v>70</v>
      </c>
      <c r="C1" s="26" t="s">
        <v>51</v>
      </c>
      <c r="D1" s="2"/>
      <c r="E1" s="2"/>
      <c r="F1" s="2"/>
      <c r="G1" s="2"/>
    </row>
    <row r="2" spans="1:10">
      <c r="A2" s="2"/>
      <c r="B2" s="2"/>
      <c r="C2" s="2"/>
      <c r="D2" s="2"/>
      <c r="E2" s="2"/>
      <c r="F2" s="2"/>
      <c r="G2" s="2"/>
    </row>
    <row r="3" spans="1:10">
      <c r="A3" s="130" t="s">
        <v>5</v>
      </c>
      <c r="B3" s="130" t="s">
        <v>36</v>
      </c>
      <c r="C3" s="130"/>
      <c r="D3" s="130" t="s">
        <v>52</v>
      </c>
      <c r="E3" s="130"/>
      <c r="F3" s="130"/>
      <c r="G3" s="23" t="s">
        <v>53</v>
      </c>
    </row>
    <row r="4" spans="1:10">
      <c r="A4" s="130"/>
      <c r="B4" s="23" t="s">
        <v>54</v>
      </c>
      <c r="C4" s="23" t="s">
        <v>55</v>
      </c>
      <c r="D4" s="23" t="s">
        <v>56</v>
      </c>
      <c r="E4" s="23" t="s">
        <v>57</v>
      </c>
      <c r="F4" s="23" t="s">
        <v>58</v>
      </c>
      <c r="G4" s="23" t="s">
        <v>59</v>
      </c>
    </row>
    <row r="5" spans="1:10">
      <c r="A5" s="12">
        <v>0</v>
      </c>
      <c r="B5" s="79">
        <v>1296.1300000000001</v>
      </c>
      <c r="C5" s="12">
        <f>B5/1000</f>
        <v>1.29613</v>
      </c>
      <c r="D5" s="12">
        <f>C5/1000*$B$1</f>
        <v>9.0729099999999993E-2</v>
      </c>
      <c r="E5" s="12">
        <f>D5/22.4</f>
        <v>4.0504062500000002E-3</v>
      </c>
      <c r="F5" s="12">
        <f>E5/Calculation!K$4*1000</f>
        <v>2.609530931456759E-3</v>
      </c>
      <c r="G5" s="12">
        <f>(0+F5)/2*30</f>
        <v>3.9142963971851387E-2</v>
      </c>
      <c r="I5" s="80">
        <v>-0.16666666666666666</v>
      </c>
      <c r="J5" t="s">
        <v>160</v>
      </c>
    </row>
    <row r="6" spans="1:10">
      <c r="A6" s="12">
        <v>0.5</v>
      </c>
      <c r="B6" s="79">
        <v>1843.48</v>
      </c>
      <c r="C6" s="12">
        <f t="shared" ref="C6:C69" si="0">B6/1000</f>
        <v>1.84348</v>
      </c>
      <c r="D6" s="12">
        <f>C6/1000*$B$1</f>
        <v>0.12904360000000001</v>
      </c>
      <c r="E6" s="12">
        <f>D6/22.4</f>
        <v>5.7608750000000004E-3</v>
      </c>
      <c r="F6" s="12">
        <f>E6/Calculation!K$4*1000</f>
        <v>3.7115243698717768E-3</v>
      </c>
      <c r="G6" s="12">
        <f>G5+(F6+F5)/2*30</f>
        <v>0.13395879349177942</v>
      </c>
      <c r="I6" s="80">
        <v>0.16666666666666666</v>
      </c>
      <c r="J6" t="s">
        <v>161</v>
      </c>
    </row>
    <row r="7" spans="1:10">
      <c r="A7" s="12">
        <v>1</v>
      </c>
      <c r="B7" s="79">
        <v>2833.41</v>
      </c>
      <c r="C7" s="12">
        <f t="shared" si="0"/>
        <v>2.8334099999999998</v>
      </c>
      <c r="D7" s="12">
        <f t="shared" ref="D7:D69" si="1">C7/1000*$B$1</f>
        <v>0.19833869999999998</v>
      </c>
      <c r="E7" s="12">
        <f t="shared" ref="E7:E69" si="2">D7/22.4</f>
        <v>8.8544062500000003E-3</v>
      </c>
      <c r="F7" s="12">
        <f>E7/Calculation!K$4*1000</f>
        <v>5.704575186515932E-3</v>
      </c>
      <c r="G7" s="12">
        <f t="shared" ref="G7:G70" si="3">G6+(F7+F6)/2*30</f>
        <v>0.27520028683759507</v>
      </c>
      <c r="I7" s="80">
        <v>2</v>
      </c>
      <c r="J7" t="s">
        <v>162</v>
      </c>
    </row>
    <row r="8" spans="1:10">
      <c r="A8" s="12">
        <v>1.5</v>
      </c>
      <c r="B8" s="79">
        <v>3868.51</v>
      </c>
      <c r="C8" s="12">
        <f t="shared" si="0"/>
        <v>3.8685100000000001</v>
      </c>
      <c r="D8" s="12">
        <f t="shared" si="1"/>
        <v>0.27079569999999997</v>
      </c>
      <c r="E8" s="12">
        <f t="shared" si="2"/>
        <v>1.208909375E-2</v>
      </c>
      <c r="F8" s="12">
        <f>E8/Calculation!K$4*1000</f>
        <v>7.7885678933824424E-3</v>
      </c>
      <c r="G8" s="12">
        <f t="shared" si="3"/>
        <v>0.47759743303607072</v>
      </c>
      <c r="I8" s="80">
        <v>3.3333333333333335</v>
      </c>
      <c r="J8" t="s">
        <v>163</v>
      </c>
    </row>
    <row r="9" spans="1:10">
      <c r="A9" s="12">
        <v>2</v>
      </c>
      <c r="B9" s="79">
        <v>4465.54</v>
      </c>
      <c r="C9" s="12">
        <f t="shared" si="0"/>
        <v>4.4655399999999998</v>
      </c>
      <c r="D9" s="12">
        <f t="shared" si="1"/>
        <v>0.31258779999999997</v>
      </c>
      <c r="E9" s="12">
        <f t="shared" si="2"/>
        <v>1.39548125E-2</v>
      </c>
      <c r="F9" s="12">
        <f>E9/Calculation!K$5*1000</f>
        <v>9.282911507926702E-3</v>
      </c>
      <c r="G9" s="12">
        <f t="shared" si="3"/>
        <v>0.7336696240557079</v>
      </c>
      <c r="I9" s="80">
        <v>4.666666666666667</v>
      </c>
      <c r="J9" t="s">
        <v>164</v>
      </c>
    </row>
    <row r="10" spans="1:10">
      <c r="A10" s="12">
        <v>2.5</v>
      </c>
      <c r="B10" s="79">
        <v>4930.7</v>
      </c>
      <c r="C10" s="12">
        <f t="shared" si="0"/>
        <v>4.9306999999999999</v>
      </c>
      <c r="D10" s="12">
        <f t="shared" si="1"/>
        <v>0.34514899999999998</v>
      </c>
      <c r="E10" s="12">
        <f t="shared" si="2"/>
        <v>1.54084375E-2</v>
      </c>
      <c r="F10" s="12">
        <f>E10/Calculation!K$5*1000</f>
        <v>1.0249880590507349E-2</v>
      </c>
      <c r="G10" s="12">
        <f t="shared" si="3"/>
        <v>1.0266615055322186</v>
      </c>
      <c r="I10" s="80">
        <v>6</v>
      </c>
      <c r="J10" t="s">
        <v>165</v>
      </c>
    </row>
    <row r="11" spans="1:10">
      <c r="A11" s="12">
        <v>3</v>
      </c>
      <c r="B11" s="79">
        <v>6227.73</v>
      </c>
      <c r="C11" s="12">
        <f t="shared" si="0"/>
        <v>6.2277299999999993</v>
      </c>
      <c r="D11" s="12">
        <f t="shared" si="1"/>
        <v>0.43594109999999991</v>
      </c>
      <c r="E11" s="12">
        <f t="shared" si="2"/>
        <v>1.9461656249999997E-2</v>
      </c>
      <c r="F11" s="12">
        <f>E11/Calculation!K$5*1000</f>
        <v>1.2946131147691062E-2</v>
      </c>
      <c r="G11" s="12">
        <f t="shared" si="3"/>
        <v>1.3746016816051947</v>
      </c>
      <c r="I11" s="80">
        <v>7.333333333333333</v>
      </c>
      <c r="J11" t="s">
        <v>166</v>
      </c>
    </row>
    <row r="12" spans="1:10">
      <c r="A12" s="12">
        <v>3.5</v>
      </c>
      <c r="B12" s="79">
        <v>8411.7199999999993</v>
      </c>
      <c r="C12" s="12">
        <f t="shared" si="0"/>
        <v>8.411719999999999</v>
      </c>
      <c r="D12" s="12">
        <f t="shared" si="1"/>
        <v>0.58882039999999991</v>
      </c>
      <c r="E12" s="12">
        <f t="shared" si="2"/>
        <v>2.6286624999999997E-2</v>
      </c>
      <c r="F12" s="12">
        <f>E12/Calculation!K$6*1000</f>
        <v>1.8073450921570079E-2</v>
      </c>
      <c r="G12" s="12">
        <f t="shared" si="3"/>
        <v>1.8398954126441118</v>
      </c>
      <c r="I12" s="80">
        <v>8.6666666666666661</v>
      </c>
      <c r="J12" t="s">
        <v>167</v>
      </c>
    </row>
    <row r="13" spans="1:10">
      <c r="A13" s="12">
        <v>4</v>
      </c>
      <c r="B13" s="79">
        <v>13484.22</v>
      </c>
      <c r="C13" s="12">
        <f t="shared" si="0"/>
        <v>13.484219999999999</v>
      </c>
      <c r="D13" s="12">
        <f t="shared" si="1"/>
        <v>0.94389539999999983</v>
      </c>
      <c r="E13" s="12">
        <f t="shared" si="2"/>
        <v>4.2138187499999993E-2</v>
      </c>
      <c r="F13" s="12">
        <f>E13/Calculation!K$6*1000</f>
        <v>2.8972242108112688E-2</v>
      </c>
      <c r="G13" s="12">
        <f t="shared" si="3"/>
        <v>2.5455808080893534</v>
      </c>
      <c r="I13" s="80">
        <v>10</v>
      </c>
      <c r="J13" t="s">
        <v>168</v>
      </c>
    </row>
    <row r="14" spans="1:10">
      <c r="A14" s="12">
        <v>4.5</v>
      </c>
      <c r="B14" s="79">
        <v>16654.54</v>
      </c>
      <c r="C14" s="12">
        <f t="shared" si="0"/>
        <v>16.654540000000001</v>
      </c>
      <c r="D14" s="12">
        <f t="shared" si="1"/>
        <v>1.1658178000000001</v>
      </c>
      <c r="E14" s="12">
        <f t="shared" si="2"/>
        <v>5.2045437500000007E-2</v>
      </c>
      <c r="F14" s="12">
        <f>E14/Calculation!K$6*1000</f>
        <v>3.5784002714227978E-2</v>
      </c>
      <c r="G14" s="12">
        <f t="shared" si="3"/>
        <v>3.5169244804244633</v>
      </c>
      <c r="I14" s="80">
        <v>11.333333333333334</v>
      </c>
      <c r="J14" t="s">
        <v>169</v>
      </c>
    </row>
    <row r="15" spans="1:10">
      <c r="A15" s="12">
        <v>5</v>
      </c>
      <c r="B15" s="79">
        <v>18311.05</v>
      </c>
      <c r="C15" s="12">
        <f t="shared" si="0"/>
        <v>18.311049999999998</v>
      </c>
      <c r="D15" s="12">
        <f t="shared" si="1"/>
        <v>1.2817734999999999</v>
      </c>
      <c r="E15" s="12">
        <f t="shared" si="2"/>
        <v>5.7222031249999999E-2</v>
      </c>
      <c r="F15" s="12">
        <f>E15/Calculation!K$7*1000</f>
        <v>4.0820995125839518E-2</v>
      </c>
      <c r="G15" s="12">
        <f t="shared" si="3"/>
        <v>4.6659994480254756</v>
      </c>
      <c r="I15" s="80">
        <v>12.666666666666666</v>
      </c>
      <c r="J15" t="s">
        <v>170</v>
      </c>
    </row>
    <row r="16" spans="1:10">
      <c r="A16" s="12">
        <v>5.5</v>
      </c>
      <c r="B16" s="79">
        <v>22180.46</v>
      </c>
      <c r="C16" s="12">
        <f t="shared" si="0"/>
        <v>22.18046</v>
      </c>
      <c r="D16" s="12">
        <f t="shared" si="1"/>
        <v>1.5526321999999999</v>
      </c>
      <c r="E16" s="12">
        <f t="shared" si="2"/>
        <v>6.9313937500000006E-2</v>
      </c>
      <c r="F16" s="12">
        <f>E16/Calculation!K$7*1000</f>
        <v>4.9447107050053299E-2</v>
      </c>
      <c r="G16" s="12">
        <f t="shared" si="3"/>
        <v>6.020020980663868</v>
      </c>
      <c r="I16" s="80">
        <v>14</v>
      </c>
      <c r="J16" t="s">
        <v>171</v>
      </c>
    </row>
    <row r="17" spans="1:10">
      <c r="A17" s="12">
        <v>6</v>
      </c>
      <c r="B17" s="79">
        <v>12875.45</v>
      </c>
      <c r="C17" s="12">
        <f t="shared" si="0"/>
        <v>12.875450000000001</v>
      </c>
      <c r="D17" s="12">
        <f t="shared" si="1"/>
        <v>0.90128149999999996</v>
      </c>
      <c r="E17" s="12">
        <f t="shared" si="2"/>
        <v>4.0235781249999998E-2</v>
      </c>
      <c r="F17" s="12">
        <f>E17/Calculation!K$8*1000</f>
        <v>2.979362763587793E-2</v>
      </c>
      <c r="G17" s="12">
        <f t="shared" si="3"/>
        <v>7.2086320009528366</v>
      </c>
      <c r="I17" s="80">
        <v>15.333333333333334</v>
      </c>
      <c r="J17" t="s">
        <v>172</v>
      </c>
    </row>
    <row r="18" spans="1:10">
      <c r="A18" s="12">
        <v>6.5</v>
      </c>
      <c r="B18" s="79">
        <v>13632.35</v>
      </c>
      <c r="C18" s="12">
        <f t="shared" si="0"/>
        <v>13.632350000000001</v>
      </c>
      <c r="D18" s="12">
        <f t="shared" si="1"/>
        <v>0.95426450000000007</v>
      </c>
      <c r="E18" s="12">
        <f t="shared" si="2"/>
        <v>4.2601093750000006E-2</v>
      </c>
      <c r="F18" s="12">
        <f>E18/Calculation!K$8*1000</f>
        <v>3.15450846146706E-2</v>
      </c>
      <c r="G18" s="12">
        <f t="shared" si="3"/>
        <v>8.1287126847110649</v>
      </c>
      <c r="I18" s="80">
        <v>16.666666666666668</v>
      </c>
      <c r="J18" t="s">
        <v>173</v>
      </c>
    </row>
    <row r="19" spans="1:10">
      <c r="A19" s="12">
        <v>7</v>
      </c>
      <c r="B19" s="79">
        <v>15625.77</v>
      </c>
      <c r="C19" s="12">
        <f t="shared" si="0"/>
        <v>15.625770000000001</v>
      </c>
      <c r="D19" s="12">
        <f t="shared" si="1"/>
        <v>1.0938038999999999</v>
      </c>
      <c r="E19" s="12">
        <f t="shared" si="2"/>
        <v>4.8830531250000003E-2</v>
      </c>
      <c r="F19" s="12">
        <f>E19/Calculation!K$8*1000</f>
        <v>3.6157833155646774E-2</v>
      </c>
      <c r="G19" s="12">
        <f t="shared" si="3"/>
        <v>9.1442564512658251</v>
      </c>
      <c r="I19" s="80">
        <v>18</v>
      </c>
      <c r="J19" t="s">
        <v>174</v>
      </c>
    </row>
    <row r="20" spans="1:10">
      <c r="A20" s="12">
        <v>7.5</v>
      </c>
      <c r="B20" s="79">
        <v>17248.86</v>
      </c>
      <c r="C20" s="12">
        <f t="shared" si="0"/>
        <v>17.248860000000001</v>
      </c>
      <c r="D20" s="12">
        <f t="shared" si="1"/>
        <v>1.2074202000000001</v>
      </c>
      <c r="E20" s="12">
        <f t="shared" si="2"/>
        <v>5.3902687500000004E-2</v>
      </c>
      <c r="F20" s="12">
        <f>E20/Calculation!K$9*1000</f>
        <v>4.1444165928359887E-2</v>
      </c>
      <c r="G20" s="12">
        <f t="shared" si="3"/>
        <v>10.308286437525926</v>
      </c>
      <c r="I20" s="80">
        <v>24</v>
      </c>
      <c r="J20" t="s">
        <v>175</v>
      </c>
    </row>
    <row r="21" spans="1:10">
      <c r="A21" s="12">
        <v>8</v>
      </c>
      <c r="B21" s="79">
        <v>23104.46</v>
      </c>
      <c r="C21" s="12">
        <f t="shared" si="0"/>
        <v>23.10446</v>
      </c>
      <c r="D21" s="12">
        <f t="shared" si="1"/>
        <v>1.6173122</v>
      </c>
      <c r="E21" s="12">
        <f t="shared" si="2"/>
        <v>7.2201437500000007E-2</v>
      </c>
      <c r="F21" s="12">
        <f>E21/Calculation!K$9*1000</f>
        <v>5.5513528078096411E-2</v>
      </c>
      <c r="G21" s="12">
        <f t="shared" si="3"/>
        <v>11.76265184762277</v>
      </c>
      <c r="I21" s="80">
        <v>30.25</v>
      </c>
      <c r="J21" t="s">
        <v>176</v>
      </c>
    </row>
    <row r="22" spans="1:10">
      <c r="A22" s="12">
        <v>8.5</v>
      </c>
      <c r="B22" s="79">
        <v>25562.13</v>
      </c>
      <c r="C22" s="12">
        <f t="shared" si="0"/>
        <v>25.56213</v>
      </c>
      <c r="D22" s="12">
        <f t="shared" si="1"/>
        <v>1.7893490999999999</v>
      </c>
      <c r="E22" s="12">
        <f t="shared" si="2"/>
        <v>7.9881656250000002E-2</v>
      </c>
      <c r="F22" s="12">
        <f>E22/Calculation!K$9*1000</f>
        <v>6.1418618807405602E-2</v>
      </c>
      <c r="G22" s="12">
        <f t="shared" si="3"/>
        <v>13.516634050905301</v>
      </c>
      <c r="I22" s="80">
        <v>48</v>
      </c>
      <c r="J22" t="s">
        <v>177</v>
      </c>
    </row>
    <row r="23" spans="1:10">
      <c r="A23" s="12">
        <v>9</v>
      </c>
      <c r="B23" s="79">
        <v>35455.14</v>
      </c>
      <c r="C23" s="12">
        <f t="shared" si="0"/>
        <v>35.45514</v>
      </c>
      <c r="D23" s="12">
        <f t="shared" si="1"/>
        <v>2.4818598000000001</v>
      </c>
      <c r="E23" s="12">
        <f t="shared" si="2"/>
        <v>0.11079731250000001</v>
      </c>
      <c r="F23" s="12">
        <f>E23/Calculation!K$10*1000</f>
        <v>8.7863121823407511E-2</v>
      </c>
      <c r="G23" s="12">
        <f t="shared" si="3"/>
        <v>15.755860160367497</v>
      </c>
    </row>
    <row r="24" spans="1:10">
      <c r="A24" s="12">
        <v>9.5</v>
      </c>
      <c r="B24" s="79">
        <v>27449.87</v>
      </c>
      <c r="C24" s="12">
        <f t="shared" si="0"/>
        <v>27.449870000000001</v>
      </c>
      <c r="D24" s="12">
        <f t="shared" si="1"/>
        <v>1.9214909</v>
      </c>
      <c r="E24" s="12">
        <f t="shared" si="2"/>
        <v>8.5780843750000002E-2</v>
      </c>
      <c r="F24" s="12">
        <f>E24/Calculation!K$10*1000</f>
        <v>6.8024869506838767E-2</v>
      </c>
      <c r="G24" s="12">
        <f t="shared" si="3"/>
        <v>18.094180030321191</v>
      </c>
    </row>
    <row r="25" spans="1:10">
      <c r="A25" s="12">
        <v>10</v>
      </c>
      <c r="B25" s="79">
        <v>21913.11</v>
      </c>
      <c r="C25" s="12">
        <f t="shared" si="0"/>
        <v>21.91311</v>
      </c>
      <c r="D25" s="12">
        <f t="shared" si="1"/>
        <v>1.5339176999999999</v>
      </c>
      <c r="E25" s="12">
        <f t="shared" si="2"/>
        <v>6.8478468750000007E-2</v>
      </c>
      <c r="F25" s="12">
        <f>E25/Calculation!K$11*1000</f>
        <v>5.6258555298004276E-2</v>
      </c>
      <c r="G25" s="12">
        <f t="shared" si="3"/>
        <v>19.958431402393835</v>
      </c>
    </row>
    <row r="26" spans="1:10">
      <c r="A26" s="12">
        <v>10.5</v>
      </c>
      <c r="B26" s="79">
        <v>21945.62</v>
      </c>
      <c r="C26" s="12">
        <f t="shared" si="0"/>
        <v>21.945619999999998</v>
      </c>
      <c r="D26" s="12">
        <f t="shared" si="1"/>
        <v>1.5361933999999999</v>
      </c>
      <c r="E26" s="12">
        <f t="shared" si="2"/>
        <v>6.8580062499999997E-2</v>
      </c>
      <c r="F26" s="12">
        <f>E26/Calculation!K$11*1000</f>
        <v>5.6342019746124058E-2</v>
      </c>
      <c r="G26" s="12">
        <f t="shared" si="3"/>
        <v>21.647440028055758</v>
      </c>
    </row>
    <row r="27" spans="1:10">
      <c r="A27" s="12">
        <v>11</v>
      </c>
      <c r="B27" s="79">
        <v>18917.11</v>
      </c>
      <c r="C27" s="12">
        <f t="shared" si="0"/>
        <v>18.917110000000001</v>
      </c>
      <c r="D27" s="12">
        <f t="shared" si="1"/>
        <v>1.3241977</v>
      </c>
      <c r="E27" s="12">
        <f t="shared" si="2"/>
        <v>5.9115968750000004E-2</v>
      </c>
      <c r="F27" s="12">
        <f>E27/Calculation!K$11*1000</f>
        <v>4.8566783948669527E-2</v>
      </c>
      <c r="G27" s="12">
        <f t="shared" si="3"/>
        <v>23.221072083477662</v>
      </c>
    </row>
    <row r="28" spans="1:10">
      <c r="A28" s="12">
        <v>11.5</v>
      </c>
      <c r="B28" s="79">
        <v>16113.51</v>
      </c>
      <c r="C28" s="12">
        <f t="shared" si="0"/>
        <v>16.113510000000002</v>
      </c>
      <c r="D28" s="12">
        <f t="shared" si="1"/>
        <v>1.1279457000000002</v>
      </c>
      <c r="E28" s="12">
        <f t="shared" si="2"/>
        <v>5.0354718750000013E-2</v>
      </c>
      <c r="F28" s="12">
        <f>E28/Calculation!K$12*1000</f>
        <v>4.2902388861368441E-2</v>
      </c>
      <c r="G28" s="12">
        <f t="shared" si="3"/>
        <v>24.593109675628231</v>
      </c>
    </row>
    <row r="29" spans="1:10">
      <c r="A29" s="12">
        <v>12</v>
      </c>
      <c r="B29" s="79">
        <v>10129.65</v>
      </c>
      <c r="C29" s="12">
        <f t="shared" si="0"/>
        <v>10.12965</v>
      </c>
      <c r="D29" s="12">
        <f t="shared" si="1"/>
        <v>0.70907550000000008</v>
      </c>
      <c r="E29" s="12">
        <f t="shared" si="2"/>
        <v>3.1655156250000004E-2</v>
      </c>
      <c r="F29" s="12">
        <f>E29/Calculation!K$12*1000</f>
        <v>2.69702990428256E-2</v>
      </c>
      <c r="G29" s="12">
        <f t="shared" si="3"/>
        <v>25.64119999419114</v>
      </c>
    </row>
    <row r="30" spans="1:10">
      <c r="A30" s="12">
        <v>12.5</v>
      </c>
      <c r="B30" s="79">
        <v>6840.11</v>
      </c>
      <c r="C30" s="12">
        <f t="shared" si="0"/>
        <v>6.8401099999999992</v>
      </c>
      <c r="D30" s="12">
        <f t="shared" si="1"/>
        <v>0.47880769999999995</v>
      </c>
      <c r="E30" s="12">
        <f t="shared" si="2"/>
        <v>2.1375343749999998E-2</v>
      </c>
      <c r="F30" s="12">
        <f>E30/Calculation!K$12*1000</f>
        <v>1.8211864396679232E-2</v>
      </c>
      <c r="G30" s="12">
        <f t="shared" si="3"/>
        <v>26.318932445783712</v>
      </c>
    </row>
    <row r="31" spans="1:10">
      <c r="A31" s="12">
        <v>13</v>
      </c>
      <c r="B31" s="79">
        <v>4750.96</v>
      </c>
      <c r="C31" s="12">
        <f t="shared" si="0"/>
        <v>4.7509600000000001</v>
      </c>
      <c r="D31" s="12">
        <f t="shared" si="1"/>
        <v>0.33256720000000001</v>
      </c>
      <c r="E31" s="12">
        <f t="shared" si="2"/>
        <v>1.4846750000000001E-2</v>
      </c>
      <c r="F31" s="12">
        <f>E31/Calculation!K$13*1000</f>
        <v>1.3188881608953866E-2</v>
      </c>
      <c r="G31" s="12">
        <f t="shared" si="3"/>
        <v>26.789943635868209</v>
      </c>
    </row>
    <row r="32" spans="1:10">
      <c r="A32" s="12">
        <v>13.5</v>
      </c>
      <c r="B32" s="79">
        <v>3322.06</v>
      </c>
      <c r="C32" s="12">
        <f t="shared" si="0"/>
        <v>3.32206</v>
      </c>
      <c r="D32" s="12">
        <f t="shared" si="1"/>
        <v>0.23254420000000001</v>
      </c>
      <c r="E32" s="12">
        <f t="shared" si="2"/>
        <v>1.0381437500000002E-2</v>
      </c>
      <c r="F32" s="12">
        <f>E32/Calculation!K$13*1000</f>
        <v>9.2221900495565706E-3</v>
      </c>
      <c r="G32" s="12">
        <f t="shared" si="3"/>
        <v>27.126109710745865</v>
      </c>
    </row>
    <row r="33" spans="1:7">
      <c r="A33" s="12">
        <v>14</v>
      </c>
      <c r="B33" s="79">
        <v>2090.96</v>
      </c>
      <c r="C33" s="12">
        <f t="shared" si="0"/>
        <v>2.0909599999999999</v>
      </c>
      <c r="D33" s="12">
        <f t="shared" si="1"/>
        <v>0.14636719999999998</v>
      </c>
      <c r="E33" s="12">
        <f t="shared" si="2"/>
        <v>6.5342499999999993E-3</v>
      </c>
      <c r="F33" s="12">
        <f>E33/Calculation!K$14*1000</f>
        <v>6.0349813404798024E-3</v>
      </c>
      <c r="G33" s="12">
        <f t="shared" si="3"/>
        <v>27.354967281596412</v>
      </c>
    </row>
    <row r="34" spans="1:7">
      <c r="A34" s="12">
        <v>14.5</v>
      </c>
      <c r="B34" s="79">
        <v>1068.51</v>
      </c>
      <c r="C34" s="12">
        <f t="shared" si="0"/>
        <v>1.0685100000000001</v>
      </c>
      <c r="D34" s="12">
        <f t="shared" si="1"/>
        <v>7.4795700000000007E-2</v>
      </c>
      <c r="E34" s="12">
        <f t="shared" si="2"/>
        <v>3.3390937500000005E-3</v>
      </c>
      <c r="F34" s="12">
        <f>E34/Calculation!K$14*1000</f>
        <v>3.0839604354536074E-3</v>
      </c>
      <c r="G34" s="12">
        <f t="shared" si="3"/>
        <v>27.491751408235412</v>
      </c>
    </row>
    <row r="35" spans="1:7">
      <c r="A35" s="12">
        <v>15</v>
      </c>
      <c r="B35" s="79">
        <v>310.70999999999998</v>
      </c>
      <c r="C35" s="12">
        <f t="shared" si="0"/>
        <v>0.31070999999999999</v>
      </c>
      <c r="D35" s="12">
        <f t="shared" si="1"/>
        <v>2.17497E-2</v>
      </c>
      <c r="E35" s="12">
        <f t="shared" si="2"/>
        <v>9.7096875000000004E-4</v>
      </c>
      <c r="F35" s="12">
        <f>E35/Calculation!K$14*1000</f>
        <v>8.9677901648069767E-4</v>
      </c>
      <c r="G35" s="12">
        <f t="shared" si="3"/>
        <v>27.551462500014427</v>
      </c>
    </row>
    <row r="36" spans="1:7">
      <c r="A36" s="12">
        <v>15.5</v>
      </c>
      <c r="B36" s="79">
        <v>208.64</v>
      </c>
      <c r="C36" s="12">
        <f t="shared" si="0"/>
        <v>0.20863999999999999</v>
      </c>
      <c r="D36" s="12">
        <f t="shared" si="1"/>
        <v>1.4604799999999999E-2</v>
      </c>
      <c r="E36" s="12">
        <f t="shared" si="2"/>
        <v>6.5200000000000002E-4</v>
      </c>
      <c r="F36" s="12">
        <f>E36/Calculation!K$15*1000</f>
        <v>6.2478402131857112E-4</v>
      </c>
      <c r="G36" s="12">
        <f t="shared" si="3"/>
        <v>27.574285945581416</v>
      </c>
    </row>
    <row r="37" spans="1:7">
      <c r="A37" s="12">
        <v>16</v>
      </c>
      <c r="B37" s="79">
        <v>239.35</v>
      </c>
      <c r="C37" s="12">
        <f t="shared" si="0"/>
        <v>0.23935000000000001</v>
      </c>
      <c r="D37" s="12">
        <f t="shared" si="1"/>
        <v>1.6754500000000002E-2</v>
      </c>
      <c r="E37" s="12">
        <f t="shared" si="2"/>
        <v>7.4796875000000015E-4</v>
      </c>
      <c r="F37" s="12">
        <f>E37/Calculation!K$15*1000</f>
        <v>7.1674681510065189E-4</v>
      </c>
      <c r="G37" s="12">
        <f t="shared" si="3"/>
        <v>27.594408908127704</v>
      </c>
    </row>
    <row r="38" spans="1:7">
      <c r="A38" s="12">
        <v>16.5</v>
      </c>
      <c r="B38" s="79">
        <v>267.35000000000002</v>
      </c>
      <c r="C38" s="12">
        <f t="shared" si="0"/>
        <v>0.26735000000000003</v>
      </c>
      <c r="D38" s="12">
        <f t="shared" si="1"/>
        <v>1.8714500000000002E-2</v>
      </c>
      <c r="E38" s="12">
        <f t="shared" si="2"/>
        <v>8.3546875000000017E-4</v>
      </c>
      <c r="F38" s="12">
        <f>E38/Calculation!K$15*1000</f>
        <v>8.0059436397392637E-4</v>
      </c>
      <c r="G38" s="12">
        <f t="shared" si="3"/>
        <v>27.617169025813823</v>
      </c>
    </row>
    <row r="39" spans="1:7">
      <c r="A39" s="12">
        <v>17</v>
      </c>
      <c r="B39" s="79">
        <v>275.48</v>
      </c>
      <c r="C39" s="12">
        <f t="shared" si="0"/>
        <v>0.27548</v>
      </c>
      <c r="D39" s="12">
        <f t="shared" si="1"/>
        <v>1.9283599999999998E-2</v>
      </c>
      <c r="E39" s="12">
        <f t="shared" si="2"/>
        <v>8.6087499999999999E-4</v>
      </c>
      <c r="F39" s="12">
        <f>E39/Calculation!K$16*1000</f>
        <v>8.6672880914107531E-4</v>
      </c>
      <c r="G39" s="12">
        <f t="shared" si="3"/>
        <v>27.642178873410547</v>
      </c>
    </row>
    <row r="40" spans="1:7">
      <c r="A40" s="12">
        <v>17.5</v>
      </c>
      <c r="B40" s="79">
        <v>283.61</v>
      </c>
      <c r="C40" s="12">
        <f t="shared" si="0"/>
        <v>0.28361000000000003</v>
      </c>
      <c r="D40" s="12">
        <f t="shared" si="1"/>
        <v>1.9852700000000001E-2</v>
      </c>
      <c r="E40" s="12">
        <f t="shared" si="2"/>
        <v>8.8628125000000013E-4</v>
      </c>
      <c r="F40" s="12">
        <f>E40/Calculation!K$16*1000</f>
        <v>8.9230781748402932E-4</v>
      </c>
      <c r="G40" s="12">
        <f t="shared" si="3"/>
        <v>27.668564422809922</v>
      </c>
    </row>
    <row r="41" spans="1:7">
      <c r="A41" s="12">
        <v>18</v>
      </c>
      <c r="B41" s="79">
        <v>324.26</v>
      </c>
      <c r="C41" s="12">
        <f t="shared" si="0"/>
        <v>0.32425999999999999</v>
      </c>
      <c r="D41" s="12">
        <f t="shared" si="1"/>
        <v>2.2698199999999998E-2</v>
      </c>
      <c r="E41" s="12">
        <f t="shared" si="2"/>
        <v>1.0133124999999999E-3</v>
      </c>
      <c r="F41" s="12">
        <f>E41/Calculation!K$17*1000</f>
        <v>1.0778357263686018E-3</v>
      </c>
      <c r="G41" s="12">
        <f t="shared" si="3"/>
        <v>27.698116575967713</v>
      </c>
    </row>
    <row r="42" spans="1:7">
      <c r="A42" s="12">
        <v>18.5</v>
      </c>
      <c r="B42" s="79">
        <v>312.52</v>
      </c>
      <c r="C42" s="12">
        <f t="shared" si="0"/>
        <v>0.31251999999999996</v>
      </c>
      <c r="D42" s="12">
        <f t="shared" si="1"/>
        <v>2.1876399999999997E-2</v>
      </c>
      <c r="E42" s="12">
        <f t="shared" si="2"/>
        <v>9.7662499999999985E-4</v>
      </c>
      <c r="F42" s="12">
        <f>E42/Calculation!K$17*1000</f>
        <v>1.0388121297869471E-3</v>
      </c>
      <c r="G42" s="12">
        <f t="shared" si="3"/>
        <v>27.729866293810048</v>
      </c>
    </row>
    <row r="43" spans="1:7">
      <c r="A43" s="12">
        <v>19</v>
      </c>
      <c r="B43" s="79">
        <v>270.06</v>
      </c>
      <c r="C43" s="12">
        <f t="shared" si="0"/>
        <v>0.27006000000000002</v>
      </c>
      <c r="D43" s="12">
        <f t="shared" si="1"/>
        <v>1.8904200000000003E-2</v>
      </c>
      <c r="E43" s="12">
        <f t="shared" si="2"/>
        <v>8.4393750000000018E-4</v>
      </c>
      <c r="F43" s="12">
        <f>E43/Calculation!K$17*1000</f>
        <v>8.9767568082126917E-4</v>
      </c>
      <c r="G43" s="12">
        <f t="shared" si="3"/>
        <v>27.75891361096917</v>
      </c>
    </row>
    <row r="44" spans="1:7">
      <c r="A44" s="12">
        <v>19.5</v>
      </c>
      <c r="B44" s="79">
        <v>357.68</v>
      </c>
      <c r="C44" s="12">
        <f t="shared" si="0"/>
        <v>0.35768</v>
      </c>
      <c r="D44" s="12">
        <f t="shared" si="1"/>
        <v>2.50376E-2</v>
      </c>
      <c r="E44" s="12">
        <f t="shared" si="2"/>
        <v>1.11775E-3</v>
      </c>
      <c r="F44" s="12">
        <f>E44/Calculation!K$17*1000</f>
        <v>1.1889233411691903E-3</v>
      </c>
      <c r="G44" s="12">
        <f t="shared" si="3"/>
        <v>27.790212596299028</v>
      </c>
    </row>
    <row r="45" spans="1:7">
      <c r="A45" s="12">
        <v>20</v>
      </c>
      <c r="B45" s="79">
        <v>309.81</v>
      </c>
      <c r="C45" s="12">
        <f t="shared" si="0"/>
        <v>0.30981000000000003</v>
      </c>
      <c r="D45" s="12">
        <f t="shared" si="1"/>
        <v>2.1686700000000003E-2</v>
      </c>
      <c r="E45" s="12">
        <f t="shared" si="2"/>
        <v>9.6815625000000016E-4</v>
      </c>
      <c r="F45" s="12">
        <f>E45/Calculation!K$17*1000</f>
        <v>1.0298041275095809E-3</v>
      </c>
      <c r="G45" s="12">
        <f t="shared" si="3"/>
        <v>27.823493508329211</v>
      </c>
    </row>
    <row r="46" spans="1:7">
      <c r="A46" s="12">
        <v>20.5</v>
      </c>
      <c r="B46" s="79">
        <v>318.83999999999997</v>
      </c>
      <c r="C46" s="12">
        <f t="shared" si="0"/>
        <v>0.31883999999999996</v>
      </c>
      <c r="D46" s="12">
        <f t="shared" si="1"/>
        <v>2.23188E-2</v>
      </c>
      <c r="E46" s="12">
        <f t="shared" si="2"/>
        <v>9.9637500000000008E-4</v>
      </c>
      <c r="F46" s="12">
        <f>E46/Calculation!K$17*1000</f>
        <v>1.0598197218138689E-3</v>
      </c>
      <c r="G46" s="12">
        <f t="shared" si="3"/>
        <v>27.854837866069062</v>
      </c>
    </row>
    <row r="47" spans="1:7">
      <c r="A47" s="12">
        <v>21</v>
      </c>
      <c r="B47" s="79">
        <v>289.02999999999997</v>
      </c>
      <c r="C47" s="12">
        <f t="shared" si="0"/>
        <v>0.28902999999999995</v>
      </c>
      <c r="D47" s="12">
        <f t="shared" si="1"/>
        <v>2.0232099999999996E-2</v>
      </c>
      <c r="E47" s="12">
        <f t="shared" si="2"/>
        <v>9.0321874999999983E-4</v>
      </c>
      <c r="F47" s="12">
        <f>E47/Calculation!K$17*1000</f>
        <v>9.6073169676283551E-4</v>
      </c>
      <c r="G47" s="12">
        <f t="shared" si="3"/>
        <v>27.885146137347711</v>
      </c>
    </row>
    <row r="48" spans="1:7">
      <c r="A48" s="12">
        <v>21.5</v>
      </c>
      <c r="B48" s="79">
        <v>325.16000000000003</v>
      </c>
      <c r="C48" s="12">
        <f t="shared" si="0"/>
        <v>0.32516</v>
      </c>
      <c r="D48" s="12">
        <f t="shared" si="1"/>
        <v>2.2761200000000002E-2</v>
      </c>
      <c r="E48" s="12">
        <f t="shared" si="2"/>
        <v>1.0161250000000001E-3</v>
      </c>
      <c r="F48" s="12">
        <f>E48/Calculation!K$17*1000</f>
        <v>1.0808273138407905E-3</v>
      </c>
      <c r="G48" s="12">
        <f t="shared" si="3"/>
        <v>27.915769522506764</v>
      </c>
    </row>
    <row r="49" spans="1:7">
      <c r="A49" s="12">
        <v>22</v>
      </c>
      <c r="B49" s="79">
        <v>298.97000000000003</v>
      </c>
      <c r="C49" s="12">
        <f t="shared" si="0"/>
        <v>0.29897000000000001</v>
      </c>
      <c r="D49" s="12">
        <f t="shared" si="1"/>
        <v>2.0927900000000003E-2</v>
      </c>
      <c r="E49" s="12">
        <f t="shared" si="2"/>
        <v>9.3428125000000022E-4</v>
      </c>
      <c r="F49" s="12">
        <f>E49/Calculation!K$17*1000</f>
        <v>9.9377211840011412E-4</v>
      </c>
      <c r="G49" s="12">
        <f t="shared" si="3"/>
        <v>27.946888513990377</v>
      </c>
    </row>
    <row r="50" spans="1:7">
      <c r="A50" s="12">
        <v>22.5</v>
      </c>
      <c r="B50" s="79">
        <v>308</v>
      </c>
      <c r="C50" s="12">
        <f t="shared" si="0"/>
        <v>0.308</v>
      </c>
      <c r="D50" s="12">
        <f t="shared" si="1"/>
        <v>2.1559999999999999E-2</v>
      </c>
      <c r="E50" s="12">
        <f t="shared" si="2"/>
        <v>9.6250000000000003E-4</v>
      </c>
      <c r="F50" s="12">
        <f>E50/Calculation!K$17*1000</f>
        <v>1.0237877127044022E-3</v>
      </c>
      <c r="G50" s="12">
        <f t="shared" si="3"/>
        <v>27.977151911456943</v>
      </c>
    </row>
    <row r="51" spans="1:7">
      <c r="A51" s="12">
        <v>23</v>
      </c>
      <c r="B51" s="79">
        <v>333.29</v>
      </c>
      <c r="C51" s="12">
        <f t="shared" si="0"/>
        <v>0.33329000000000003</v>
      </c>
      <c r="D51" s="12">
        <f t="shared" si="1"/>
        <v>2.3330300000000002E-2</v>
      </c>
      <c r="E51" s="12">
        <f t="shared" si="2"/>
        <v>1.0415312500000001E-3</v>
      </c>
      <c r="F51" s="12">
        <f>E51/Calculation!K$17*1000</f>
        <v>1.1078513206728903E-3</v>
      </c>
      <c r="G51" s="12">
        <f t="shared" si="3"/>
        <v>28.009126496957602</v>
      </c>
    </row>
    <row r="52" spans="1:7">
      <c r="A52" s="12">
        <v>23.5</v>
      </c>
      <c r="B52" s="79">
        <v>354.06</v>
      </c>
      <c r="C52" s="12">
        <f t="shared" si="0"/>
        <v>0.35405999999999999</v>
      </c>
      <c r="D52" s="12">
        <f t="shared" si="1"/>
        <v>2.4784199999999999E-2</v>
      </c>
      <c r="E52" s="12">
        <f t="shared" si="2"/>
        <v>1.1064375E-3</v>
      </c>
      <c r="F52" s="12">
        <f>E52/Calculation!K$17*1000</f>
        <v>1.1768905115588334E-3</v>
      </c>
      <c r="G52" s="12">
        <f t="shared" si="3"/>
        <v>28.043397624441077</v>
      </c>
    </row>
    <row r="53" spans="1:7">
      <c r="A53" s="12">
        <v>24</v>
      </c>
      <c r="B53" s="79">
        <v>378.45</v>
      </c>
      <c r="C53" s="12">
        <f t="shared" si="0"/>
        <v>0.37845000000000001</v>
      </c>
      <c r="D53" s="12">
        <f t="shared" si="1"/>
        <v>2.6491500000000001E-2</v>
      </c>
      <c r="E53" s="12">
        <f t="shared" si="2"/>
        <v>1.1826562500000001E-3</v>
      </c>
      <c r="F53" s="12">
        <f>E53/Calculation!K$18*1000</f>
        <v>1.3304865774042237E-3</v>
      </c>
      <c r="G53" s="12">
        <f t="shared" si="3"/>
        <v>28.081008280775524</v>
      </c>
    </row>
    <row r="54" spans="1:7">
      <c r="A54" s="12">
        <v>24.5</v>
      </c>
      <c r="B54" s="79">
        <v>325.16000000000003</v>
      </c>
      <c r="C54" s="12">
        <f t="shared" si="0"/>
        <v>0.32516</v>
      </c>
      <c r="D54" s="12">
        <f t="shared" si="1"/>
        <v>2.2761200000000002E-2</v>
      </c>
      <c r="E54" s="12">
        <f t="shared" si="2"/>
        <v>1.0161250000000001E-3</v>
      </c>
      <c r="F54" s="12">
        <f>E54/Calculation!K$18*1000</f>
        <v>1.1431391610747983E-3</v>
      </c>
      <c r="G54" s="12">
        <f t="shared" si="3"/>
        <v>28.11811266685271</v>
      </c>
    </row>
    <row r="55" spans="1:7">
      <c r="A55" s="12">
        <v>25</v>
      </c>
      <c r="B55" s="79">
        <v>290.83999999999997</v>
      </c>
      <c r="C55" s="12">
        <f t="shared" si="0"/>
        <v>0.29083999999999999</v>
      </c>
      <c r="D55" s="12">
        <f t="shared" si="1"/>
        <v>2.03588E-2</v>
      </c>
      <c r="E55" s="12">
        <f t="shared" si="2"/>
        <v>9.0887500000000007E-4</v>
      </c>
      <c r="F55" s="12">
        <f>E55/Calculation!K$18*1000</f>
        <v>1.0224830655892309E-3</v>
      </c>
      <c r="G55" s="12">
        <f t="shared" si="3"/>
        <v>28.15059700025267</v>
      </c>
    </row>
    <row r="56" spans="1:7">
      <c r="A56" s="12">
        <v>25.5</v>
      </c>
      <c r="B56" s="79">
        <v>341.42</v>
      </c>
      <c r="C56" s="12">
        <f t="shared" si="0"/>
        <v>0.34142</v>
      </c>
      <c r="D56" s="12">
        <f t="shared" si="1"/>
        <v>2.3899400000000001E-2</v>
      </c>
      <c r="E56" s="12">
        <f t="shared" si="2"/>
        <v>1.0669375000000002E-3</v>
      </c>
      <c r="F56" s="12">
        <f>E56/Calculation!K$18*1000</f>
        <v>1.2003031503695339E-3</v>
      </c>
      <c r="G56" s="12">
        <f t="shared" si="3"/>
        <v>28.18393879349205</v>
      </c>
    </row>
    <row r="57" spans="1:7">
      <c r="A57" s="12">
        <v>26</v>
      </c>
      <c r="B57" s="79">
        <v>377.55</v>
      </c>
      <c r="C57" s="12">
        <f t="shared" si="0"/>
        <v>0.37755</v>
      </c>
      <c r="D57" s="12">
        <f t="shared" si="1"/>
        <v>2.6428500000000001E-2</v>
      </c>
      <c r="E57" s="12">
        <f t="shared" si="2"/>
        <v>1.1798437500000001E-3</v>
      </c>
      <c r="F57" s="12">
        <f>E57/Calculation!K$18*1000</f>
        <v>1.3273225189561757E-3</v>
      </c>
      <c r="G57" s="12">
        <f t="shared" si="3"/>
        <v>28.221853178531937</v>
      </c>
    </row>
    <row r="58" spans="1:7">
      <c r="A58" s="12">
        <v>26.5</v>
      </c>
      <c r="B58" s="79">
        <v>326.06</v>
      </c>
      <c r="C58" s="12">
        <f t="shared" si="0"/>
        <v>0.32606000000000002</v>
      </c>
      <c r="D58" s="12">
        <f t="shared" si="1"/>
        <v>2.2824200000000003E-2</v>
      </c>
      <c r="E58" s="12">
        <f t="shared" si="2"/>
        <v>1.0189375000000001E-3</v>
      </c>
      <c r="F58" s="12">
        <f>E58/Calculation!K$18*1000</f>
        <v>1.1463032195228465E-3</v>
      </c>
      <c r="G58" s="12">
        <f t="shared" si="3"/>
        <v>28.258957564609123</v>
      </c>
    </row>
    <row r="59" spans="1:7">
      <c r="A59" s="12">
        <v>27</v>
      </c>
      <c r="B59" s="79">
        <v>311.61</v>
      </c>
      <c r="C59" s="12">
        <f t="shared" si="0"/>
        <v>0.31161</v>
      </c>
      <c r="D59" s="12">
        <f t="shared" si="1"/>
        <v>2.1812699999999997E-2</v>
      </c>
      <c r="E59" s="12">
        <f t="shared" si="2"/>
        <v>9.7378124999999993E-4</v>
      </c>
      <c r="F59" s="12">
        <f>E59/Calculation!K$18*1000</f>
        <v>1.0955025033291851E-3</v>
      </c>
      <c r="G59" s="12">
        <f t="shared" si="3"/>
        <v>28.292584650451904</v>
      </c>
    </row>
    <row r="60" spans="1:7">
      <c r="A60" s="12">
        <v>27.5</v>
      </c>
      <c r="B60" s="79">
        <v>393.81</v>
      </c>
      <c r="C60" s="12">
        <f t="shared" si="0"/>
        <v>0.39380999999999999</v>
      </c>
      <c r="D60" s="12">
        <f t="shared" si="1"/>
        <v>2.75667E-2</v>
      </c>
      <c r="E60" s="12">
        <f t="shared" si="2"/>
        <v>1.23065625E-3</v>
      </c>
      <c r="F60" s="12">
        <f>E60/Calculation!K$18*1000</f>
        <v>1.3844865082509111E-3</v>
      </c>
      <c r="G60" s="12">
        <f t="shared" si="3"/>
        <v>28.329784485625606</v>
      </c>
    </row>
    <row r="61" spans="1:7">
      <c r="A61" s="12">
        <v>28</v>
      </c>
      <c r="B61" s="79">
        <v>283.61</v>
      </c>
      <c r="C61" s="12">
        <f t="shared" si="0"/>
        <v>0.28361000000000003</v>
      </c>
      <c r="D61" s="12">
        <f t="shared" si="1"/>
        <v>1.9852700000000001E-2</v>
      </c>
      <c r="E61" s="12">
        <f t="shared" si="2"/>
        <v>8.8628125000000013E-4</v>
      </c>
      <c r="F61" s="12">
        <f>E61/Calculation!K$18*1000</f>
        <v>9.9706512938991122E-4</v>
      </c>
      <c r="G61" s="12">
        <f t="shared" si="3"/>
        <v>28.365507760190219</v>
      </c>
    </row>
    <row r="62" spans="1:7">
      <c r="A62" s="12">
        <v>28.5</v>
      </c>
      <c r="B62" s="79">
        <v>340.52</v>
      </c>
      <c r="C62" s="12">
        <f t="shared" si="0"/>
        <v>0.34051999999999999</v>
      </c>
      <c r="D62" s="12">
        <f t="shared" si="1"/>
        <v>2.3836399999999997E-2</v>
      </c>
      <c r="E62" s="12">
        <f t="shared" si="2"/>
        <v>1.064125E-3</v>
      </c>
      <c r="F62" s="12">
        <f>E62/Calculation!K$18*1000</f>
        <v>1.1971390919214857E-3</v>
      </c>
      <c r="G62" s="12">
        <f t="shared" si="3"/>
        <v>28.398420823509891</v>
      </c>
    </row>
    <row r="63" spans="1:7">
      <c r="A63" s="12">
        <v>29</v>
      </c>
      <c r="B63" s="79">
        <v>366.71</v>
      </c>
      <c r="C63" s="12">
        <f t="shared" si="0"/>
        <v>0.36670999999999998</v>
      </c>
      <c r="D63" s="12">
        <f t="shared" si="1"/>
        <v>2.5669699999999997E-2</v>
      </c>
      <c r="E63" s="12">
        <f t="shared" si="2"/>
        <v>1.1459687499999999E-3</v>
      </c>
      <c r="F63" s="12">
        <f>E63/Calculation!K$18*1000</f>
        <v>1.2892131927596849E-3</v>
      </c>
      <c r="G63" s="12">
        <f t="shared" si="3"/>
        <v>28.435716107780109</v>
      </c>
    </row>
    <row r="64" spans="1:7">
      <c r="A64" s="12">
        <v>29.5</v>
      </c>
      <c r="B64" s="79">
        <v>343.22</v>
      </c>
      <c r="C64" s="12">
        <f t="shared" si="0"/>
        <v>0.34322000000000003</v>
      </c>
      <c r="D64" s="12">
        <f t="shared" si="1"/>
        <v>2.4025400000000002E-2</v>
      </c>
      <c r="E64" s="12">
        <f t="shared" si="2"/>
        <v>1.0725625000000002E-3</v>
      </c>
      <c r="F64" s="12">
        <f>E64/Calculation!K$18*1000</f>
        <v>1.2066312672656301E-3</v>
      </c>
      <c r="G64" s="12">
        <f t="shared" si="3"/>
        <v>28.47315377468049</v>
      </c>
    </row>
    <row r="65" spans="1:7">
      <c r="A65" s="12">
        <v>30</v>
      </c>
      <c r="B65" s="79">
        <v>412.77</v>
      </c>
      <c r="C65" s="12">
        <f t="shared" si="0"/>
        <v>0.41276999999999997</v>
      </c>
      <c r="D65" s="12">
        <f t="shared" si="1"/>
        <v>2.8893899999999997E-2</v>
      </c>
      <c r="E65" s="12">
        <f t="shared" si="2"/>
        <v>1.28990625E-3</v>
      </c>
      <c r="F65" s="12">
        <f>E65/Calculation!K$18*1000</f>
        <v>1.4511426728897909E-3</v>
      </c>
      <c r="G65" s="12">
        <f t="shared" si="3"/>
        <v>28.513020383782823</v>
      </c>
    </row>
    <row r="66" spans="1:7">
      <c r="A66" s="12">
        <v>30.5</v>
      </c>
      <c r="B66" s="79">
        <v>324.26</v>
      </c>
      <c r="C66" s="12">
        <f t="shared" si="0"/>
        <v>0.32425999999999999</v>
      </c>
      <c r="D66" s="12">
        <f t="shared" si="1"/>
        <v>2.2698199999999998E-2</v>
      </c>
      <c r="E66" s="12">
        <f t="shared" si="2"/>
        <v>1.0133124999999999E-3</v>
      </c>
      <c r="F66" s="12">
        <f>E66/Calculation!K$19*1000</f>
        <v>1.203026822904778E-3</v>
      </c>
      <c r="G66" s="12">
        <f t="shared" si="3"/>
        <v>28.552832926219743</v>
      </c>
    </row>
    <row r="67" spans="1:7">
      <c r="A67" s="12">
        <v>31</v>
      </c>
      <c r="B67" s="79">
        <v>472.39</v>
      </c>
      <c r="C67" s="12">
        <f t="shared" si="0"/>
        <v>0.47238999999999998</v>
      </c>
      <c r="D67" s="12">
        <f t="shared" si="1"/>
        <v>3.3067300000000001E-2</v>
      </c>
      <c r="E67" s="12">
        <f t="shared" si="2"/>
        <v>1.4762187500000001E-3</v>
      </c>
      <c r="F67" s="12">
        <f>E67/Calculation!K$19*1000</f>
        <v>1.7525992748781479E-3</v>
      </c>
      <c r="G67" s="12">
        <f t="shared" si="3"/>
        <v>28.597167317686488</v>
      </c>
    </row>
    <row r="68" spans="1:7">
      <c r="A68" s="12">
        <v>31.5</v>
      </c>
      <c r="B68" s="79">
        <v>383.87</v>
      </c>
      <c r="C68" s="12">
        <f t="shared" si="0"/>
        <v>0.38386999999999999</v>
      </c>
      <c r="D68" s="12">
        <f t="shared" si="1"/>
        <v>2.6870899999999996E-2</v>
      </c>
      <c r="E68" s="12">
        <f t="shared" si="2"/>
        <v>1.1995937499999999E-3</v>
      </c>
      <c r="F68" s="12">
        <f>E68/Calculation!K$19*1000</f>
        <v>1.4241840082293751E-3</v>
      </c>
      <c r="G68" s="12">
        <f t="shared" si="3"/>
        <v>28.644819066933099</v>
      </c>
    </row>
    <row r="69" spans="1:7">
      <c r="A69" s="12">
        <v>32</v>
      </c>
      <c r="B69" s="79">
        <v>307.10000000000002</v>
      </c>
      <c r="C69" s="12">
        <f t="shared" si="0"/>
        <v>0.30710000000000004</v>
      </c>
      <c r="D69" s="12">
        <f t="shared" si="1"/>
        <v>2.1497000000000002E-2</v>
      </c>
      <c r="E69" s="12">
        <f t="shared" si="2"/>
        <v>9.5968750000000015E-4</v>
      </c>
      <c r="F69" s="12">
        <f>E69/Calculation!K$19*1000</f>
        <v>1.1393620468576372E-3</v>
      </c>
      <c r="G69" s="12">
        <f t="shared" si="3"/>
        <v>28.683272257759405</v>
      </c>
    </row>
    <row r="70" spans="1:7">
      <c r="A70" s="12">
        <v>32.5</v>
      </c>
      <c r="B70" s="79">
        <v>382.97</v>
      </c>
      <c r="C70" s="12">
        <f t="shared" ref="C70:C101" si="4">B70/1000</f>
        <v>0.38297000000000003</v>
      </c>
      <c r="D70" s="12">
        <f t="shared" ref="D70:D101" si="5">C70/1000*$B$1</f>
        <v>2.6807900000000003E-2</v>
      </c>
      <c r="E70" s="12">
        <f t="shared" ref="E70:E101" si="6">D70/22.4</f>
        <v>1.1967812500000001E-3</v>
      </c>
      <c r="F70" s="12">
        <f>E70/Calculation!K$19*1000</f>
        <v>1.4208449465485814E-3</v>
      </c>
      <c r="G70" s="12">
        <f t="shared" si="3"/>
        <v>28.721675362660498</v>
      </c>
    </row>
    <row r="71" spans="1:7">
      <c r="A71" s="12">
        <v>33</v>
      </c>
      <c r="B71" s="79">
        <v>350.45</v>
      </c>
      <c r="C71" s="12">
        <f t="shared" si="4"/>
        <v>0.35044999999999998</v>
      </c>
      <c r="D71" s="12">
        <f t="shared" si="5"/>
        <v>2.4531499999999998E-2</v>
      </c>
      <c r="E71" s="12">
        <f t="shared" si="6"/>
        <v>1.09515625E-3</v>
      </c>
      <c r="F71" s="12">
        <f>E71/Calculation!K$19*1000</f>
        <v>1.300193517815887E-3</v>
      </c>
      <c r="G71" s="12">
        <f t="shared" ref="G71:G101" si="7">G70+(F71+F70)/2*30</f>
        <v>28.762490939625966</v>
      </c>
    </row>
    <row r="72" spans="1:7">
      <c r="A72" s="12">
        <v>33.5</v>
      </c>
      <c r="B72" s="79">
        <v>394.71</v>
      </c>
      <c r="C72" s="12">
        <f t="shared" si="4"/>
        <v>0.39471000000000001</v>
      </c>
      <c r="D72" s="12">
        <f t="shared" si="5"/>
        <v>2.76297E-2</v>
      </c>
      <c r="E72" s="12">
        <f t="shared" si="6"/>
        <v>1.2334687500000002E-3</v>
      </c>
      <c r="F72" s="12">
        <f>E72/Calculation!K$19*1000</f>
        <v>1.4644011511402734E-3</v>
      </c>
      <c r="G72" s="12">
        <f t="shared" si="7"/>
        <v>28.80395985966031</v>
      </c>
    </row>
    <row r="73" spans="1:7">
      <c r="A73" s="12">
        <v>34</v>
      </c>
      <c r="B73" s="79">
        <v>354.97</v>
      </c>
      <c r="C73" s="12">
        <f t="shared" si="4"/>
        <v>0.35497000000000001</v>
      </c>
      <c r="D73" s="12">
        <f t="shared" si="5"/>
        <v>2.4847900000000003E-2</v>
      </c>
      <c r="E73" s="12">
        <f t="shared" si="6"/>
        <v>1.1092812500000002E-3</v>
      </c>
      <c r="F73" s="12">
        <f>E73/Calculation!K$19*1000</f>
        <v>1.316963027590542E-3</v>
      </c>
      <c r="G73" s="12">
        <f t="shared" si="7"/>
        <v>28.845680322341273</v>
      </c>
    </row>
    <row r="74" spans="1:7">
      <c r="A74" s="12">
        <v>34.5</v>
      </c>
      <c r="B74" s="79">
        <v>343.22</v>
      </c>
      <c r="C74" s="12">
        <f t="shared" si="4"/>
        <v>0.34322000000000003</v>
      </c>
      <c r="D74" s="12">
        <f t="shared" si="5"/>
        <v>2.4025400000000002E-2</v>
      </c>
      <c r="E74" s="12">
        <f t="shared" si="6"/>
        <v>1.0725625000000002E-3</v>
      </c>
      <c r="F74" s="12">
        <f>E74/Calculation!K$19*1000</f>
        <v>1.2733697223135079E-3</v>
      </c>
      <c r="G74" s="12">
        <f t="shared" si="7"/>
        <v>28.884535313589833</v>
      </c>
    </row>
    <row r="75" spans="1:7">
      <c r="A75" s="12">
        <v>35</v>
      </c>
      <c r="B75" s="79">
        <v>297.16000000000003</v>
      </c>
      <c r="C75" s="12">
        <f t="shared" si="4"/>
        <v>0.29716000000000004</v>
      </c>
      <c r="D75" s="12">
        <f t="shared" si="5"/>
        <v>2.0801200000000002E-2</v>
      </c>
      <c r="E75" s="12">
        <f t="shared" si="6"/>
        <v>9.286250000000002E-4</v>
      </c>
      <c r="F75" s="12">
        <f>E75/Calculation!K$19*1000</f>
        <v>1.1024839656275335E-3</v>
      </c>
      <c r="G75" s="12">
        <f t="shared" si="7"/>
        <v>28.920173118908949</v>
      </c>
    </row>
    <row r="76" spans="1:7">
      <c r="A76" s="12">
        <v>35.5</v>
      </c>
      <c r="B76" s="79">
        <v>332.39</v>
      </c>
      <c r="C76" s="12">
        <f t="shared" si="4"/>
        <v>0.33238999999999996</v>
      </c>
      <c r="D76" s="12">
        <f t="shared" si="5"/>
        <v>2.3267299999999998E-2</v>
      </c>
      <c r="E76" s="12">
        <f t="shared" si="6"/>
        <v>1.0387187499999999E-3</v>
      </c>
      <c r="F76" s="12">
        <f>E76/Calculation!K$19*1000</f>
        <v>1.2331896800879517E-3</v>
      </c>
      <c r="G76" s="12">
        <f t="shared" si="7"/>
        <v>28.955208223594681</v>
      </c>
    </row>
    <row r="77" spans="1:7">
      <c r="A77" s="12">
        <v>36</v>
      </c>
      <c r="B77" s="79">
        <v>370.32</v>
      </c>
      <c r="C77" s="12">
        <f t="shared" si="4"/>
        <v>0.37031999999999998</v>
      </c>
      <c r="D77" s="12">
        <f t="shared" si="5"/>
        <v>2.5922399999999998E-2</v>
      </c>
      <c r="E77" s="12">
        <f t="shared" si="6"/>
        <v>1.1572500000000001E-3</v>
      </c>
      <c r="F77" s="12">
        <f>E77/Calculation!K$19*1000</f>
        <v>1.3739125795907529E-3</v>
      </c>
      <c r="G77" s="12">
        <f t="shared" si="7"/>
        <v>28.99431475748986</v>
      </c>
    </row>
    <row r="78" spans="1:7">
      <c r="A78" s="12">
        <v>36.5</v>
      </c>
      <c r="B78" s="79">
        <v>362.19</v>
      </c>
      <c r="C78" s="12">
        <f t="shared" si="4"/>
        <v>0.36219000000000001</v>
      </c>
      <c r="D78" s="12">
        <f t="shared" si="5"/>
        <v>2.5353300000000002E-2</v>
      </c>
      <c r="E78" s="12">
        <f t="shared" si="6"/>
        <v>1.1318437500000003E-3</v>
      </c>
      <c r="F78" s="12">
        <f>E78/Calculation!K$19*1000</f>
        <v>1.3437497224075795E-3</v>
      </c>
      <c r="G78" s="12">
        <f t="shared" si="7"/>
        <v>29.035079692019835</v>
      </c>
    </row>
    <row r="79" spans="1:7">
      <c r="A79" s="12">
        <v>37</v>
      </c>
      <c r="B79" s="79">
        <v>327.87</v>
      </c>
      <c r="C79" s="12">
        <f t="shared" si="4"/>
        <v>0.32786999999999999</v>
      </c>
      <c r="D79" s="12">
        <f t="shared" si="5"/>
        <v>2.29509E-2</v>
      </c>
      <c r="E79" s="12">
        <f t="shared" si="6"/>
        <v>1.0245937500000001E-3</v>
      </c>
      <c r="F79" s="12">
        <f>E79/Calculation!K$19*1000</f>
        <v>1.2164201703132971E-3</v>
      </c>
      <c r="G79" s="12">
        <f t="shared" si="7"/>
        <v>29.073482240410648</v>
      </c>
    </row>
    <row r="80" spans="1:7">
      <c r="A80" s="12">
        <v>37.5</v>
      </c>
      <c r="B80" s="79">
        <v>358.58</v>
      </c>
      <c r="C80" s="12">
        <f t="shared" si="4"/>
        <v>0.35858000000000001</v>
      </c>
      <c r="D80" s="12">
        <f t="shared" si="5"/>
        <v>2.5100600000000001E-2</v>
      </c>
      <c r="E80" s="12">
        <f t="shared" si="6"/>
        <v>1.1205625E-3</v>
      </c>
      <c r="F80" s="12">
        <f>E80/Calculation!K$19*1000</f>
        <v>1.3303563749990607E-3</v>
      </c>
      <c r="G80" s="12">
        <f t="shared" si="7"/>
        <v>29.111683888590335</v>
      </c>
    </row>
    <row r="81" spans="1:7">
      <c r="A81" s="12">
        <v>38</v>
      </c>
      <c r="B81" s="79">
        <v>358.58</v>
      </c>
      <c r="C81" s="12">
        <f t="shared" si="4"/>
        <v>0.35858000000000001</v>
      </c>
      <c r="D81" s="12">
        <f t="shared" si="5"/>
        <v>2.5100600000000001E-2</v>
      </c>
      <c r="E81" s="12">
        <f t="shared" si="6"/>
        <v>1.1205625E-3</v>
      </c>
      <c r="F81" s="12">
        <f>E81/Calculation!K$19*1000</f>
        <v>1.3303563749990607E-3</v>
      </c>
      <c r="G81" s="12">
        <f t="shared" si="7"/>
        <v>29.151594579840307</v>
      </c>
    </row>
    <row r="82" spans="1:7">
      <c r="A82" s="12">
        <v>38.5</v>
      </c>
      <c r="B82" s="79">
        <v>354.06</v>
      </c>
      <c r="C82" s="12">
        <f t="shared" si="4"/>
        <v>0.35405999999999999</v>
      </c>
      <c r="D82" s="12">
        <f t="shared" si="5"/>
        <v>2.4784199999999999E-2</v>
      </c>
      <c r="E82" s="12">
        <f t="shared" si="6"/>
        <v>1.1064375E-3</v>
      </c>
      <c r="F82" s="12">
        <f>E82/Calculation!K$19*1000</f>
        <v>1.3135868652244056E-3</v>
      </c>
      <c r="G82" s="12">
        <f t="shared" si="7"/>
        <v>29.191253728443659</v>
      </c>
    </row>
    <row r="83" spans="1:7">
      <c r="A83" s="12">
        <v>39</v>
      </c>
      <c r="B83" s="79">
        <v>364</v>
      </c>
      <c r="C83" s="12">
        <f t="shared" si="4"/>
        <v>0.36399999999999999</v>
      </c>
      <c r="D83" s="12">
        <f t="shared" si="5"/>
        <v>2.5479999999999999E-2</v>
      </c>
      <c r="E83" s="12">
        <f t="shared" si="6"/>
        <v>1.1375000000000001E-3</v>
      </c>
      <c r="F83" s="12">
        <f>E83/Calculation!K$19*1000</f>
        <v>1.3504649464545096E-3</v>
      </c>
      <c r="G83" s="12">
        <f t="shared" si="7"/>
        <v>29.231214505618844</v>
      </c>
    </row>
    <row r="84" spans="1:7">
      <c r="A84" s="12">
        <v>39.5</v>
      </c>
      <c r="B84" s="79">
        <v>355.87</v>
      </c>
      <c r="C84" s="12">
        <f t="shared" si="4"/>
        <v>0.35587000000000002</v>
      </c>
      <c r="D84" s="12">
        <f t="shared" si="5"/>
        <v>2.49109E-2</v>
      </c>
      <c r="E84" s="12">
        <f t="shared" si="6"/>
        <v>1.11209375E-3</v>
      </c>
      <c r="F84" s="12">
        <f>E84/Calculation!K$19*1000</f>
        <v>1.3203020892713362E-3</v>
      </c>
      <c r="G84" s="12">
        <f t="shared" si="7"/>
        <v>29.271276011154733</v>
      </c>
    </row>
    <row r="85" spans="1:7">
      <c r="A85" s="12">
        <v>40</v>
      </c>
      <c r="B85" s="79">
        <v>346.84</v>
      </c>
      <c r="C85" s="12">
        <f t="shared" si="4"/>
        <v>0.34683999999999998</v>
      </c>
      <c r="D85" s="12">
        <f t="shared" si="5"/>
        <v>2.42788E-2</v>
      </c>
      <c r="E85" s="12">
        <f t="shared" si="6"/>
        <v>1.083875E-3</v>
      </c>
      <c r="F85" s="12">
        <f>E85/Calculation!K$19*1000</f>
        <v>1.2868001704073684E-3</v>
      </c>
      <c r="G85" s="12">
        <f t="shared" si="7"/>
        <v>29.310382545049912</v>
      </c>
    </row>
    <row r="86" spans="1:7">
      <c r="A86" s="12">
        <v>40.5</v>
      </c>
      <c r="B86" s="79">
        <v>367.61</v>
      </c>
      <c r="C86" s="12">
        <f t="shared" si="4"/>
        <v>0.36760999999999999</v>
      </c>
      <c r="D86" s="12">
        <f t="shared" si="5"/>
        <v>2.5732699999999997E-2</v>
      </c>
      <c r="E86" s="12">
        <f t="shared" si="6"/>
        <v>1.1487812499999998E-3</v>
      </c>
      <c r="F86" s="12">
        <f>E86/Calculation!K$19*1000</f>
        <v>1.363858293863028E-3</v>
      </c>
      <c r="G86" s="12">
        <f t="shared" si="7"/>
        <v>29.350142422013967</v>
      </c>
    </row>
    <row r="87" spans="1:7">
      <c r="A87" s="12">
        <v>41</v>
      </c>
      <c r="B87" s="79">
        <v>337.81</v>
      </c>
      <c r="C87" s="12">
        <f t="shared" si="4"/>
        <v>0.33781</v>
      </c>
      <c r="D87" s="12">
        <f t="shared" si="5"/>
        <v>2.36467E-2</v>
      </c>
      <c r="E87" s="12">
        <f t="shared" si="6"/>
        <v>1.05565625E-3</v>
      </c>
      <c r="F87" s="12">
        <f>E87/Calculation!K$19*1000</f>
        <v>1.2532982515434006E-3</v>
      </c>
      <c r="G87" s="12">
        <f t="shared" si="7"/>
        <v>29.389399770195062</v>
      </c>
    </row>
    <row r="88" spans="1:7">
      <c r="A88" s="12">
        <v>41.5</v>
      </c>
      <c r="B88" s="79">
        <v>348.64</v>
      </c>
      <c r="C88" s="12">
        <f t="shared" si="4"/>
        <v>0.34864000000000001</v>
      </c>
      <c r="D88" s="12">
        <f t="shared" si="5"/>
        <v>2.4404800000000001E-2</v>
      </c>
      <c r="E88" s="12">
        <f t="shared" si="6"/>
        <v>1.0895000000000002E-3</v>
      </c>
      <c r="F88" s="12">
        <f>E88/Calculation!K$19*1000</f>
        <v>1.2934782937689569E-3</v>
      </c>
      <c r="G88" s="12">
        <f t="shared" si="7"/>
        <v>29.427601418374749</v>
      </c>
    </row>
    <row r="89" spans="1:7">
      <c r="A89" s="12">
        <v>42</v>
      </c>
      <c r="B89" s="79">
        <v>309.81</v>
      </c>
      <c r="C89" s="12">
        <f t="shared" si="4"/>
        <v>0.30981000000000003</v>
      </c>
      <c r="D89" s="12">
        <f t="shared" si="5"/>
        <v>2.1686700000000003E-2</v>
      </c>
      <c r="E89" s="12">
        <f t="shared" si="6"/>
        <v>9.6815625000000016E-4</v>
      </c>
      <c r="F89" s="12">
        <f>E89/Calculation!K$19*1000</f>
        <v>1.1494163325853617E-3</v>
      </c>
      <c r="G89" s="12">
        <f t="shared" si="7"/>
        <v>29.464244837770064</v>
      </c>
    </row>
    <row r="90" spans="1:7">
      <c r="A90" s="12">
        <v>42.5</v>
      </c>
      <c r="B90" s="79">
        <v>299.87</v>
      </c>
      <c r="C90" s="12">
        <f t="shared" si="4"/>
        <v>0.29987000000000003</v>
      </c>
      <c r="D90" s="12">
        <f t="shared" si="5"/>
        <v>2.0990900000000003E-2</v>
      </c>
      <c r="E90" s="12">
        <f t="shared" si="6"/>
        <v>9.3709375000000021E-4</v>
      </c>
      <c r="F90" s="12">
        <f>E90/Calculation!K$19*1000</f>
        <v>1.1125382513552579E-3</v>
      </c>
      <c r="G90" s="12">
        <f t="shared" si="7"/>
        <v>29.498174156529174</v>
      </c>
    </row>
    <row r="91" spans="1:7">
      <c r="A91" s="12">
        <v>43</v>
      </c>
      <c r="B91" s="79">
        <v>196.9</v>
      </c>
      <c r="C91" s="12">
        <f t="shared" si="4"/>
        <v>0.19690000000000002</v>
      </c>
      <c r="D91" s="12">
        <f t="shared" si="5"/>
        <v>1.3783000000000002E-2</v>
      </c>
      <c r="E91" s="12">
        <f t="shared" si="6"/>
        <v>6.1531250000000008E-4</v>
      </c>
      <c r="F91" s="12">
        <f>E91/Calculation!K$19*1000</f>
        <v>7.3051249438706861E-4</v>
      </c>
      <c r="G91" s="12">
        <f t="shared" si="7"/>
        <v>29.52581991771531</v>
      </c>
    </row>
    <row r="92" spans="1:7">
      <c r="A92" s="12">
        <v>43.5</v>
      </c>
      <c r="B92" s="79">
        <v>354.06</v>
      </c>
      <c r="C92" s="12">
        <f t="shared" si="4"/>
        <v>0.35405999999999999</v>
      </c>
      <c r="D92" s="12">
        <f t="shared" si="5"/>
        <v>2.4784199999999999E-2</v>
      </c>
      <c r="E92" s="12">
        <f t="shared" si="6"/>
        <v>1.1064375E-3</v>
      </c>
      <c r="F92" s="12">
        <f>E92/Calculation!K$19*1000</f>
        <v>1.3135868652244056E-3</v>
      </c>
      <c r="G92" s="12">
        <f t="shared" si="7"/>
        <v>29.556481408109484</v>
      </c>
    </row>
    <row r="93" spans="1:7">
      <c r="A93" s="12">
        <v>44</v>
      </c>
      <c r="B93" s="79">
        <v>392.9</v>
      </c>
      <c r="C93" s="12">
        <f t="shared" si="4"/>
        <v>0.39289999999999997</v>
      </c>
      <c r="D93" s="12">
        <f t="shared" si="5"/>
        <v>2.7502999999999996E-2</v>
      </c>
      <c r="E93" s="12">
        <f t="shared" si="6"/>
        <v>1.2278125E-3</v>
      </c>
      <c r="F93" s="12">
        <f>E93/Calculation!K$19*1000</f>
        <v>1.4576859270933426E-3</v>
      </c>
      <c r="G93" s="12">
        <f t="shared" si="7"/>
        <v>29.598050499994251</v>
      </c>
    </row>
    <row r="94" spans="1:7">
      <c r="A94" s="12">
        <v>44.5</v>
      </c>
      <c r="B94" s="79">
        <v>295.35000000000002</v>
      </c>
      <c r="C94" s="12">
        <f t="shared" si="4"/>
        <v>0.29535</v>
      </c>
      <c r="D94" s="12">
        <f t="shared" si="5"/>
        <v>2.0674499999999998E-2</v>
      </c>
      <c r="E94" s="12">
        <f t="shared" si="6"/>
        <v>9.2296874999999996E-4</v>
      </c>
      <c r="F94" s="12">
        <f>E94/Calculation!K$19*1000</f>
        <v>1.0957687415806027E-3</v>
      </c>
      <c r="G94" s="12">
        <f t="shared" si="7"/>
        <v>29.636352320024361</v>
      </c>
    </row>
    <row r="95" spans="1:7">
      <c r="A95" s="12">
        <v>45</v>
      </c>
      <c r="B95" s="79">
        <v>312.52</v>
      </c>
      <c r="C95" s="12">
        <f t="shared" si="4"/>
        <v>0.31251999999999996</v>
      </c>
      <c r="D95" s="12">
        <f t="shared" si="5"/>
        <v>2.1876399999999997E-2</v>
      </c>
      <c r="E95" s="12">
        <f t="shared" si="6"/>
        <v>9.7662499999999985E-4</v>
      </c>
      <c r="F95" s="12">
        <f>E95/Calculation!K$19*1000</f>
        <v>1.1594706183130857E-3</v>
      </c>
      <c r="G95" s="12">
        <f t="shared" si="7"/>
        <v>29.670180910422765</v>
      </c>
    </row>
    <row r="96" spans="1:7">
      <c r="A96" s="12">
        <v>45.5</v>
      </c>
      <c r="B96" s="79">
        <v>316.13</v>
      </c>
      <c r="C96" s="12">
        <f t="shared" si="4"/>
        <v>0.31613000000000002</v>
      </c>
      <c r="D96" s="12">
        <f t="shared" si="5"/>
        <v>2.2129100000000002E-2</v>
      </c>
      <c r="E96" s="12">
        <f t="shared" si="6"/>
        <v>9.8790625000000007E-4</v>
      </c>
      <c r="F96" s="12">
        <f>E96/Calculation!K$19*1000</f>
        <v>1.1728639657216048E-3</v>
      </c>
      <c r="G96" s="12">
        <f t="shared" si="7"/>
        <v>29.705165929183284</v>
      </c>
    </row>
    <row r="97" spans="1:7">
      <c r="A97" s="12">
        <v>46</v>
      </c>
      <c r="B97" s="79">
        <v>235.74</v>
      </c>
      <c r="C97" s="12">
        <f t="shared" si="4"/>
        <v>0.23574000000000001</v>
      </c>
      <c r="D97" s="12">
        <f t="shared" si="5"/>
        <v>1.65018E-2</v>
      </c>
      <c r="E97" s="12">
        <f t="shared" si="6"/>
        <v>7.3668750000000004E-4</v>
      </c>
      <c r="F97" s="12">
        <f>E97/Calculation!K$19*1000</f>
        <v>8.7461155625600585E-4</v>
      </c>
      <c r="G97" s="12">
        <f t="shared" si="7"/>
        <v>29.735878062012947</v>
      </c>
    </row>
    <row r="98" spans="1:7">
      <c r="A98" s="12">
        <v>46.5</v>
      </c>
      <c r="B98" s="79">
        <v>380.26</v>
      </c>
      <c r="C98" s="12">
        <f t="shared" si="4"/>
        <v>0.38025999999999999</v>
      </c>
      <c r="D98" s="12">
        <f t="shared" si="5"/>
        <v>2.6618199999999998E-2</v>
      </c>
      <c r="E98" s="12">
        <f t="shared" si="6"/>
        <v>1.1883124999999999E-3</v>
      </c>
      <c r="F98" s="12">
        <f>E98/Calculation!K$19*1000</f>
        <v>1.4107906608208565E-3</v>
      </c>
      <c r="G98" s="12">
        <f t="shared" si="7"/>
        <v>29.770159095269101</v>
      </c>
    </row>
    <row r="99" spans="1:7">
      <c r="A99" s="12">
        <v>47</v>
      </c>
      <c r="B99" s="79">
        <v>332.39</v>
      </c>
      <c r="C99" s="12">
        <f t="shared" si="4"/>
        <v>0.33238999999999996</v>
      </c>
      <c r="D99" s="12">
        <f t="shared" si="5"/>
        <v>2.3267299999999998E-2</v>
      </c>
      <c r="E99" s="12">
        <f t="shared" si="6"/>
        <v>1.0387187499999999E-3</v>
      </c>
      <c r="F99" s="12">
        <f>E99/Calculation!K$19*1000</f>
        <v>1.2331896800879517E-3</v>
      </c>
      <c r="G99" s="12">
        <f t="shared" si="7"/>
        <v>29.809818800382732</v>
      </c>
    </row>
    <row r="100" spans="1:7">
      <c r="A100" s="12">
        <v>47.5</v>
      </c>
      <c r="B100" s="79">
        <v>312.52</v>
      </c>
      <c r="C100" s="12">
        <f t="shared" si="4"/>
        <v>0.31251999999999996</v>
      </c>
      <c r="D100" s="12">
        <f t="shared" si="5"/>
        <v>2.1876399999999997E-2</v>
      </c>
      <c r="E100" s="12">
        <f t="shared" si="6"/>
        <v>9.7662499999999985E-4</v>
      </c>
      <c r="F100" s="12">
        <f>E100/Calculation!K$19*1000</f>
        <v>1.1594706183130857E-3</v>
      </c>
      <c r="G100" s="12">
        <f t="shared" si="7"/>
        <v>29.845708704858747</v>
      </c>
    </row>
    <row r="101" spans="1:7">
      <c r="A101" s="12">
        <v>48</v>
      </c>
      <c r="B101" s="79">
        <v>412.77</v>
      </c>
      <c r="C101" s="12">
        <f t="shared" si="4"/>
        <v>0.41276999999999997</v>
      </c>
      <c r="D101" s="12">
        <f t="shared" si="5"/>
        <v>2.8893899999999997E-2</v>
      </c>
      <c r="E101" s="12">
        <f t="shared" si="6"/>
        <v>1.28990625E-3</v>
      </c>
      <c r="F101" s="12">
        <f>E101/Calculation!K$20*1000</f>
        <v>1.6903420145749214E-3</v>
      </c>
      <c r="G101" s="12">
        <f t="shared" si="7"/>
        <v>29.888455894352067</v>
      </c>
    </row>
  </sheetData>
  <mergeCells count="3">
    <mergeCell ref="A3:A4"/>
    <mergeCell ref="B3:C3"/>
    <mergeCell ref="D3:F3"/>
  </mergeCells>
  <pageMargins left="0.7" right="0.7" top="0.75" bottom="0.75" header="0.3" footer="0.3"/>
  <ignoredErrors>
    <ignoredError sqref="F9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L152"/>
  <sheetViews>
    <sheetView zoomScale="98" zoomScaleNormal="98" zoomScalePageLayoutView="98" workbookViewId="0">
      <selection activeCell="B5" sqref="B5:B101"/>
    </sheetView>
  </sheetViews>
  <sheetFormatPr baseColWidth="10" defaultColWidth="8.83203125" defaultRowHeight="14" x14ac:dyDescent="0"/>
  <cols>
    <col min="1" max="1" width="8.5" style="2" bestFit="1" customWidth="1"/>
    <col min="2" max="2" width="10.5" style="2" bestFit="1" customWidth="1"/>
    <col min="3" max="3" width="7.83203125" style="2" bestFit="1" customWidth="1"/>
    <col min="4" max="4" width="9.33203125" style="2" bestFit="1" customWidth="1"/>
    <col min="5" max="5" width="22.33203125" style="2" bestFit="1" customWidth="1"/>
    <col min="6" max="6" width="13.6640625" style="2" bestFit="1" customWidth="1"/>
    <col min="7" max="7" width="8.5" style="2" bestFit="1" customWidth="1"/>
    <col min="8" max="8" width="8.83203125" style="2"/>
    <col min="9" max="9" width="8.6640625" style="2" customWidth="1"/>
    <col min="10" max="10" width="8.83203125" style="2"/>
    <col min="11" max="11" width="12.33203125" style="2" bestFit="1" customWidth="1"/>
    <col min="12" max="13" width="8.83203125" style="2"/>
    <col min="14" max="14" width="7.6640625" style="2" customWidth="1"/>
    <col min="15" max="16384" width="8.83203125" style="2"/>
  </cols>
  <sheetData>
    <row r="1" spans="1:12">
      <c r="A1" s="8" t="s">
        <v>50</v>
      </c>
      <c r="B1" s="12">
        <v>70</v>
      </c>
      <c r="C1" s="9" t="s">
        <v>51</v>
      </c>
    </row>
    <row r="3" spans="1:12">
      <c r="A3" s="130" t="s">
        <v>5</v>
      </c>
      <c r="B3" s="130" t="s">
        <v>36</v>
      </c>
      <c r="C3" s="130"/>
      <c r="D3" s="130" t="s">
        <v>52</v>
      </c>
      <c r="E3" s="130"/>
      <c r="F3" s="130"/>
      <c r="G3" s="8" t="s">
        <v>53</v>
      </c>
    </row>
    <row r="4" spans="1:12">
      <c r="A4" s="130"/>
      <c r="B4" s="8" t="s">
        <v>54</v>
      </c>
      <c r="C4" s="8" t="s">
        <v>55</v>
      </c>
      <c r="D4" s="8" t="s">
        <v>56</v>
      </c>
      <c r="E4" s="8" t="s">
        <v>57</v>
      </c>
      <c r="F4" s="8" t="s">
        <v>58</v>
      </c>
      <c r="G4" s="8" t="s">
        <v>59</v>
      </c>
    </row>
    <row r="5" spans="1:12">
      <c r="A5" s="34">
        <v>0</v>
      </c>
      <c r="B5" s="79">
        <v>647.96</v>
      </c>
      <c r="C5" s="35">
        <f>B5/1000</f>
        <v>0.64796000000000009</v>
      </c>
      <c r="D5" s="12">
        <f>C5/1000*$B$1</f>
        <v>4.53572E-2</v>
      </c>
      <c r="E5" s="12">
        <f>D5/22.4</f>
        <v>2.0248750000000002E-3</v>
      </c>
      <c r="F5" s="12">
        <f>E5/Calculation!K$4*1000</f>
        <v>1.3045540666034438E-3</v>
      </c>
      <c r="G5" s="12">
        <f>(0+F5)/2*30</f>
        <v>1.9568310999051656E-2</v>
      </c>
    </row>
    <row r="6" spans="1:12">
      <c r="A6" s="34">
        <v>0.5</v>
      </c>
      <c r="B6" s="79">
        <v>930.39</v>
      </c>
      <c r="C6" s="35">
        <f t="shared" ref="C6:C69" si="0">B6/1000</f>
        <v>0.93038999999999994</v>
      </c>
      <c r="D6" s="12">
        <f>C6/1000*$B$1</f>
        <v>6.5127299999999999E-2</v>
      </c>
      <c r="E6" s="12">
        <f t="shared" ref="E6:E69" si="1">D6/22.4</f>
        <v>2.9074687500000003E-3</v>
      </c>
      <c r="F6" s="12">
        <f>E6/Calculation!K$4*1000</f>
        <v>1.8731774461805944E-3</v>
      </c>
      <c r="G6" s="12">
        <f>G5+(F6+F5)/2*30</f>
        <v>6.7234283690812219E-2</v>
      </c>
    </row>
    <row r="7" spans="1:12">
      <c r="A7" s="34">
        <v>1</v>
      </c>
      <c r="B7" s="79">
        <v>1042.1300000000001</v>
      </c>
      <c r="C7" s="35">
        <f t="shared" si="0"/>
        <v>1.04213</v>
      </c>
      <c r="D7" s="12">
        <f t="shared" ref="D7:D69" si="2">C7/1000*$B$1</f>
        <v>7.2949100000000003E-2</v>
      </c>
      <c r="E7" s="12">
        <f t="shared" si="1"/>
        <v>3.2566562500000004E-3</v>
      </c>
      <c r="F7" s="12">
        <f>E7/Calculation!K$4*1000</f>
        <v>2.0981463816122092E-3</v>
      </c>
      <c r="G7" s="12">
        <f>G6+(F7+F6)/2*30</f>
        <v>0.12680414110770427</v>
      </c>
    </row>
    <row r="8" spans="1:12">
      <c r="A8" s="34">
        <v>1.5</v>
      </c>
      <c r="B8" s="79">
        <v>1279.6400000000001</v>
      </c>
      <c r="C8" s="35">
        <f t="shared" si="0"/>
        <v>1.2796400000000001</v>
      </c>
      <c r="D8" s="12">
        <f t="shared" si="2"/>
        <v>8.957480000000001E-2</v>
      </c>
      <c r="E8" s="12">
        <f t="shared" si="1"/>
        <v>3.9988750000000007E-3</v>
      </c>
      <c r="F8" s="12">
        <f>E8/Calculation!K$4*1000</f>
        <v>2.5763312022168512E-3</v>
      </c>
      <c r="G8" s="12">
        <f t="shared" ref="G8:G70" si="3">G7+(F8+F7)/2*30</f>
        <v>0.19692130486514017</v>
      </c>
      <c r="K8" s="2">
        <f>0.001977/44.01</f>
        <v>4.492160872528971E-5</v>
      </c>
      <c r="L8" s="2">
        <f>1/K8</f>
        <v>22261.001517450681</v>
      </c>
    </row>
    <row r="9" spans="1:12">
      <c r="A9" s="34">
        <v>2</v>
      </c>
      <c r="B9" s="79">
        <v>1507.6</v>
      </c>
      <c r="C9" s="35">
        <f t="shared" si="0"/>
        <v>1.5075999999999998</v>
      </c>
      <c r="D9" s="12">
        <f t="shared" si="2"/>
        <v>0.10553199999999999</v>
      </c>
      <c r="E9" s="12">
        <f t="shared" si="1"/>
        <v>4.7112499999999993E-3</v>
      </c>
      <c r="F9" s="12">
        <f>E9/Calculation!K$5*1000</f>
        <v>3.133980971920595E-3</v>
      </c>
      <c r="G9" s="12">
        <f t="shared" si="3"/>
        <v>0.28257598747720186</v>
      </c>
    </row>
    <row r="10" spans="1:12">
      <c r="A10" s="34">
        <v>2.5</v>
      </c>
      <c r="B10" s="79">
        <v>1840.01</v>
      </c>
      <c r="C10" s="35">
        <f t="shared" si="0"/>
        <v>1.8400099999999999</v>
      </c>
      <c r="D10" s="12">
        <f t="shared" si="2"/>
        <v>0.12880069999999999</v>
      </c>
      <c r="E10" s="12">
        <f t="shared" si="1"/>
        <v>5.7500312499999999E-3</v>
      </c>
      <c r="F10" s="12">
        <f>E10/Calculation!K$5*1000</f>
        <v>3.8249909313767677E-3</v>
      </c>
      <c r="G10" s="12">
        <f t="shared" si="3"/>
        <v>0.38696056602666229</v>
      </c>
    </row>
    <row r="11" spans="1:12">
      <c r="A11" s="34">
        <v>3</v>
      </c>
      <c r="B11" s="79">
        <v>2277.41</v>
      </c>
      <c r="C11" s="35">
        <f t="shared" si="0"/>
        <v>2.2774099999999997</v>
      </c>
      <c r="D11" s="12">
        <f t="shared" si="2"/>
        <v>0.15941869999999997</v>
      </c>
      <c r="E11" s="12">
        <f t="shared" si="1"/>
        <v>7.1169062499999991E-3</v>
      </c>
      <c r="F11" s="12">
        <f>E11/Calculation!K$5*1000</f>
        <v>4.7342528557055468E-3</v>
      </c>
      <c r="G11" s="12">
        <f t="shared" si="3"/>
        <v>0.51534922283289697</v>
      </c>
    </row>
    <row r="12" spans="1:12">
      <c r="A12" s="34">
        <v>3.5</v>
      </c>
      <c r="B12" s="79">
        <v>2984.33</v>
      </c>
      <c r="C12" s="35">
        <f t="shared" si="0"/>
        <v>2.9843299999999999</v>
      </c>
      <c r="D12" s="12">
        <f t="shared" si="2"/>
        <v>0.20890309999999998</v>
      </c>
      <c r="E12" s="12">
        <f t="shared" si="1"/>
        <v>9.3260312500000001E-3</v>
      </c>
      <c r="F12" s="12">
        <f>E12/Calculation!K$6*1000</f>
        <v>6.4121418436145329E-3</v>
      </c>
      <c r="G12" s="12">
        <f t="shared" si="3"/>
        <v>0.68254514332269811</v>
      </c>
    </row>
    <row r="13" spans="1:12">
      <c r="A13" s="34">
        <v>4</v>
      </c>
      <c r="B13" s="79">
        <v>4184.79</v>
      </c>
      <c r="C13" s="35">
        <f t="shared" si="0"/>
        <v>4.1847899999999996</v>
      </c>
      <c r="D13" s="12">
        <f t="shared" si="2"/>
        <v>0.29293530000000001</v>
      </c>
      <c r="E13" s="12">
        <f t="shared" si="1"/>
        <v>1.3077468750000001E-2</v>
      </c>
      <c r="F13" s="12">
        <f>E13/Calculation!K$6*1000</f>
        <v>8.991454385319203E-3</v>
      </c>
      <c r="G13" s="12">
        <f t="shared" si="3"/>
        <v>0.91359908675670409</v>
      </c>
    </row>
    <row r="14" spans="1:12">
      <c r="A14" s="34">
        <v>4.5</v>
      </c>
      <c r="B14" s="79">
        <v>6073.84</v>
      </c>
      <c r="C14" s="35">
        <f t="shared" si="0"/>
        <v>6.0738400000000006</v>
      </c>
      <c r="D14" s="12">
        <f t="shared" si="2"/>
        <v>0.42516880000000001</v>
      </c>
      <c r="E14" s="12">
        <f t="shared" si="1"/>
        <v>1.8980750000000001E-2</v>
      </c>
      <c r="F14" s="12">
        <f>E14/Calculation!K$6*1000</f>
        <v>1.3050273801965497E-2</v>
      </c>
      <c r="G14" s="12">
        <f t="shared" si="3"/>
        <v>1.2442250095659746</v>
      </c>
    </row>
    <row r="15" spans="1:12">
      <c r="A15" s="34">
        <v>5</v>
      </c>
      <c r="B15" s="79">
        <v>8283.31</v>
      </c>
      <c r="C15" s="35">
        <f t="shared" si="0"/>
        <v>8.2833100000000002</v>
      </c>
      <c r="D15" s="12">
        <f t="shared" si="2"/>
        <v>0.57983170000000006</v>
      </c>
      <c r="E15" s="12">
        <f t="shared" si="1"/>
        <v>2.5885343750000005E-2</v>
      </c>
      <c r="F15" s="12">
        <f>E15/Calculation!K$7*1000</f>
        <v>1.8466060500944393E-2</v>
      </c>
      <c r="G15" s="12">
        <f t="shared" si="3"/>
        <v>1.7169700241096231</v>
      </c>
    </row>
    <row r="16" spans="1:12">
      <c r="A16" s="34">
        <v>5.5</v>
      </c>
      <c r="B16" s="79">
        <v>10562.77</v>
      </c>
      <c r="C16" s="35">
        <f t="shared" si="0"/>
        <v>10.56277</v>
      </c>
      <c r="D16" s="12">
        <f t="shared" si="2"/>
        <v>0.73939390000000005</v>
      </c>
      <c r="E16" s="12">
        <f t="shared" si="1"/>
        <v>3.3008656250000004E-2</v>
      </c>
      <c r="F16" s="12">
        <f>E16/Calculation!K$7*1000</f>
        <v>2.3547682010882171E-2</v>
      </c>
      <c r="G16" s="12">
        <f t="shared" si="3"/>
        <v>2.3471761617870213</v>
      </c>
    </row>
    <row r="17" spans="1:7">
      <c r="A17" s="34">
        <v>6</v>
      </c>
      <c r="B17" s="79">
        <v>12175.94</v>
      </c>
      <c r="C17" s="35">
        <f t="shared" si="0"/>
        <v>12.175940000000001</v>
      </c>
      <c r="D17" s="12">
        <f t="shared" si="2"/>
        <v>0.85231580000000007</v>
      </c>
      <c r="E17" s="12">
        <f t="shared" si="1"/>
        <v>3.8049812500000002E-2</v>
      </c>
      <c r="F17" s="12">
        <f>E17/Calculation!K$8*1000</f>
        <v>2.8174970387581912E-2</v>
      </c>
      <c r="G17" s="12">
        <f t="shared" si="3"/>
        <v>3.1230159477639825</v>
      </c>
    </row>
    <row r="18" spans="1:7">
      <c r="A18" s="34">
        <v>6.5</v>
      </c>
      <c r="B18" s="79">
        <v>14448.67</v>
      </c>
      <c r="C18" s="35">
        <f t="shared" si="0"/>
        <v>14.44867</v>
      </c>
      <c r="D18" s="12">
        <f t="shared" si="2"/>
        <v>1.0114069000000001</v>
      </c>
      <c r="E18" s="12">
        <f t="shared" si="1"/>
        <v>4.5152093750000011E-2</v>
      </c>
      <c r="F18" s="12">
        <f>E18/Calculation!K$8*1000</f>
        <v>3.3434038718155902E-2</v>
      </c>
      <c r="G18" s="12">
        <f t="shared" si="3"/>
        <v>4.04715108435005</v>
      </c>
    </row>
    <row r="19" spans="1:7">
      <c r="A19" s="34">
        <v>7</v>
      </c>
      <c r="B19" s="79">
        <v>17164.41</v>
      </c>
      <c r="C19" s="35">
        <f t="shared" si="0"/>
        <v>17.16441</v>
      </c>
      <c r="D19" s="12">
        <f t="shared" si="2"/>
        <v>1.2015087000000002</v>
      </c>
      <c r="E19" s="12">
        <f t="shared" si="1"/>
        <v>5.363878125000001E-2</v>
      </c>
      <c r="F19" s="12">
        <f>E19/Calculation!K$8*1000</f>
        <v>3.9718226557482625E-2</v>
      </c>
      <c r="G19" s="12">
        <f t="shared" si="3"/>
        <v>5.1444350634846279</v>
      </c>
    </row>
    <row r="20" spans="1:7">
      <c r="A20" s="34">
        <v>7.5</v>
      </c>
      <c r="B20" s="79">
        <v>20236.150000000001</v>
      </c>
      <c r="C20" s="35">
        <f t="shared" si="0"/>
        <v>20.236150000000002</v>
      </c>
      <c r="D20" s="12">
        <f t="shared" si="2"/>
        <v>1.4165305000000001</v>
      </c>
      <c r="E20" s="12">
        <f t="shared" si="1"/>
        <v>6.3237968750000012E-2</v>
      </c>
      <c r="F20" s="12">
        <f>E20/Calculation!K$9*1000</f>
        <v>4.8621784764394875E-2</v>
      </c>
      <c r="G20" s="12">
        <f t="shared" si="3"/>
        <v>6.46953523331279</v>
      </c>
    </row>
    <row r="21" spans="1:7">
      <c r="A21" s="34">
        <v>8</v>
      </c>
      <c r="B21" s="79">
        <v>22730.85</v>
      </c>
      <c r="C21" s="35">
        <f t="shared" si="0"/>
        <v>22.73085</v>
      </c>
      <c r="D21" s="12">
        <f t="shared" si="2"/>
        <v>1.5911595000000001</v>
      </c>
      <c r="E21" s="12">
        <f t="shared" si="1"/>
        <v>7.1033906250000001E-2</v>
      </c>
      <c r="F21" s="12">
        <f>E21/Calculation!K$9*1000</f>
        <v>5.4615848183164534E-2</v>
      </c>
      <c r="G21" s="12">
        <f t="shared" si="3"/>
        <v>8.0180997275261809</v>
      </c>
    </row>
    <row r="22" spans="1:7">
      <c r="A22" s="34">
        <v>8.5</v>
      </c>
      <c r="B22" s="79">
        <v>25012.94</v>
      </c>
      <c r="C22" s="35">
        <f t="shared" si="0"/>
        <v>25.01294</v>
      </c>
      <c r="D22" s="12">
        <f t="shared" si="2"/>
        <v>1.7509058</v>
      </c>
      <c r="E22" s="12">
        <f t="shared" si="1"/>
        <v>7.8165437500000004E-2</v>
      </c>
      <c r="F22" s="12">
        <f>E22/Calculation!K$9*1000</f>
        <v>6.0099069487265261E-2</v>
      </c>
      <c r="G22" s="12">
        <f t="shared" si="3"/>
        <v>9.7388234925826271</v>
      </c>
    </row>
    <row r="23" spans="1:7">
      <c r="A23" s="34">
        <v>9</v>
      </c>
      <c r="B23" s="79">
        <v>25990.31</v>
      </c>
      <c r="C23" s="35">
        <f t="shared" si="0"/>
        <v>25.990310000000001</v>
      </c>
      <c r="D23" s="12">
        <f t="shared" si="2"/>
        <v>1.8193217000000002</v>
      </c>
      <c r="E23" s="12">
        <f t="shared" si="1"/>
        <v>8.1219718750000017E-2</v>
      </c>
      <c r="F23" s="12">
        <f>E23/Calculation!K$10*1000</f>
        <v>6.4407862266461988E-2</v>
      </c>
      <c r="G23" s="12">
        <f t="shared" si="3"/>
        <v>11.606427468888535</v>
      </c>
    </row>
    <row r="24" spans="1:7">
      <c r="A24" s="34">
        <v>9.5</v>
      </c>
      <c r="B24" s="79">
        <v>27101.31</v>
      </c>
      <c r="C24" s="35">
        <f t="shared" si="0"/>
        <v>27.101310000000002</v>
      </c>
      <c r="D24" s="12">
        <f t="shared" si="2"/>
        <v>1.8970917</v>
      </c>
      <c r="E24" s="12">
        <f t="shared" si="1"/>
        <v>8.4691593750000002E-2</v>
      </c>
      <c r="F24" s="12">
        <f>E24/Calculation!K$10*1000</f>
        <v>6.7161085870876047E-2</v>
      </c>
      <c r="G24" s="12">
        <f t="shared" si="3"/>
        <v>13.579961690948606</v>
      </c>
    </row>
    <row r="25" spans="1:7">
      <c r="A25" s="34">
        <v>10</v>
      </c>
      <c r="B25" s="79">
        <v>26159.13</v>
      </c>
      <c r="C25" s="35">
        <f t="shared" si="0"/>
        <v>26.159130000000001</v>
      </c>
      <c r="D25" s="12">
        <f t="shared" si="2"/>
        <v>1.8311391000000001</v>
      </c>
      <c r="E25" s="12">
        <f t="shared" si="1"/>
        <v>8.1747281250000012E-2</v>
      </c>
      <c r="F25" s="12">
        <f>E25/Calculation!K$11*1000</f>
        <v>6.7159561634687309E-2</v>
      </c>
      <c r="G25" s="12">
        <f t="shared" si="3"/>
        <v>15.594771403532057</v>
      </c>
    </row>
    <row r="26" spans="1:7">
      <c r="A26" s="34">
        <v>10.5</v>
      </c>
      <c r="B26" s="79">
        <v>25130.1</v>
      </c>
      <c r="C26" s="35">
        <f t="shared" si="0"/>
        <v>25.130099999999999</v>
      </c>
      <c r="D26" s="12">
        <f t="shared" si="2"/>
        <v>1.759107</v>
      </c>
      <c r="E26" s="12">
        <f t="shared" si="1"/>
        <v>7.8531562499999999E-2</v>
      </c>
      <c r="F26" s="12">
        <f>E26/Calculation!K$11*1000</f>
        <v>6.4517684641494391E-2</v>
      </c>
      <c r="G26" s="12">
        <f t="shared" si="3"/>
        <v>17.569930097674781</v>
      </c>
    </row>
    <row r="27" spans="1:7">
      <c r="A27" s="34">
        <v>11</v>
      </c>
      <c r="B27" s="79">
        <v>22941.040000000001</v>
      </c>
      <c r="C27" s="35">
        <f t="shared" si="0"/>
        <v>22.941040000000001</v>
      </c>
      <c r="D27" s="12">
        <f t="shared" si="2"/>
        <v>1.6058728</v>
      </c>
      <c r="E27" s="12">
        <f t="shared" si="1"/>
        <v>7.1690749999999998E-2</v>
      </c>
      <c r="F27" s="12">
        <f>E27/Calculation!K$11*1000</f>
        <v>5.889760820959361E-2</v>
      </c>
      <c r="G27" s="12">
        <f t="shared" si="3"/>
        <v>19.421159490441102</v>
      </c>
    </row>
    <row r="28" spans="1:7">
      <c r="A28" s="34">
        <v>11.5</v>
      </c>
      <c r="B28" s="79">
        <v>20649.22</v>
      </c>
      <c r="C28" s="35">
        <f t="shared" si="0"/>
        <v>20.64922</v>
      </c>
      <c r="D28" s="12">
        <f t="shared" si="2"/>
        <v>1.4454453999999999</v>
      </c>
      <c r="E28" s="12">
        <f t="shared" si="1"/>
        <v>6.4528812500000005E-2</v>
      </c>
      <c r="F28" s="12">
        <f>E28/Calculation!K$12*1000</f>
        <v>5.4978764162739613E-2</v>
      </c>
      <c r="G28" s="12">
        <f t="shared" si="3"/>
        <v>21.1293050760261</v>
      </c>
    </row>
    <row r="29" spans="1:7">
      <c r="A29" s="34">
        <v>12</v>
      </c>
      <c r="B29" s="79">
        <v>19935.560000000001</v>
      </c>
      <c r="C29" s="35">
        <f t="shared" si="0"/>
        <v>19.935560000000002</v>
      </c>
      <c r="D29" s="12">
        <f t="shared" si="2"/>
        <v>1.3954892000000001</v>
      </c>
      <c r="E29" s="12">
        <f t="shared" si="1"/>
        <v>6.229862500000001E-2</v>
      </c>
      <c r="F29" s="12">
        <f>E29/Calculation!K$12*1000</f>
        <v>5.3078636950555293E-2</v>
      </c>
      <c r="G29" s="12">
        <f t="shared" si="3"/>
        <v>22.750166092725522</v>
      </c>
    </row>
    <row r="30" spans="1:7">
      <c r="A30" s="34">
        <v>12.5</v>
      </c>
      <c r="B30" s="79">
        <v>16335.65</v>
      </c>
      <c r="C30" s="35">
        <f t="shared" si="0"/>
        <v>16.335650000000001</v>
      </c>
      <c r="D30" s="12">
        <f t="shared" si="2"/>
        <v>1.1434955</v>
      </c>
      <c r="E30" s="12">
        <f t="shared" si="1"/>
        <v>5.1048906250000005E-2</v>
      </c>
      <c r="F30" s="12">
        <f>E30/Calculation!K$12*1000</f>
        <v>4.3493838934112634E-2</v>
      </c>
      <c r="G30" s="12">
        <f t="shared" si="3"/>
        <v>24.198753230995539</v>
      </c>
    </row>
    <row r="31" spans="1:7">
      <c r="A31" s="34">
        <v>13</v>
      </c>
      <c r="B31" s="79">
        <v>12203.45</v>
      </c>
      <c r="C31" s="35">
        <f t="shared" si="0"/>
        <v>12.20345</v>
      </c>
      <c r="D31" s="12">
        <f t="shared" si="2"/>
        <v>0.85424149999999999</v>
      </c>
      <c r="E31" s="12">
        <f t="shared" si="1"/>
        <v>3.813578125E-2</v>
      </c>
      <c r="F31" s="12">
        <f>E31/Calculation!K$13*1000</f>
        <v>3.3877333690620008E-2</v>
      </c>
      <c r="G31" s="12">
        <f t="shared" si="3"/>
        <v>25.359320820366527</v>
      </c>
    </row>
    <row r="32" spans="1:7">
      <c r="A32" s="34">
        <v>13.5</v>
      </c>
      <c r="B32" s="79">
        <v>9463.75</v>
      </c>
      <c r="C32" s="35">
        <f t="shared" si="0"/>
        <v>9.4637499999999992</v>
      </c>
      <c r="D32" s="12">
        <f t="shared" si="2"/>
        <v>0.66246249999999995</v>
      </c>
      <c r="E32" s="12">
        <f t="shared" si="1"/>
        <v>2.9574218749999999E-2</v>
      </c>
      <c r="F32" s="12">
        <f>E32/Calculation!K$13*1000</f>
        <v>2.627180155731413E-2</v>
      </c>
      <c r="G32" s="12">
        <f t="shared" si="3"/>
        <v>26.261557849085538</v>
      </c>
    </row>
    <row r="33" spans="1:7">
      <c r="A33" s="34">
        <v>14</v>
      </c>
      <c r="B33" s="79">
        <v>10349.969999999999</v>
      </c>
      <c r="C33" s="35">
        <f t="shared" si="0"/>
        <v>10.349969999999999</v>
      </c>
      <c r="D33" s="12">
        <f t="shared" si="2"/>
        <v>0.72449789999999992</v>
      </c>
      <c r="E33" s="12">
        <f t="shared" si="1"/>
        <v>3.2343656249999998E-2</v>
      </c>
      <c r="F33" s="12">
        <f>E33/Calculation!K$14*1000</f>
        <v>2.9872343719882608E-2</v>
      </c>
      <c r="G33" s="12">
        <f t="shared" si="3"/>
        <v>27.10372002824349</v>
      </c>
    </row>
    <row r="34" spans="1:7">
      <c r="A34" s="34">
        <v>14.5</v>
      </c>
      <c r="B34" s="79">
        <v>8526.06</v>
      </c>
      <c r="C34" s="35">
        <f t="shared" si="0"/>
        <v>8.5260599999999993</v>
      </c>
      <c r="D34" s="12">
        <f t="shared" si="2"/>
        <v>0.59682419999999992</v>
      </c>
      <c r="E34" s="12">
        <f t="shared" si="1"/>
        <v>2.6643937499999999E-2</v>
      </c>
      <c r="F34" s="12">
        <f>E34/Calculation!K$14*1000</f>
        <v>2.4608128805817055E-2</v>
      </c>
      <c r="G34" s="12">
        <f t="shared" si="3"/>
        <v>27.920927116128986</v>
      </c>
    </row>
    <row r="35" spans="1:7">
      <c r="A35" s="34">
        <v>15</v>
      </c>
      <c r="B35" s="79">
        <v>6845.7</v>
      </c>
      <c r="C35" s="35">
        <f t="shared" si="0"/>
        <v>6.8456999999999999</v>
      </c>
      <c r="D35" s="12">
        <f t="shared" si="2"/>
        <v>0.47919899999999999</v>
      </c>
      <c r="E35" s="12">
        <f t="shared" si="1"/>
        <v>2.13928125E-2</v>
      </c>
      <c r="F35" s="12">
        <f>E35/Calculation!K$14*1000</f>
        <v>1.9758231512091377E-2</v>
      </c>
      <c r="G35" s="12">
        <f t="shared" si="3"/>
        <v>28.586422520897614</v>
      </c>
    </row>
    <row r="36" spans="1:7">
      <c r="A36" s="34">
        <v>15.5</v>
      </c>
      <c r="B36" s="79">
        <v>5355.32</v>
      </c>
      <c r="C36" s="35">
        <f t="shared" si="0"/>
        <v>5.3553199999999999</v>
      </c>
      <c r="D36" s="12">
        <f t="shared" si="2"/>
        <v>0.37487239999999999</v>
      </c>
      <c r="E36" s="12">
        <f t="shared" si="1"/>
        <v>1.6735375E-2</v>
      </c>
      <c r="F36" s="12">
        <f>E36/Calculation!K$15*1000</f>
        <v>1.6036801979715156E-2</v>
      </c>
      <c r="G36" s="12">
        <f t="shared" si="3"/>
        <v>29.123348023274712</v>
      </c>
    </row>
    <row r="37" spans="1:7">
      <c r="A37" s="34">
        <v>16</v>
      </c>
      <c r="B37" s="79">
        <v>4156.3500000000004</v>
      </c>
      <c r="C37" s="35">
        <f t="shared" si="0"/>
        <v>4.1563500000000007</v>
      </c>
      <c r="D37" s="12">
        <f t="shared" si="2"/>
        <v>0.29094450000000005</v>
      </c>
      <c r="E37" s="12">
        <f t="shared" si="1"/>
        <v>1.2988593750000003E-2</v>
      </c>
      <c r="F37" s="12">
        <f>E37/Calculation!K$15*1000</f>
        <v>1.2446419991408376E-2</v>
      </c>
      <c r="G37" s="12">
        <f t="shared" si="3"/>
        <v>29.550596352841566</v>
      </c>
    </row>
    <row r="38" spans="1:7">
      <c r="A38" s="34">
        <v>16.5</v>
      </c>
      <c r="B38" s="79">
        <v>3258.33</v>
      </c>
      <c r="C38" s="35">
        <f t="shared" si="0"/>
        <v>3.2583299999999999</v>
      </c>
      <c r="D38" s="12">
        <f t="shared" si="2"/>
        <v>0.22808309999999998</v>
      </c>
      <c r="E38" s="12">
        <f t="shared" si="1"/>
        <v>1.0182281249999999E-2</v>
      </c>
      <c r="F38" s="12">
        <f>E38/Calculation!K$15*1000</f>
        <v>9.7572494257234469E-3</v>
      </c>
      <c r="G38" s="12">
        <f t="shared" si="3"/>
        <v>29.883651394098543</v>
      </c>
    </row>
    <row r="39" spans="1:7">
      <c r="A39" s="34">
        <v>17</v>
      </c>
      <c r="B39" s="79">
        <v>2462.6999999999998</v>
      </c>
      <c r="C39" s="35">
        <f t="shared" si="0"/>
        <v>2.4626999999999999</v>
      </c>
      <c r="D39" s="12">
        <f t="shared" si="2"/>
        <v>0.17238899999999999</v>
      </c>
      <c r="E39" s="12">
        <f t="shared" si="1"/>
        <v>7.6959374999999997E-3</v>
      </c>
      <c r="F39" s="12">
        <f>E39/Calculation!K$16*1000</f>
        <v>7.7482686157678456E-3</v>
      </c>
      <c r="G39" s="12">
        <f>G38+(F39+F38)/2*30</f>
        <v>30.146234164720912</v>
      </c>
    </row>
    <row r="40" spans="1:7">
      <c r="A40" s="34">
        <v>17.5</v>
      </c>
      <c r="B40" s="79">
        <v>1956.24</v>
      </c>
      <c r="C40" s="35">
        <f t="shared" si="0"/>
        <v>1.95624</v>
      </c>
      <c r="D40" s="12">
        <f t="shared" si="2"/>
        <v>0.1369368</v>
      </c>
      <c r="E40" s="12">
        <f t="shared" si="1"/>
        <v>6.1132500000000006E-3</v>
      </c>
      <c r="F40" s="12">
        <f>E40/Calculation!K$16*1000</f>
        <v>6.154819099731877E-3</v>
      </c>
      <c r="G40" s="12">
        <f t="shared" si="3"/>
        <v>30.354780480453407</v>
      </c>
    </row>
    <row r="41" spans="1:7">
      <c r="A41" s="34">
        <v>18</v>
      </c>
      <c r="B41" s="79">
        <v>1547.84</v>
      </c>
      <c r="C41" s="35">
        <f t="shared" si="0"/>
        <v>1.5478399999999999</v>
      </c>
      <c r="D41" s="12">
        <f t="shared" si="2"/>
        <v>0.1083488</v>
      </c>
      <c r="E41" s="12">
        <f t="shared" si="1"/>
        <v>4.8370000000000002E-3</v>
      </c>
      <c r="F41" s="12">
        <f>E41/Calculation!K$17*1000</f>
        <v>5.1449986143908503E-3</v>
      </c>
      <c r="G41" s="12">
        <f t="shared" si="3"/>
        <v>30.524277746165247</v>
      </c>
    </row>
    <row r="42" spans="1:7">
      <c r="A42" s="34">
        <v>18.5</v>
      </c>
      <c r="B42" s="79">
        <v>1217.31</v>
      </c>
      <c r="C42" s="35">
        <f t="shared" si="0"/>
        <v>1.2173099999999999</v>
      </c>
      <c r="D42" s="12">
        <f t="shared" si="2"/>
        <v>8.5211699999999987E-2</v>
      </c>
      <c r="E42" s="12">
        <f t="shared" si="1"/>
        <v>3.8040937499999997E-3</v>
      </c>
      <c r="F42" s="12">
        <f>E42/Calculation!K$17*1000</f>
        <v>4.0463214952993366E-3</v>
      </c>
      <c r="G42" s="12">
        <f t="shared" si="3"/>
        <v>30.662147547810598</v>
      </c>
    </row>
    <row r="43" spans="1:7">
      <c r="A43" s="34">
        <v>19</v>
      </c>
      <c r="B43" s="79">
        <v>895.95</v>
      </c>
      <c r="C43" s="35">
        <f t="shared" si="0"/>
        <v>0.89595000000000002</v>
      </c>
      <c r="D43" s="12">
        <f t="shared" si="2"/>
        <v>6.2716500000000008E-2</v>
      </c>
      <c r="E43" s="12">
        <f t="shared" si="1"/>
        <v>2.7998437500000007E-3</v>
      </c>
      <c r="F43" s="12">
        <f>E43/Calculation!K$17*1000</f>
        <v>2.9781253285633422E-3</v>
      </c>
      <c r="G43" s="12">
        <f t="shared" si="3"/>
        <v>30.767514250168539</v>
      </c>
    </row>
    <row r="44" spans="1:7">
      <c r="A44" s="34">
        <v>19.5</v>
      </c>
      <c r="B44" s="79">
        <v>739.86</v>
      </c>
      <c r="C44" s="35">
        <f t="shared" si="0"/>
        <v>0.73985999999999996</v>
      </c>
      <c r="D44" s="12">
        <f t="shared" si="2"/>
        <v>5.1790199999999995E-2</v>
      </c>
      <c r="E44" s="12">
        <f t="shared" si="1"/>
        <v>2.3120624999999999E-3</v>
      </c>
      <c r="F44" s="12">
        <f>E44/Calculation!K$17*1000</f>
        <v>2.4592843413035032E-3</v>
      </c>
      <c r="G44" s="12">
        <f t="shared" si="3"/>
        <v>30.849075395216541</v>
      </c>
    </row>
    <row r="45" spans="1:7">
      <c r="A45" s="34">
        <v>20</v>
      </c>
      <c r="B45" s="79">
        <v>592.55999999999995</v>
      </c>
      <c r="C45" s="35">
        <f t="shared" si="0"/>
        <v>0.59255999999999998</v>
      </c>
      <c r="D45" s="12">
        <f t="shared" si="2"/>
        <v>4.1479200000000001E-2</v>
      </c>
      <c r="E45" s="12">
        <f t="shared" si="1"/>
        <v>1.8517500000000001E-3</v>
      </c>
      <c r="F45" s="12">
        <f>E45/Calculation!K$17*1000</f>
        <v>1.9696611916887033E-3</v>
      </c>
      <c r="G45" s="12">
        <f t="shared" si="3"/>
        <v>30.915509578211424</v>
      </c>
    </row>
    <row r="46" spans="1:7">
      <c r="A46" s="34">
        <v>20.5</v>
      </c>
      <c r="B46" s="79">
        <v>513.76</v>
      </c>
      <c r="C46" s="35">
        <f t="shared" si="0"/>
        <v>0.51375999999999999</v>
      </c>
      <c r="D46" s="12">
        <f t="shared" si="2"/>
        <v>3.5963200000000001E-2</v>
      </c>
      <c r="E46" s="12">
        <f t="shared" si="1"/>
        <v>1.6055000000000002E-3</v>
      </c>
      <c r="F46" s="12">
        <f>E46/Calculation!K$17*1000</f>
        <v>1.7077310885682264E-3</v>
      </c>
      <c r="G46" s="12">
        <f t="shared" si="3"/>
        <v>30.970670462415278</v>
      </c>
    </row>
    <row r="47" spans="1:7">
      <c r="A47" s="34">
        <v>21</v>
      </c>
      <c r="B47" s="79">
        <v>427.29</v>
      </c>
      <c r="C47" s="35">
        <f t="shared" si="0"/>
        <v>0.42729</v>
      </c>
      <c r="D47" s="12">
        <f t="shared" si="2"/>
        <v>2.9910299999999997E-2</v>
      </c>
      <c r="E47" s="12">
        <f t="shared" si="1"/>
        <v>1.3352812499999999E-3</v>
      </c>
      <c r="F47" s="12">
        <f>E47/Calculation!K$17*1000</f>
        <v>1.4203060122125453E-3</v>
      </c>
      <c r="G47" s="12">
        <f t="shared" si="3"/>
        <v>31.017591018926989</v>
      </c>
    </row>
    <row r="48" spans="1:7">
      <c r="A48" s="34">
        <v>21.5</v>
      </c>
      <c r="B48" s="79">
        <v>358.42</v>
      </c>
      <c r="C48" s="35">
        <f t="shared" si="0"/>
        <v>0.35842000000000002</v>
      </c>
      <c r="D48" s="12">
        <f t="shared" si="2"/>
        <v>2.5089400000000001E-2</v>
      </c>
      <c r="E48" s="12">
        <f t="shared" si="1"/>
        <v>1.1200625000000002E-3</v>
      </c>
      <c r="F48" s="12">
        <f>E48/Calculation!K$17*1000</f>
        <v>1.191383090868545E-3</v>
      </c>
      <c r="G48" s="12">
        <f t="shared" si="3"/>
        <v>31.056766355473204</v>
      </c>
    </row>
    <row r="49" spans="1:7">
      <c r="A49" s="34">
        <v>22</v>
      </c>
      <c r="B49" s="79">
        <v>321.73</v>
      </c>
      <c r="C49" s="35">
        <f t="shared" si="0"/>
        <v>0.32173000000000002</v>
      </c>
      <c r="D49" s="12">
        <f t="shared" si="2"/>
        <v>2.2521099999999999E-2</v>
      </c>
      <c r="E49" s="12">
        <f t="shared" si="1"/>
        <v>1.00540625E-3</v>
      </c>
      <c r="F49" s="12">
        <f>E49/Calculation!K$17*1000</f>
        <v>1.0694260415856731E-3</v>
      </c>
      <c r="G49" s="12">
        <f t="shared" si="3"/>
        <v>31.090678492460018</v>
      </c>
    </row>
    <row r="50" spans="1:7">
      <c r="A50" s="34">
        <v>22.5</v>
      </c>
      <c r="B50" s="79">
        <v>259.97000000000003</v>
      </c>
      <c r="C50" s="35">
        <f t="shared" si="0"/>
        <v>0.25997000000000003</v>
      </c>
      <c r="D50" s="12">
        <f t="shared" si="2"/>
        <v>1.8197900000000003E-2</v>
      </c>
      <c r="E50" s="12">
        <f t="shared" si="1"/>
        <v>8.1240625000000019E-4</v>
      </c>
      <c r="F50" s="12">
        <f>E50/Calculation!K$17*1000</f>
        <v>8.6413666127195944E-4</v>
      </c>
      <c r="G50" s="12">
        <f t="shared" si="3"/>
        <v>31.119681933002884</v>
      </c>
    </row>
    <row r="51" spans="1:7">
      <c r="A51" s="34">
        <v>23</v>
      </c>
      <c r="B51" s="79">
        <v>233.21</v>
      </c>
      <c r="C51" s="35">
        <f t="shared" si="0"/>
        <v>0.23321</v>
      </c>
      <c r="D51" s="12">
        <f t="shared" si="2"/>
        <v>1.6324700000000001E-2</v>
      </c>
      <c r="E51" s="12">
        <f t="shared" si="1"/>
        <v>7.2878125000000005E-4</v>
      </c>
      <c r="F51" s="12">
        <f>E51/Calculation!K$17*1000</f>
        <v>7.7518679376556378E-4</v>
      </c>
      <c r="G51" s="12">
        <f t="shared" si="3"/>
        <v>31.144271784828447</v>
      </c>
    </row>
    <row r="52" spans="1:7">
      <c r="A52" s="34">
        <v>23.5</v>
      </c>
      <c r="B52" s="79">
        <v>208.13</v>
      </c>
      <c r="C52" s="35">
        <f t="shared" si="0"/>
        <v>0.20812999999999998</v>
      </c>
      <c r="D52" s="12">
        <f t="shared" si="2"/>
        <v>1.4569099999999998E-2</v>
      </c>
      <c r="E52" s="12">
        <f t="shared" si="1"/>
        <v>6.5040624999999994E-4</v>
      </c>
      <c r="F52" s="12">
        <f>E52/Calculation!K$17*1000</f>
        <v>6.9182122287391942E-4</v>
      </c>
      <c r="G52" s="12">
        <f t="shared" si="3"/>
        <v>31.166276905078039</v>
      </c>
    </row>
    <row r="53" spans="1:7">
      <c r="A53" s="34">
        <v>24</v>
      </c>
      <c r="B53" s="79">
        <v>199.89</v>
      </c>
      <c r="C53" s="35">
        <f t="shared" si="0"/>
        <v>0.19988999999999998</v>
      </c>
      <c r="D53" s="12">
        <f t="shared" si="2"/>
        <v>1.3992299999999999E-2</v>
      </c>
      <c r="E53" s="12">
        <f t="shared" si="1"/>
        <v>6.2465624999999999E-4</v>
      </c>
      <c r="F53" s="12">
        <f>E53/Calculation!K$18*1000</f>
        <v>7.0273738131148168E-4</v>
      </c>
      <c r="G53" s="12">
        <f t="shared" si="3"/>
        <v>31.18719528414082</v>
      </c>
    </row>
    <row r="54" spans="1:7">
      <c r="A54" s="34">
        <v>24.5</v>
      </c>
      <c r="B54" s="79">
        <v>193.9</v>
      </c>
      <c r="C54" s="35">
        <f t="shared" si="0"/>
        <v>0.19390000000000002</v>
      </c>
      <c r="D54" s="12">
        <f t="shared" si="2"/>
        <v>1.3573000000000002E-2</v>
      </c>
      <c r="E54" s="12">
        <f t="shared" si="1"/>
        <v>6.0593750000000014E-4</v>
      </c>
      <c r="F54" s="12">
        <f>E54/Calculation!K$18*1000</f>
        <v>6.8167881452947286E-4</v>
      </c>
      <c r="G54" s="12">
        <f t="shared" si="3"/>
        <v>31.207961527078435</v>
      </c>
    </row>
    <row r="55" spans="1:7">
      <c r="A55" s="34">
        <v>25</v>
      </c>
      <c r="B55" s="79">
        <v>194.65</v>
      </c>
      <c r="C55" s="35">
        <f t="shared" si="0"/>
        <v>0.19465000000000002</v>
      </c>
      <c r="D55" s="12">
        <f t="shared" si="2"/>
        <v>1.36255E-2</v>
      </c>
      <c r="E55" s="12">
        <f t="shared" si="1"/>
        <v>6.082812500000001E-4</v>
      </c>
      <c r="F55" s="12">
        <f>E55/Calculation!K$18*1000</f>
        <v>6.8431552990284622E-4</v>
      </c>
      <c r="G55" s="12">
        <f t="shared" si="3"/>
        <v>31.228451442244921</v>
      </c>
    </row>
    <row r="56" spans="1:7">
      <c r="A56" s="34">
        <v>25.5</v>
      </c>
      <c r="B56" s="79">
        <v>175</v>
      </c>
      <c r="C56" s="35">
        <f t="shared" si="0"/>
        <v>0.17499999999999999</v>
      </c>
      <c r="D56" s="12">
        <f t="shared" si="2"/>
        <v>1.225E-2</v>
      </c>
      <c r="E56" s="12">
        <f t="shared" si="1"/>
        <v>5.4687500000000005E-4</v>
      </c>
      <c r="F56" s="12">
        <f>E56/Calculation!K$18*1000</f>
        <v>6.1523358712046278E-4</v>
      </c>
      <c r="G56" s="12">
        <f t="shared" si="3"/>
        <v>31.24794467900027</v>
      </c>
    </row>
    <row r="57" spans="1:7">
      <c r="A57" s="34">
        <v>26</v>
      </c>
      <c r="B57" s="79">
        <v>0</v>
      </c>
      <c r="C57" s="35">
        <f t="shared" si="0"/>
        <v>0</v>
      </c>
      <c r="D57" s="12">
        <f t="shared" si="2"/>
        <v>0</v>
      </c>
      <c r="E57" s="12">
        <f t="shared" si="1"/>
        <v>0</v>
      </c>
      <c r="F57" s="12">
        <f>E57/Calculation!K$18*1000</f>
        <v>0</v>
      </c>
      <c r="G57" s="12">
        <f t="shared" si="3"/>
        <v>31.257173182807076</v>
      </c>
    </row>
    <row r="58" spans="1:7">
      <c r="A58" s="34">
        <v>26.5</v>
      </c>
      <c r="B58" s="79">
        <v>0</v>
      </c>
      <c r="C58" s="35">
        <f t="shared" si="0"/>
        <v>0</v>
      </c>
      <c r="D58" s="12">
        <f t="shared" si="2"/>
        <v>0</v>
      </c>
      <c r="E58" s="12">
        <f t="shared" si="1"/>
        <v>0</v>
      </c>
      <c r="F58" s="12">
        <f>E58/Calculation!K$18*1000</f>
        <v>0</v>
      </c>
      <c r="G58" s="12">
        <f t="shared" si="3"/>
        <v>31.257173182807076</v>
      </c>
    </row>
    <row r="59" spans="1:7">
      <c r="A59" s="34">
        <v>27</v>
      </c>
      <c r="B59" s="79">
        <v>0</v>
      </c>
      <c r="C59" s="35">
        <f t="shared" si="0"/>
        <v>0</v>
      </c>
      <c r="D59" s="12">
        <f t="shared" si="2"/>
        <v>0</v>
      </c>
      <c r="E59" s="12">
        <f t="shared" si="1"/>
        <v>0</v>
      </c>
      <c r="F59" s="12">
        <f>E59/Calculation!K$18*1000</f>
        <v>0</v>
      </c>
      <c r="G59" s="12">
        <f t="shared" si="3"/>
        <v>31.257173182807076</v>
      </c>
    </row>
    <row r="60" spans="1:7">
      <c r="A60" s="34">
        <v>27.5</v>
      </c>
      <c r="B60" s="79">
        <v>0</v>
      </c>
      <c r="C60" s="35">
        <f t="shared" si="0"/>
        <v>0</v>
      </c>
      <c r="D60" s="12">
        <f t="shared" si="2"/>
        <v>0</v>
      </c>
      <c r="E60" s="12">
        <f t="shared" si="1"/>
        <v>0</v>
      </c>
      <c r="F60" s="12">
        <f>E60/Calculation!K$18*1000</f>
        <v>0</v>
      </c>
      <c r="G60" s="12">
        <f t="shared" si="3"/>
        <v>31.257173182807076</v>
      </c>
    </row>
    <row r="61" spans="1:7">
      <c r="A61" s="34">
        <v>28</v>
      </c>
      <c r="B61" s="79">
        <v>0</v>
      </c>
      <c r="C61" s="35">
        <f t="shared" si="0"/>
        <v>0</v>
      </c>
      <c r="D61" s="12">
        <f t="shared" si="2"/>
        <v>0</v>
      </c>
      <c r="E61" s="12">
        <f t="shared" si="1"/>
        <v>0</v>
      </c>
      <c r="F61" s="12">
        <f>E61/Calculation!K$18*1000</f>
        <v>0</v>
      </c>
      <c r="G61" s="12">
        <f t="shared" si="3"/>
        <v>31.257173182807076</v>
      </c>
    </row>
    <row r="62" spans="1:7">
      <c r="A62" s="34">
        <v>28.5</v>
      </c>
      <c r="B62" s="79">
        <v>0</v>
      </c>
      <c r="C62" s="35">
        <f t="shared" si="0"/>
        <v>0</v>
      </c>
      <c r="D62" s="12">
        <f t="shared" si="2"/>
        <v>0</v>
      </c>
      <c r="E62" s="12">
        <f t="shared" si="1"/>
        <v>0</v>
      </c>
      <c r="F62" s="12">
        <f>E62/Calculation!K$18*1000</f>
        <v>0</v>
      </c>
      <c r="G62" s="12">
        <f t="shared" si="3"/>
        <v>31.257173182807076</v>
      </c>
    </row>
    <row r="63" spans="1:7">
      <c r="A63" s="34">
        <v>29</v>
      </c>
      <c r="B63" s="79">
        <v>0</v>
      </c>
      <c r="C63" s="35">
        <f t="shared" si="0"/>
        <v>0</v>
      </c>
      <c r="D63" s="12">
        <f t="shared" si="2"/>
        <v>0</v>
      </c>
      <c r="E63" s="12">
        <f t="shared" si="1"/>
        <v>0</v>
      </c>
      <c r="F63" s="12">
        <f>E63/Calculation!K$18*1000</f>
        <v>0</v>
      </c>
      <c r="G63" s="12">
        <f t="shared" si="3"/>
        <v>31.257173182807076</v>
      </c>
    </row>
    <row r="64" spans="1:7">
      <c r="A64" s="34">
        <v>29.5</v>
      </c>
      <c r="B64" s="79">
        <v>0</v>
      </c>
      <c r="C64" s="35">
        <f t="shared" si="0"/>
        <v>0</v>
      </c>
      <c r="D64" s="12">
        <f t="shared" si="2"/>
        <v>0</v>
      </c>
      <c r="E64" s="12">
        <f t="shared" si="1"/>
        <v>0</v>
      </c>
      <c r="F64" s="12">
        <f>E64/Calculation!K$18*1000</f>
        <v>0</v>
      </c>
      <c r="G64" s="12">
        <f t="shared" si="3"/>
        <v>31.257173182807076</v>
      </c>
    </row>
    <row r="65" spans="1:7">
      <c r="A65" s="34">
        <v>30</v>
      </c>
      <c r="B65" s="79">
        <v>0</v>
      </c>
      <c r="C65" s="35">
        <f t="shared" si="0"/>
        <v>0</v>
      </c>
      <c r="D65" s="12">
        <f t="shared" si="2"/>
        <v>0</v>
      </c>
      <c r="E65" s="12">
        <f t="shared" si="1"/>
        <v>0</v>
      </c>
      <c r="F65" s="12">
        <f>E65/Calculation!K$18*1000</f>
        <v>0</v>
      </c>
      <c r="G65" s="12">
        <f t="shared" si="3"/>
        <v>31.257173182807076</v>
      </c>
    </row>
    <row r="66" spans="1:7">
      <c r="A66" s="34">
        <v>30.5</v>
      </c>
      <c r="B66" s="79">
        <v>0</v>
      </c>
      <c r="C66" s="35">
        <f t="shared" si="0"/>
        <v>0</v>
      </c>
      <c r="D66" s="12">
        <f t="shared" si="2"/>
        <v>0</v>
      </c>
      <c r="E66" s="12">
        <f t="shared" si="1"/>
        <v>0</v>
      </c>
      <c r="F66" s="12">
        <f>E66/Calculation!K$19*1000</f>
        <v>0</v>
      </c>
      <c r="G66" s="12">
        <f t="shared" si="3"/>
        <v>31.257173182807076</v>
      </c>
    </row>
    <row r="67" spans="1:7">
      <c r="A67" s="34">
        <v>31</v>
      </c>
      <c r="B67" s="79">
        <v>0</v>
      </c>
      <c r="C67" s="35">
        <f t="shared" si="0"/>
        <v>0</v>
      </c>
      <c r="D67" s="12">
        <f t="shared" si="2"/>
        <v>0</v>
      </c>
      <c r="E67" s="12">
        <f t="shared" si="1"/>
        <v>0</v>
      </c>
      <c r="F67" s="12">
        <f>E67/Calculation!K$19*1000</f>
        <v>0</v>
      </c>
      <c r="G67" s="12">
        <f t="shared" si="3"/>
        <v>31.257173182807076</v>
      </c>
    </row>
    <row r="68" spans="1:7">
      <c r="A68" s="34">
        <v>31.5</v>
      </c>
      <c r="B68" s="79">
        <v>0</v>
      </c>
      <c r="C68" s="35">
        <f t="shared" si="0"/>
        <v>0</v>
      </c>
      <c r="D68" s="12">
        <f t="shared" si="2"/>
        <v>0</v>
      </c>
      <c r="E68" s="12">
        <f t="shared" si="1"/>
        <v>0</v>
      </c>
      <c r="F68" s="12">
        <f>E68/Calculation!K$19*1000</f>
        <v>0</v>
      </c>
      <c r="G68" s="12">
        <f t="shared" si="3"/>
        <v>31.257173182807076</v>
      </c>
    </row>
    <row r="69" spans="1:7">
      <c r="A69" s="34">
        <v>32</v>
      </c>
      <c r="B69" s="79">
        <v>0</v>
      </c>
      <c r="C69" s="35">
        <f t="shared" si="0"/>
        <v>0</v>
      </c>
      <c r="D69" s="12">
        <f t="shared" si="2"/>
        <v>0</v>
      </c>
      <c r="E69" s="12">
        <f t="shared" si="1"/>
        <v>0</v>
      </c>
      <c r="F69" s="12">
        <f>E69/Calculation!K$19*1000</f>
        <v>0</v>
      </c>
      <c r="G69" s="12">
        <f t="shared" si="3"/>
        <v>31.257173182807076</v>
      </c>
    </row>
    <row r="70" spans="1:7">
      <c r="A70" s="34">
        <v>32.5</v>
      </c>
      <c r="B70" s="79">
        <v>0</v>
      </c>
      <c r="C70" s="35">
        <f t="shared" ref="C70:C101" si="4">B70/1000</f>
        <v>0</v>
      </c>
      <c r="D70" s="12">
        <f t="shared" ref="D70:D101" si="5">C70/1000*$B$1</f>
        <v>0</v>
      </c>
      <c r="E70" s="12">
        <f t="shared" ref="E70:E101" si="6">D70/22.4</f>
        <v>0</v>
      </c>
      <c r="F70" s="12">
        <f>E70/Calculation!K$19*1000</f>
        <v>0</v>
      </c>
      <c r="G70" s="12">
        <f t="shared" si="3"/>
        <v>31.257173182807076</v>
      </c>
    </row>
    <row r="71" spans="1:7">
      <c r="A71" s="34">
        <v>33</v>
      </c>
      <c r="B71" s="79">
        <v>0</v>
      </c>
      <c r="C71" s="35">
        <f t="shared" si="4"/>
        <v>0</v>
      </c>
      <c r="D71" s="12">
        <f t="shared" si="5"/>
        <v>0</v>
      </c>
      <c r="E71" s="12">
        <f t="shared" si="6"/>
        <v>0</v>
      </c>
      <c r="F71" s="12">
        <f>E71/Calculation!K$19*1000</f>
        <v>0</v>
      </c>
      <c r="G71" s="12">
        <f t="shared" ref="G71:G101" si="7">G70+(F71+F70)/2*30</f>
        <v>31.257173182807076</v>
      </c>
    </row>
    <row r="72" spans="1:7">
      <c r="A72" s="34">
        <v>33.5</v>
      </c>
      <c r="B72" s="79">
        <v>0</v>
      </c>
      <c r="C72" s="35">
        <f t="shared" si="4"/>
        <v>0</v>
      </c>
      <c r="D72" s="12">
        <f t="shared" si="5"/>
        <v>0</v>
      </c>
      <c r="E72" s="12">
        <f t="shared" si="6"/>
        <v>0</v>
      </c>
      <c r="F72" s="12">
        <f>E72/Calculation!K$19*1000</f>
        <v>0</v>
      </c>
      <c r="G72" s="12">
        <f t="shared" si="7"/>
        <v>31.257173182807076</v>
      </c>
    </row>
    <row r="73" spans="1:7">
      <c r="A73" s="34">
        <v>34</v>
      </c>
      <c r="B73" s="79">
        <v>0</v>
      </c>
      <c r="C73" s="35">
        <f t="shared" si="4"/>
        <v>0</v>
      </c>
      <c r="D73" s="12">
        <f t="shared" si="5"/>
        <v>0</v>
      </c>
      <c r="E73" s="12">
        <f t="shared" si="6"/>
        <v>0</v>
      </c>
      <c r="F73" s="12">
        <f>E73/Calculation!K$19*1000</f>
        <v>0</v>
      </c>
      <c r="G73" s="12">
        <f t="shared" si="7"/>
        <v>31.257173182807076</v>
      </c>
    </row>
    <row r="74" spans="1:7">
      <c r="A74" s="34">
        <v>34.5</v>
      </c>
      <c r="B74" s="79">
        <v>0</v>
      </c>
      <c r="C74" s="35">
        <f t="shared" si="4"/>
        <v>0</v>
      </c>
      <c r="D74" s="12">
        <f t="shared" si="5"/>
        <v>0</v>
      </c>
      <c r="E74" s="12">
        <f t="shared" si="6"/>
        <v>0</v>
      </c>
      <c r="F74" s="12">
        <f>E74/Calculation!K$19*1000</f>
        <v>0</v>
      </c>
      <c r="G74" s="12">
        <f t="shared" si="7"/>
        <v>31.257173182807076</v>
      </c>
    </row>
    <row r="75" spans="1:7">
      <c r="A75" s="34">
        <v>35</v>
      </c>
      <c r="B75" s="79">
        <v>0</v>
      </c>
      <c r="C75" s="35">
        <f t="shared" si="4"/>
        <v>0</v>
      </c>
      <c r="D75" s="12">
        <f t="shared" si="5"/>
        <v>0</v>
      </c>
      <c r="E75" s="12">
        <f t="shared" si="6"/>
        <v>0</v>
      </c>
      <c r="F75" s="12">
        <f>E75/Calculation!K$19*1000</f>
        <v>0</v>
      </c>
      <c r="G75" s="12">
        <f t="shared" si="7"/>
        <v>31.257173182807076</v>
      </c>
    </row>
    <row r="76" spans="1:7">
      <c r="A76" s="34">
        <v>35.5</v>
      </c>
      <c r="B76" s="79">
        <v>0</v>
      </c>
      <c r="C76" s="35">
        <f t="shared" si="4"/>
        <v>0</v>
      </c>
      <c r="D76" s="12">
        <f t="shared" si="5"/>
        <v>0</v>
      </c>
      <c r="E76" s="12">
        <f t="shared" si="6"/>
        <v>0</v>
      </c>
      <c r="F76" s="12">
        <f>E76/Calculation!K$19*1000</f>
        <v>0</v>
      </c>
      <c r="G76" s="12">
        <f t="shared" si="7"/>
        <v>31.257173182807076</v>
      </c>
    </row>
    <row r="77" spans="1:7">
      <c r="A77" s="34">
        <v>36</v>
      </c>
      <c r="B77" s="79">
        <v>0</v>
      </c>
      <c r="C77" s="35">
        <f t="shared" si="4"/>
        <v>0</v>
      </c>
      <c r="D77" s="12">
        <f t="shared" si="5"/>
        <v>0</v>
      </c>
      <c r="E77" s="12">
        <f t="shared" si="6"/>
        <v>0</v>
      </c>
      <c r="F77" s="12">
        <f>E77/Calculation!K$19*1000</f>
        <v>0</v>
      </c>
      <c r="G77" s="12">
        <f t="shared" si="7"/>
        <v>31.257173182807076</v>
      </c>
    </row>
    <row r="78" spans="1:7">
      <c r="A78" s="34">
        <v>36.5</v>
      </c>
      <c r="B78" s="79">
        <v>0</v>
      </c>
      <c r="C78" s="35">
        <f t="shared" si="4"/>
        <v>0</v>
      </c>
      <c r="D78" s="12">
        <f t="shared" si="5"/>
        <v>0</v>
      </c>
      <c r="E78" s="12">
        <f t="shared" si="6"/>
        <v>0</v>
      </c>
      <c r="F78" s="12">
        <f>E78/Calculation!K$19*1000</f>
        <v>0</v>
      </c>
      <c r="G78" s="12">
        <f t="shared" si="7"/>
        <v>31.257173182807076</v>
      </c>
    </row>
    <row r="79" spans="1:7">
      <c r="A79" s="34">
        <v>37</v>
      </c>
      <c r="B79" s="79">
        <v>0</v>
      </c>
      <c r="C79" s="35">
        <f t="shared" si="4"/>
        <v>0</v>
      </c>
      <c r="D79" s="12">
        <f t="shared" si="5"/>
        <v>0</v>
      </c>
      <c r="E79" s="12">
        <f t="shared" si="6"/>
        <v>0</v>
      </c>
      <c r="F79" s="12">
        <f>E79/Calculation!K$19*1000</f>
        <v>0</v>
      </c>
      <c r="G79" s="12">
        <f t="shared" si="7"/>
        <v>31.257173182807076</v>
      </c>
    </row>
    <row r="80" spans="1:7">
      <c r="A80" s="34">
        <v>37.5</v>
      </c>
      <c r="B80" s="79">
        <v>0</v>
      </c>
      <c r="C80" s="35">
        <f t="shared" si="4"/>
        <v>0</v>
      </c>
      <c r="D80" s="12">
        <f t="shared" si="5"/>
        <v>0</v>
      </c>
      <c r="E80" s="12">
        <f t="shared" si="6"/>
        <v>0</v>
      </c>
      <c r="F80" s="12">
        <f>E80/Calculation!K$19*1000</f>
        <v>0</v>
      </c>
      <c r="G80" s="12">
        <f t="shared" si="7"/>
        <v>31.257173182807076</v>
      </c>
    </row>
    <row r="81" spans="1:7">
      <c r="A81" s="34">
        <v>38</v>
      </c>
      <c r="B81" s="79">
        <v>0</v>
      </c>
      <c r="C81" s="35">
        <f t="shared" si="4"/>
        <v>0</v>
      </c>
      <c r="D81" s="12">
        <f t="shared" si="5"/>
        <v>0</v>
      </c>
      <c r="E81" s="12">
        <f t="shared" si="6"/>
        <v>0</v>
      </c>
      <c r="F81" s="12">
        <f>E81/Calculation!K$19*1000</f>
        <v>0</v>
      </c>
      <c r="G81" s="12">
        <f t="shared" si="7"/>
        <v>31.257173182807076</v>
      </c>
    </row>
    <row r="82" spans="1:7">
      <c r="A82" s="34">
        <v>38.5</v>
      </c>
      <c r="B82" s="79">
        <v>0</v>
      </c>
      <c r="C82" s="35">
        <f t="shared" si="4"/>
        <v>0</v>
      </c>
      <c r="D82" s="12">
        <f t="shared" si="5"/>
        <v>0</v>
      </c>
      <c r="E82" s="12">
        <f t="shared" si="6"/>
        <v>0</v>
      </c>
      <c r="F82" s="12">
        <f>E82/Calculation!K$19*1000</f>
        <v>0</v>
      </c>
      <c r="G82" s="12">
        <f t="shared" si="7"/>
        <v>31.257173182807076</v>
      </c>
    </row>
    <row r="83" spans="1:7">
      <c r="A83" s="34">
        <v>39</v>
      </c>
      <c r="B83" s="79">
        <v>0</v>
      </c>
      <c r="C83" s="35">
        <f t="shared" si="4"/>
        <v>0</v>
      </c>
      <c r="D83" s="12">
        <f t="shared" si="5"/>
        <v>0</v>
      </c>
      <c r="E83" s="12">
        <f t="shared" si="6"/>
        <v>0</v>
      </c>
      <c r="F83" s="12">
        <f>E83/Calculation!K$19*1000</f>
        <v>0</v>
      </c>
      <c r="G83" s="12">
        <f t="shared" si="7"/>
        <v>31.257173182807076</v>
      </c>
    </row>
    <row r="84" spans="1:7">
      <c r="A84" s="34">
        <v>39.5</v>
      </c>
      <c r="B84" s="79">
        <v>0</v>
      </c>
      <c r="C84" s="35">
        <f t="shared" si="4"/>
        <v>0</v>
      </c>
      <c r="D84" s="12">
        <f t="shared" si="5"/>
        <v>0</v>
      </c>
      <c r="E84" s="12">
        <f t="shared" si="6"/>
        <v>0</v>
      </c>
      <c r="F84" s="12">
        <f>E84/Calculation!K$19*1000</f>
        <v>0</v>
      </c>
      <c r="G84" s="12">
        <f t="shared" si="7"/>
        <v>31.257173182807076</v>
      </c>
    </row>
    <row r="85" spans="1:7">
      <c r="A85" s="34">
        <v>40</v>
      </c>
      <c r="B85" s="79">
        <v>0</v>
      </c>
      <c r="C85" s="35">
        <f t="shared" si="4"/>
        <v>0</v>
      </c>
      <c r="D85" s="12">
        <f t="shared" si="5"/>
        <v>0</v>
      </c>
      <c r="E85" s="12">
        <f t="shared" si="6"/>
        <v>0</v>
      </c>
      <c r="F85" s="12">
        <f>E85/Calculation!K$19*1000</f>
        <v>0</v>
      </c>
      <c r="G85" s="12">
        <f t="shared" si="7"/>
        <v>31.257173182807076</v>
      </c>
    </row>
    <row r="86" spans="1:7">
      <c r="A86" s="34">
        <v>40.5</v>
      </c>
      <c r="B86" s="79">
        <v>0</v>
      </c>
      <c r="C86" s="35">
        <f t="shared" si="4"/>
        <v>0</v>
      </c>
      <c r="D86" s="12">
        <f t="shared" si="5"/>
        <v>0</v>
      </c>
      <c r="E86" s="12">
        <f t="shared" si="6"/>
        <v>0</v>
      </c>
      <c r="F86" s="12">
        <f>E86/Calculation!K$19*1000</f>
        <v>0</v>
      </c>
      <c r="G86" s="12">
        <f t="shared" si="7"/>
        <v>31.257173182807076</v>
      </c>
    </row>
    <row r="87" spans="1:7">
      <c r="A87" s="34">
        <v>41</v>
      </c>
      <c r="B87" s="79">
        <v>0</v>
      </c>
      <c r="C87" s="35">
        <f t="shared" si="4"/>
        <v>0</v>
      </c>
      <c r="D87" s="12">
        <f t="shared" si="5"/>
        <v>0</v>
      </c>
      <c r="E87" s="12">
        <f t="shared" si="6"/>
        <v>0</v>
      </c>
      <c r="F87" s="12">
        <f>E87/Calculation!K$19*1000</f>
        <v>0</v>
      </c>
      <c r="G87" s="12">
        <f t="shared" si="7"/>
        <v>31.257173182807076</v>
      </c>
    </row>
    <row r="88" spans="1:7">
      <c r="A88" s="34">
        <v>41.5</v>
      </c>
      <c r="B88" s="79">
        <v>0</v>
      </c>
      <c r="C88" s="35">
        <f t="shared" si="4"/>
        <v>0</v>
      </c>
      <c r="D88" s="12">
        <f t="shared" si="5"/>
        <v>0</v>
      </c>
      <c r="E88" s="12">
        <f t="shared" si="6"/>
        <v>0</v>
      </c>
      <c r="F88" s="12">
        <f>E88/Calculation!K$19*1000</f>
        <v>0</v>
      </c>
      <c r="G88" s="12">
        <f t="shared" si="7"/>
        <v>31.257173182807076</v>
      </c>
    </row>
    <row r="89" spans="1:7">
      <c r="A89" s="34">
        <v>42</v>
      </c>
      <c r="B89" s="79">
        <v>0</v>
      </c>
      <c r="C89" s="35">
        <f t="shared" si="4"/>
        <v>0</v>
      </c>
      <c r="D89" s="12">
        <f t="shared" si="5"/>
        <v>0</v>
      </c>
      <c r="E89" s="12">
        <f t="shared" si="6"/>
        <v>0</v>
      </c>
      <c r="F89" s="12">
        <f>E89/Calculation!K$19*1000</f>
        <v>0</v>
      </c>
      <c r="G89" s="12">
        <f t="shared" si="7"/>
        <v>31.257173182807076</v>
      </c>
    </row>
    <row r="90" spans="1:7">
      <c r="A90" s="34">
        <v>42.5</v>
      </c>
      <c r="B90" s="79">
        <v>0</v>
      </c>
      <c r="C90" s="35">
        <f t="shared" si="4"/>
        <v>0</v>
      </c>
      <c r="D90" s="12">
        <f t="shared" si="5"/>
        <v>0</v>
      </c>
      <c r="E90" s="12">
        <f t="shared" si="6"/>
        <v>0</v>
      </c>
      <c r="F90" s="12">
        <f>E90/Calculation!K$19*1000</f>
        <v>0</v>
      </c>
      <c r="G90" s="12">
        <f t="shared" si="7"/>
        <v>31.257173182807076</v>
      </c>
    </row>
    <row r="91" spans="1:7">
      <c r="A91" s="34">
        <v>43</v>
      </c>
      <c r="B91" s="79">
        <v>0</v>
      </c>
      <c r="C91" s="35">
        <f t="shared" si="4"/>
        <v>0</v>
      </c>
      <c r="D91" s="12">
        <f t="shared" si="5"/>
        <v>0</v>
      </c>
      <c r="E91" s="12">
        <f t="shared" si="6"/>
        <v>0</v>
      </c>
      <c r="F91" s="12">
        <f>E91/Calculation!K$19*1000</f>
        <v>0</v>
      </c>
      <c r="G91" s="12">
        <f t="shared" si="7"/>
        <v>31.257173182807076</v>
      </c>
    </row>
    <row r="92" spans="1:7">
      <c r="A92" s="34">
        <v>43.5</v>
      </c>
      <c r="B92" s="79">
        <v>0</v>
      </c>
      <c r="C92" s="35">
        <f t="shared" si="4"/>
        <v>0</v>
      </c>
      <c r="D92" s="12">
        <f t="shared" si="5"/>
        <v>0</v>
      </c>
      <c r="E92" s="12">
        <f t="shared" si="6"/>
        <v>0</v>
      </c>
      <c r="F92" s="12">
        <f>E92/Calculation!K$19*1000</f>
        <v>0</v>
      </c>
      <c r="G92" s="12">
        <f t="shared" si="7"/>
        <v>31.257173182807076</v>
      </c>
    </row>
    <row r="93" spans="1:7">
      <c r="A93" s="34">
        <v>44</v>
      </c>
      <c r="B93" s="79">
        <v>0</v>
      </c>
      <c r="C93" s="35">
        <f t="shared" si="4"/>
        <v>0</v>
      </c>
      <c r="D93" s="12">
        <f t="shared" si="5"/>
        <v>0</v>
      </c>
      <c r="E93" s="12">
        <f t="shared" si="6"/>
        <v>0</v>
      </c>
      <c r="F93" s="12">
        <f>E93/Calculation!K$19*1000</f>
        <v>0</v>
      </c>
      <c r="G93" s="12">
        <f t="shared" si="7"/>
        <v>31.257173182807076</v>
      </c>
    </row>
    <row r="94" spans="1:7">
      <c r="A94" s="34">
        <v>44.5</v>
      </c>
      <c r="B94" s="79">
        <v>0</v>
      </c>
      <c r="C94" s="35">
        <f t="shared" si="4"/>
        <v>0</v>
      </c>
      <c r="D94" s="12">
        <f t="shared" si="5"/>
        <v>0</v>
      </c>
      <c r="E94" s="12">
        <f t="shared" si="6"/>
        <v>0</v>
      </c>
      <c r="F94" s="12">
        <f>E94/Calculation!K$19*1000</f>
        <v>0</v>
      </c>
      <c r="G94" s="12">
        <f t="shared" si="7"/>
        <v>31.257173182807076</v>
      </c>
    </row>
    <row r="95" spans="1:7">
      <c r="A95" s="34">
        <v>45</v>
      </c>
      <c r="B95" s="79">
        <v>0</v>
      </c>
      <c r="C95" s="35">
        <f t="shared" si="4"/>
        <v>0</v>
      </c>
      <c r="D95" s="12">
        <f t="shared" si="5"/>
        <v>0</v>
      </c>
      <c r="E95" s="12">
        <f t="shared" si="6"/>
        <v>0</v>
      </c>
      <c r="F95" s="12">
        <f>E95/Calculation!K$19*1000</f>
        <v>0</v>
      </c>
      <c r="G95" s="12">
        <f t="shared" si="7"/>
        <v>31.257173182807076</v>
      </c>
    </row>
    <row r="96" spans="1:7">
      <c r="A96" s="34">
        <v>45.5</v>
      </c>
      <c r="B96" s="79">
        <v>0</v>
      </c>
      <c r="C96" s="35">
        <f t="shared" si="4"/>
        <v>0</v>
      </c>
      <c r="D96" s="12">
        <f t="shared" si="5"/>
        <v>0</v>
      </c>
      <c r="E96" s="12">
        <f t="shared" si="6"/>
        <v>0</v>
      </c>
      <c r="F96" s="12">
        <f>E96/Calculation!K$19*1000</f>
        <v>0</v>
      </c>
      <c r="G96" s="12">
        <f t="shared" si="7"/>
        <v>31.257173182807076</v>
      </c>
    </row>
    <row r="97" spans="1:7">
      <c r="A97" s="34">
        <v>46</v>
      </c>
      <c r="B97" s="79">
        <v>0</v>
      </c>
      <c r="C97" s="35">
        <f t="shared" si="4"/>
        <v>0</v>
      </c>
      <c r="D97" s="12">
        <f t="shared" si="5"/>
        <v>0</v>
      </c>
      <c r="E97" s="12">
        <f t="shared" si="6"/>
        <v>0</v>
      </c>
      <c r="F97" s="12">
        <f>E97/Calculation!K$19*1000</f>
        <v>0</v>
      </c>
      <c r="G97" s="12">
        <f t="shared" si="7"/>
        <v>31.257173182807076</v>
      </c>
    </row>
    <row r="98" spans="1:7">
      <c r="A98" s="34">
        <v>46.5</v>
      </c>
      <c r="B98" s="79">
        <v>0</v>
      </c>
      <c r="C98" s="35">
        <f t="shared" si="4"/>
        <v>0</v>
      </c>
      <c r="D98" s="12">
        <f t="shared" si="5"/>
        <v>0</v>
      </c>
      <c r="E98" s="12">
        <f t="shared" si="6"/>
        <v>0</v>
      </c>
      <c r="F98" s="12">
        <f>E98/Calculation!K$19*1000</f>
        <v>0</v>
      </c>
      <c r="G98" s="12">
        <f t="shared" si="7"/>
        <v>31.257173182807076</v>
      </c>
    </row>
    <row r="99" spans="1:7">
      <c r="A99" s="34">
        <v>47</v>
      </c>
      <c r="B99" s="79">
        <v>0</v>
      </c>
      <c r="C99" s="35">
        <f t="shared" si="4"/>
        <v>0</v>
      </c>
      <c r="D99" s="12">
        <f t="shared" si="5"/>
        <v>0</v>
      </c>
      <c r="E99" s="12">
        <f t="shared" si="6"/>
        <v>0</v>
      </c>
      <c r="F99" s="12">
        <f>E99/Calculation!K$19*1000</f>
        <v>0</v>
      </c>
      <c r="G99" s="12">
        <f t="shared" si="7"/>
        <v>31.257173182807076</v>
      </c>
    </row>
    <row r="100" spans="1:7">
      <c r="A100" s="34">
        <v>47.5</v>
      </c>
      <c r="B100" s="79">
        <v>0</v>
      </c>
      <c r="C100" s="35">
        <f t="shared" si="4"/>
        <v>0</v>
      </c>
      <c r="D100" s="12">
        <f t="shared" si="5"/>
        <v>0</v>
      </c>
      <c r="E100" s="12">
        <f t="shared" si="6"/>
        <v>0</v>
      </c>
      <c r="F100" s="12">
        <f>E100/Calculation!K$19*1000</f>
        <v>0</v>
      </c>
      <c r="G100" s="12">
        <f t="shared" si="7"/>
        <v>31.257173182807076</v>
      </c>
    </row>
    <row r="101" spans="1:7">
      <c r="A101" s="34">
        <v>48</v>
      </c>
      <c r="B101" s="79">
        <v>0</v>
      </c>
      <c r="C101" s="35">
        <f t="shared" si="4"/>
        <v>0</v>
      </c>
      <c r="D101" s="12">
        <f t="shared" si="5"/>
        <v>0</v>
      </c>
      <c r="E101" s="12">
        <f t="shared" si="6"/>
        <v>0</v>
      </c>
      <c r="F101" s="12">
        <f>E101/Calculation!K$20*1000</f>
        <v>0</v>
      </c>
      <c r="G101" s="12">
        <f t="shared" si="7"/>
        <v>31.257173182807076</v>
      </c>
    </row>
    <row r="102" spans="1:7">
      <c r="B102" s="10"/>
    </row>
    <row r="103" spans="1:7">
      <c r="B103" s="10"/>
    </row>
    <row r="104" spans="1:7">
      <c r="B104" s="10"/>
    </row>
    <row r="105" spans="1:7">
      <c r="B105" s="10"/>
    </row>
    <row r="106" spans="1:7">
      <c r="B106" s="10"/>
    </row>
    <row r="107" spans="1:7">
      <c r="B107" s="10"/>
    </row>
    <row r="108" spans="1:7">
      <c r="B108" s="10"/>
    </row>
    <row r="109" spans="1:7">
      <c r="B109" s="10"/>
    </row>
    <row r="110" spans="1:7">
      <c r="B110" s="10"/>
    </row>
    <row r="111" spans="1:7">
      <c r="B111" s="10"/>
    </row>
    <row r="112" spans="1:7">
      <c r="B112" s="10"/>
    </row>
    <row r="113" spans="2:2">
      <c r="B113" s="10"/>
    </row>
    <row r="114" spans="2:2">
      <c r="B114" s="10"/>
    </row>
    <row r="115" spans="2:2">
      <c r="B115" s="10"/>
    </row>
    <row r="116" spans="2:2">
      <c r="B116" s="10"/>
    </row>
    <row r="117" spans="2:2">
      <c r="B117" s="10"/>
    </row>
    <row r="118" spans="2:2">
      <c r="B118" s="10"/>
    </row>
    <row r="119" spans="2:2">
      <c r="B119" s="10"/>
    </row>
    <row r="120" spans="2:2">
      <c r="B120" s="10"/>
    </row>
    <row r="121" spans="2:2">
      <c r="B121" s="10"/>
    </row>
    <row r="122" spans="2:2">
      <c r="B122" s="10"/>
    </row>
    <row r="123" spans="2:2">
      <c r="B123" s="10"/>
    </row>
    <row r="124" spans="2:2">
      <c r="B124" s="10"/>
    </row>
    <row r="125" spans="2:2">
      <c r="B125" s="10"/>
    </row>
    <row r="126" spans="2:2">
      <c r="B126" s="10"/>
    </row>
    <row r="127" spans="2:2">
      <c r="B127" s="10"/>
    </row>
    <row r="128" spans="2:2">
      <c r="B128" s="10"/>
    </row>
    <row r="129" spans="2:2">
      <c r="B129" s="10"/>
    </row>
    <row r="130" spans="2:2">
      <c r="B130" s="10"/>
    </row>
    <row r="131" spans="2:2">
      <c r="B131" s="10"/>
    </row>
    <row r="132" spans="2:2">
      <c r="B132" s="10"/>
    </row>
    <row r="133" spans="2:2">
      <c r="B133" s="10"/>
    </row>
    <row r="134" spans="2:2">
      <c r="B134" s="10"/>
    </row>
    <row r="135" spans="2:2">
      <c r="B135" s="10"/>
    </row>
    <row r="136" spans="2:2">
      <c r="B136" s="10"/>
    </row>
    <row r="137" spans="2:2">
      <c r="B137" s="10"/>
    </row>
    <row r="138" spans="2:2">
      <c r="B138" s="10"/>
    </row>
    <row r="139" spans="2:2">
      <c r="B139" s="10"/>
    </row>
    <row r="140" spans="2:2">
      <c r="B140" s="10"/>
    </row>
    <row r="141" spans="2:2">
      <c r="B141" s="10"/>
    </row>
    <row r="142" spans="2:2">
      <c r="B142" s="10"/>
    </row>
    <row r="143" spans="2:2">
      <c r="B143" s="10"/>
    </row>
    <row r="144" spans="2:2">
      <c r="B144" s="10"/>
    </row>
    <row r="145" spans="2:2">
      <c r="B145" s="10"/>
    </row>
    <row r="146" spans="2:2">
      <c r="B146" s="10"/>
    </row>
    <row r="147" spans="2:2">
      <c r="B147" s="10"/>
    </row>
    <row r="148" spans="2:2">
      <c r="B148" s="10"/>
    </row>
    <row r="149" spans="2:2">
      <c r="B149" s="10"/>
    </row>
    <row r="150" spans="2:2">
      <c r="B150" s="10"/>
    </row>
    <row r="151" spans="2:2">
      <c r="B151" s="10"/>
    </row>
    <row r="152" spans="2:2">
      <c r="B152" s="10"/>
    </row>
  </sheetData>
  <mergeCells count="3">
    <mergeCell ref="A3:A4"/>
    <mergeCell ref="B3:C3"/>
    <mergeCell ref="D3:F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opLeftCell="A4" workbookViewId="0">
      <selection activeCell="E41" sqref="E41"/>
    </sheetView>
  </sheetViews>
  <sheetFormatPr baseColWidth="10" defaultColWidth="8.83203125" defaultRowHeight="14" x14ac:dyDescent="0"/>
  <cols>
    <col min="1" max="1" width="16.83203125" style="2" bestFit="1" customWidth="1"/>
    <col min="2" max="16384" width="8.83203125" style="2"/>
  </cols>
  <sheetData>
    <row r="1" spans="1:21">
      <c r="A1" s="130" t="s">
        <v>41</v>
      </c>
      <c r="B1" s="130"/>
      <c r="D1" s="156" t="s">
        <v>4</v>
      </c>
      <c r="E1" s="156" t="s">
        <v>5</v>
      </c>
      <c r="F1" s="130" t="s">
        <v>143</v>
      </c>
      <c r="G1" s="130"/>
      <c r="H1" s="130"/>
      <c r="I1" s="130"/>
      <c r="J1" s="130" t="s">
        <v>42</v>
      </c>
      <c r="K1" s="130"/>
      <c r="L1" s="130"/>
      <c r="M1" s="130"/>
      <c r="N1" s="154" t="s">
        <v>43</v>
      </c>
      <c r="O1" s="128"/>
      <c r="P1" s="128"/>
      <c r="Q1" s="155"/>
      <c r="R1" s="130" t="s">
        <v>65</v>
      </c>
      <c r="S1" s="130"/>
      <c r="T1" s="130"/>
      <c r="U1" s="130"/>
    </row>
    <row r="2" spans="1:21">
      <c r="A2" s="130" t="s">
        <v>34</v>
      </c>
      <c r="B2" s="130"/>
      <c r="D2" s="156"/>
      <c r="E2" s="156"/>
      <c r="F2" s="14" t="s">
        <v>48</v>
      </c>
      <c r="G2" s="14" t="s">
        <v>23</v>
      </c>
      <c r="H2" s="14" t="s">
        <v>48</v>
      </c>
      <c r="I2" s="14" t="s">
        <v>23</v>
      </c>
      <c r="J2" s="14" t="s">
        <v>48</v>
      </c>
      <c r="K2" s="14" t="s">
        <v>23</v>
      </c>
      <c r="L2" s="14" t="s">
        <v>48</v>
      </c>
      <c r="M2" s="14" t="s">
        <v>23</v>
      </c>
      <c r="N2" s="14" t="s">
        <v>48</v>
      </c>
      <c r="O2" s="14" t="s">
        <v>23</v>
      </c>
      <c r="P2" s="14" t="s">
        <v>48</v>
      </c>
      <c r="Q2" s="14" t="s">
        <v>23</v>
      </c>
      <c r="R2" s="14" t="s">
        <v>48</v>
      </c>
      <c r="S2" s="14" t="s">
        <v>23</v>
      </c>
      <c r="T2" s="14" t="s">
        <v>48</v>
      </c>
      <c r="U2" s="14" t="s">
        <v>23</v>
      </c>
    </row>
    <row r="3" spans="1:21">
      <c r="A3" s="130" t="s">
        <v>35</v>
      </c>
      <c r="B3" s="14" t="s">
        <v>38</v>
      </c>
      <c r="D3" s="16">
        <v>0</v>
      </c>
      <c r="E3" s="66">
        <v>-0.16666666666666666</v>
      </c>
      <c r="F3" s="51">
        <v>49.785375962107757</v>
      </c>
      <c r="G3" s="51">
        <v>0.86435376593915969</v>
      </c>
      <c r="H3" s="13">
        <f>F3*Calculation!I3/Calculation!F22</f>
        <v>49.851756463390572</v>
      </c>
      <c r="I3" s="13">
        <f>G3*Calculation!I3/Calculation!F22</f>
        <v>0.86550623762707857</v>
      </c>
      <c r="J3" s="13">
        <v>0.92510361160449972</v>
      </c>
      <c r="K3" s="13">
        <v>5.5875032824679892E-2</v>
      </c>
      <c r="L3" s="13">
        <f>J3*Calculation!I3/Calculation!F22</f>
        <v>0.92633708308663909</v>
      </c>
      <c r="M3" s="13">
        <f>K3*Calculation!I3/Calculation!F22</f>
        <v>5.5949532868446131E-2</v>
      </c>
      <c r="N3" s="13">
        <v>48.948098806550099</v>
      </c>
      <c r="O3" s="13">
        <v>0.42434670782384271</v>
      </c>
      <c r="P3" s="13">
        <f>N3*Calculation!I3/Calculation!F22</f>
        <v>49.013362938292168</v>
      </c>
      <c r="Q3" s="13">
        <f>O3*Calculation!I3/Calculation!F22</f>
        <v>0.4249125034342745</v>
      </c>
      <c r="R3" s="13">
        <v>0</v>
      </c>
      <c r="S3" s="13">
        <v>0</v>
      </c>
      <c r="T3" s="13">
        <f>R3*Calculation!I3/Calculation!F22</f>
        <v>0</v>
      </c>
      <c r="U3" s="13">
        <f>S3*Calculation!I3/Calculation!F22</f>
        <v>0</v>
      </c>
    </row>
    <row r="4" spans="1:21">
      <c r="A4" s="130"/>
      <c r="B4" s="14" t="s">
        <v>39</v>
      </c>
      <c r="D4" s="16">
        <v>0</v>
      </c>
      <c r="E4" s="69">
        <v>0.16666666666666666</v>
      </c>
      <c r="F4" s="51">
        <v>49.959295441089409</v>
      </c>
      <c r="G4" s="51">
        <v>0.19868848073799095</v>
      </c>
      <c r="H4" s="13">
        <f>F4*Calculation!I4/Calculation!K3</f>
        <v>50.050746915365885</v>
      </c>
      <c r="I4" s="13">
        <f>G4*Calculation!I4/Calculation!K3</f>
        <v>0.1990521839152439</v>
      </c>
      <c r="J4" s="13">
        <v>0.97690941385435182</v>
      </c>
      <c r="K4" s="13">
        <v>2.2202486678508014E-2</v>
      </c>
      <c r="L4" s="13">
        <f>J4*Calculation!I4/Calculation!K3</f>
        <v>0.97869766577709749</v>
      </c>
      <c r="M4" s="13">
        <f>K4*Calculation!I4/Calculation!K3</f>
        <v>2.2243128767661324E-2</v>
      </c>
      <c r="N4" s="13">
        <v>47.138495698029409</v>
      </c>
      <c r="O4" s="13">
        <v>0.20350044718094229</v>
      </c>
      <c r="P4" s="13">
        <f>N4*Calculation!I4/Calculation!K3</f>
        <v>47.224783642819247</v>
      </c>
      <c r="Q4" s="13">
        <f>O4*Calculation!I4/Calculation!K3</f>
        <v>0.20387295875754297</v>
      </c>
      <c r="R4" s="13">
        <v>1.2455644869288147</v>
      </c>
      <c r="S4" s="13">
        <v>2.5085825296094995E-2</v>
      </c>
      <c r="T4" s="13">
        <f>R4*Calculation!I4/Calculation!K3</f>
        <v>1.2478445172541099</v>
      </c>
      <c r="U4" s="13">
        <f>S4*Calculation!I4/Calculation!K3</f>
        <v>2.5131745393376495E-2</v>
      </c>
    </row>
    <row r="5" spans="1:21">
      <c r="A5" s="15" t="s">
        <v>37</v>
      </c>
      <c r="B5" s="15">
        <v>180.16</v>
      </c>
      <c r="D5" s="16">
        <v>1</v>
      </c>
      <c r="E5" s="69">
        <v>2</v>
      </c>
      <c r="F5" s="51">
        <v>49.367229129662526</v>
      </c>
      <c r="G5" s="51">
        <v>0.57758479304300958</v>
      </c>
      <c r="H5" s="13">
        <f>F5*Calculation!I5/Calculation!K4</f>
        <v>49.48940234339323</v>
      </c>
      <c r="I5" s="13">
        <f>G5*Calculation!I5/Calculation!K4</f>
        <v>0.57901419047146785</v>
      </c>
      <c r="J5" s="13">
        <v>1.0213143872113679</v>
      </c>
      <c r="K5" s="13">
        <v>1.8868505155285834E-16</v>
      </c>
      <c r="L5" s="13">
        <f>J5*Calculation!I5/Calculation!K4</f>
        <v>1.0238419194045825</v>
      </c>
      <c r="M5" s="13">
        <f>K5*Calculation!I5/Calculation!K4</f>
        <v>1.891520062419824E-16</v>
      </c>
      <c r="N5" s="13">
        <v>46.683319456008881</v>
      </c>
      <c r="O5" s="13">
        <v>0.53531228204235082</v>
      </c>
      <c r="P5" s="13">
        <f>N5*Calculation!I5/Calculation!K4</f>
        <v>46.798850573839651</v>
      </c>
      <c r="Q5" s="13">
        <f>O5*Calculation!I5/Calculation!K4</f>
        <v>0.53663706414982659</v>
      </c>
      <c r="R5" s="13">
        <v>1.1731479469910928</v>
      </c>
      <c r="S5" s="13">
        <v>7.5257475888284991E-2</v>
      </c>
      <c r="T5" s="13">
        <f>R5*Calculation!I5/Calculation!K4</f>
        <v>1.176051234402445</v>
      </c>
      <c r="U5" s="13">
        <f>S5*Calculation!I5/Calculation!K4</f>
        <v>7.5443721862560431E-2</v>
      </c>
    </row>
    <row r="6" spans="1:21">
      <c r="A6" s="15" t="s">
        <v>40</v>
      </c>
      <c r="B6" s="15">
        <v>180.16</v>
      </c>
      <c r="D6" s="16">
        <v>2</v>
      </c>
      <c r="E6" s="69">
        <v>3.3333333333333335</v>
      </c>
      <c r="F6" s="51">
        <v>49.393132030787449</v>
      </c>
      <c r="G6" s="51">
        <v>0.44631048244892668</v>
      </c>
      <c r="H6" s="13">
        <f>F6*Calculation!I6/Calculation!K5</f>
        <v>49.548226262562743</v>
      </c>
      <c r="I6" s="13">
        <f>G6*Calculation!I6/Calculation!K5</f>
        <v>0.44771189553132706</v>
      </c>
      <c r="J6" s="13">
        <v>1.0731201894612199</v>
      </c>
      <c r="K6" s="13">
        <v>3.3914858606837212E-2</v>
      </c>
      <c r="L6" s="13">
        <f>J6*Calculation!I6/Calculation!K5</f>
        <v>1.0764897824500448</v>
      </c>
      <c r="M6" s="13">
        <f>K6*Calculation!I6/Calculation!K5</f>
        <v>3.4021351123612951E-2</v>
      </c>
      <c r="N6" s="13">
        <v>47.515958923119626</v>
      </c>
      <c r="O6" s="13">
        <v>0.46667442813174925</v>
      </c>
      <c r="P6" s="13">
        <f>N6*Calculation!I6/Calculation!K5</f>
        <v>47.66515883904426</v>
      </c>
      <c r="Q6" s="13">
        <f>O6*Calculation!I6/Calculation!K5</f>
        <v>0.46813978391998212</v>
      </c>
      <c r="R6" s="13">
        <v>1.3614309508291693</v>
      </c>
      <c r="S6" s="13">
        <v>5.0171650592189976E-2</v>
      </c>
      <c r="T6" s="13">
        <f>R6*Calculation!I6/Calculation!K5</f>
        <v>1.3657058384249254</v>
      </c>
      <c r="U6" s="13">
        <f>S6*Calculation!I6/Calculation!K5</f>
        <v>5.0329189369051577E-2</v>
      </c>
    </row>
    <row r="7" spans="1:21">
      <c r="A7" s="31" t="s">
        <v>116</v>
      </c>
      <c r="B7" s="31">
        <v>46.03</v>
      </c>
      <c r="D7" s="16">
        <v>3</v>
      </c>
      <c r="E7" s="69">
        <v>4.666666666666667</v>
      </c>
      <c r="F7" s="51">
        <v>47.846358792184724</v>
      </c>
      <c r="G7" s="51">
        <v>0.29433999963505703</v>
      </c>
      <c r="H7" s="13">
        <f>F7*Calculation!I7/Calculation!K6</f>
        <v>48.16108072766837</v>
      </c>
      <c r="I7" s="13">
        <f>G7*Calculation!I7/Calculation!K6</f>
        <v>0.29627609794460141</v>
      </c>
      <c r="J7" s="13">
        <v>1.1249259917110717</v>
      </c>
      <c r="K7" s="13">
        <v>1.2818611660515592E-2</v>
      </c>
      <c r="L7" s="13">
        <f>J7*Calculation!I7/Calculation!K6</f>
        <v>1.1323254865592565</v>
      </c>
      <c r="M7" s="13">
        <f>K7*Calculation!I7/Calculation!K6</f>
        <v>1.2902929430432699E-2</v>
      </c>
      <c r="N7" s="13">
        <v>48.404107688037747</v>
      </c>
      <c r="O7" s="13">
        <v>0.18343282422268375</v>
      </c>
      <c r="P7" s="13">
        <f>N7*Calculation!I7/Calculation!K6</f>
        <v>48.722498362720117</v>
      </c>
      <c r="Q7" s="13">
        <f>O7*Calculation!I7/Calculation!K6</f>
        <v>0.18463940158672815</v>
      </c>
      <c r="R7" s="13">
        <v>2.5490622058078065</v>
      </c>
      <c r="S7" s="13">
        <v>6.637085516628044E-2</v>
      </c>
      <c r="T7" s="13">
        <f>R7*Calculation!I7/Calculation!K6</f>
        <v>2.5658293289772942</v>
      </c>
      <c r="U7" s="13">
        <f>S7*Calculation!I7/Calculation!K6</f>
        <v>6.6807426820319218E-2</v>
      </c>
    </row>
    <row r="8" spans="1:21">
      <c r="A8" s="15" t="s">
        <v>43</v>
      </c>
      <c r="B8" s="15">
        <v>60.05</v>
      </c>
      <c r="D8" s="16">
        <v>4</v>
      </c>
      <c r="E8" s="69">
        <v>6</v>
      </c>
      <c r="F8" s="51">
        <v>43.616785079928952</v>
      </c>
      <c r="G8" s="51">
        <v>0.1280257836886198</v>
      </c>
      <c r="H8" s="13">
        <f>F8*Calculation!I8/Calculation!K7</f>
        <v>44.214838871309752</v>
      </c>
      <c r="I8" s="13">
        <f>G8*Calculation!I8/Calculation!K7</f>
        <v>0.12978121580470006</v>
      </c>
      <c r="J8" s="13">
        <v>1.1175251628182357</v>
      </c>
      <c r="K8" s="13">
        <v>2.5637223321031275E-2</v>
      </c>
      <c r="L8" s="13">
        <f>J8*Calculation!I8/Calculation!K7</f>
        <v>1.1328481665509074</v>
      </c>
      <c r="M8" s="13">
        <f>K8*Calculation!I8/Calculation!K7</f>
        <v>2.5988749426853197E-2</v>
      </c>
      <c r="N8" s="13">
        <v>49.369969469886207</v>
      </c>
      <c r="O8" s="13">
        <v>0.11696534835251281</v>
      </c>
      <c r="P8" s="13">
        <f>N8*Calculation!I8/Calculation!K7</f>
        <v>50.046908344856305</v>
      </c>
      <c r="Q8" s="13">
        <f>O8*Calculation!I8/Calculation!K7</f>
        <v>0.11856912474075894</v>
      </c>
      <c r="R8" s="13">
        <v>6.2133391266565283</v>
      </c>
      <c r="S8" s="13">
        <v>7.5257475888284991E-2</v>
      </c>
      <c r="T8" s="13">
        <f>R8*Calculation!I8/Calculation!K7</f>
        <v>6.2985336455790506</v>
      </c>
      <c r="U8" s="13">
        <f>S8*Calculation!I8/Calculation!K7</f>
        <v>7.6289372638636027E-2</v>
      </c>
    </row>
    <row r="9" spans="1:21">
      <c r="A9" s="31" t="s">
        <v>67</v>
      </c>
      <c r="B9" s="31">
        <v>74.08</v>
      </c>
      <c r="D9" s="16">
        <v>5</v>
      </c>
      <c r="E9" s="69">
        <v>7.333333333333333</v>
      </c>
      <c r="F9" s="51">
        <v>35.916222616933091</v>
      </c>
      <c r="G9" s="51">
        <v>0.21189517913292488</v>
      </c>
      <c r="H9" s="13">
        <f>F9*Calculation!I9/Calculation!K8</f>
        <v>36.727830931298108</v>
      </c>
      <c r="I9" s="13">
        <f>G9*Calculation!I9/Calculation!K8</f>
        <v>0.21668343014117725</v>
      </c>
      <c r="J9" s="13">
        <v>1.1249259917110717</v>
      </c>
      <c r="K9" s="13">
        <v>1.2818611660515592E-2</v>
      </c>
      <c r="L9" s="13">
        <f>J9*Calculation!I9/Calculation!K8</f>
        <v>1.1503462397604192</v>
      </c>
      <c r="M9" s="13">
        <f>K9*Calculation!I9/Calculation!K8</f>
        <v>1.3108277194479231E-2</v>
      </c>
      <c r="N9" s="13">
        <v>50.913127948931432</v>
      </c>
      <c r="O9" s="13">
        <v>0.5848267417625711</v>
      </c>
      <c r="P9" s="13">
        <f>N9*Calculation!I9/Calculation!K8</f>
        <v>52.063625271392098</v>
      </c>
      <c r="Q9" s="13">
        <f>O9*Calculation!I9/Calculation!K8</f>
        <v>0.59804222522640638</v>
      </c>
      <c r="R9" s="13">
        <v>7.4154536896227095</v>
      </c>
      <c r="S9" s="13">
        <v>0.10934657738099381</v>
      </c>
      <c r="T9" s="13">
        <f>R9*Calculation!I9/Calculation!K8</f>
        <v>7.583022644005152</v>
      </c>
      <c r="U9" s="13">
        <f>S9*Calculation!I9/Calculation!K8</f>
        <v>0.11181751070536662</v>
      </c>
    </row>
    <row r="10" spans="1:21">
      <c r="A10" s="31" t="s">
        <v>66</v>
      </c>
      <c r="B10" s="31">
        <v>88.11</v>
      </c>
      <c r="D10" s="16">
        <v>6</v>
      </c>
      <c r="E10" s="69">
        <v>8.6666666666666661</v>
      </c>
      <c r="F10" s="51">
        <v>24.045293072824158</v>
      </c>
      <c r="G10" s="51">
        <v>0.26941965141011648</v>
      </c>
      <c r="H10" s="13">
        <f>F10*Calculation!I10/Calculation!K9</f>
        <v>24.902941901099215</v>
      </c>
      <c r="I10" s="13">
        <f>G10*Calculation!I10/Calculation!K9</f>
        <v>0.27902932627023752</v>
      </c>
      <c r="J10" s="13">
        <v>1.7391947898164595</v>
      </c>
      <c r="K10" s="13">
        <v>1.2818611660515681E-2</v>
      </c>
      <c r="L10" s="13">
        <f>J10*Calculation!I10/Calculation!K9</f>
        <v>1.8012284846901556</v>
      </c>
      <c r="M10" s="13">
        <f>K10*Calculation!I10/Calculation!K9</f>
        <v>1.3275826602228305E-2</v>
      </c>
      <c r="N10" s="13">
        <v>57.729669719678057</v>
      </c>
      <c r="O10" s="13">
        <v>0.51846991635128892</v>
      </c>
      <c r="P10" s="13">
        <f>N10*Calculation!I10/Calculation!K9</f>
        <v>59.788774736274675</v>
      </c>
      <c r="Q10" s="13">
        <f>O10*Calculation!I10/Calculation!K9</f>
        <v>0.53696272968102576</v>
      </c>
      <c r="R10" s="13">
        <v>7.2126873777970886</v>
      </c>
      <c r="S10" s="13">
        <v>8.6899847925266199E-2</v>
      </c>
      <c r="T10" s="13">
        <f>R10*Calculation!I10/Calculation!K9</f>
        <v>7.4699499056251772</v>
      </c>
      <c r="U10" s="13">
        <f>S10*Calculation!I10/Calculation!K9</f>
        <v>8.9999396453315464E-2</v>
      </c>
    </row>
    <row r="11" spans="1:21">
      <c r="A11" s="15" t="s">
        <v>42</v>
      </c>
      <c r="B11" s="15">
        <v>90.08</v>
      </c>
      <c r="D11" s="16">
        <v>7</v>
      </c>
      <c r="E11" s="69">
        <v>10</v>
      </c>
      <c r="F11" s="51">
        <v>12.118857312018944</v>
      </c>
      <c r="G11" s="51">
        <v>0.20629603115403147</v>
      </c>
      <c r="H11" s="13">
        <f>F11*Calculation!I11/Calculation!K10</f>
        <v>12.724099626054841</v>
      </c>
      <c r="I11" s="13">
        <f>G11*Calculation!I11/Calculation!K10</f>
        <v>0.21659890741186627</v>
      </c>
      <c r="J11" s="13">
        <v>1.9464179988158674</v>
      </c>
      <c r="K11" s="13">
        <v>1.2818611660515681E-2</v>
      </c>
      <c r="L11" s="13">
        <f>J11*Calculation!I11/Calculation!K10</f>
        <v>2.0436263826885033</v>
      </c>
      <c r="M11" s="13">
        <f>K11*Calculation!I11/Calculation!K10</f>
        <v>1.3458801241462691E-2</v>
      </c>
      <c r="N11" s="13">
        <v>70.274771024146546</v>
      </c>
      <c r="O11" s="13">
        <v>1.1671217630597961</v>
      </c>
      <c r="P11" s="13">
        <f>N11*Calculation!I11/Calculation!K10</f>
        <v>73.784447220334997</v>
      </c>
      <c r="Q11" s="13">
        <f>O11*Calculation!I11/Calculation!K10</f>
        <v>1.2254103837150949</v>
      </c>
      <c r="R11" s="13">
        <v>6.6188717503077692</v>
      </c>
      <c r="S11" s="13">
        <v>0.13967196409577759</v>
      </c>
      <c r="T11" s="13">
        <f>R11*Calculation!I11/Calculation!K10</f>
        <v>6.9494327224623058</v>
      </c>
      <c r="U11" s="13">
        <f>S11*Calculation!I11/Calculation!K10</f>
        <v>0.14664748832044427</v>
      </c>
    </row>
    <row r="12" spans="1:21">
      <c r="A12" s="15" t="s">
        <v>44</v>
      </c>
      <c r="B12" s="15">
        <v>46.07</v>
      </c>
      <c r="D12" s="16">
        <v>8</v>
      </c>
      <c r="E12" s="69">
        <v>11.333333333333334</v>
      </c>
      <c r="F12" s="51">
        <v>5.0362640615748964</v>
      </c>
      <c r="G12" s="51">
        <v>2.7937516412339984E-2</v>
      </c>
      <c r="H12" s="13">
        <f>F12*Calculation!I12/Calculation!K11</f>
        <v>5.3250240652008856</v>
      </c>
      <c r="I12" s="13">
        <f>G12*Calculation!I12/Calculation!K11</f>
        <v>2.9539346110285903E-2</v>
      </c>
      <c r="J12" s="13">
        <v>2.1980461811722916</v>
      </c>
      <c r="K12" s="13">
        <v>2.2202486678508014E-2</v>
      </c>
      <c r="L12" s="13">
        <f>J12*Calculation!I12/Calculation!K11</f>
        <v>2.3240736919392551</v>
      </c>
      <c r="M12" s="13">
        <f>K12*Calculation!I12/Calculation!K11</f>
        <v>2.3475491837770271E-2</v>
      </c>
      <c r="N12" s="13">
        <v>80.210935331668054</v>
      </c>
      <c r="O12" s="13">
        <v>0.60533137408673465</v>
      </c>
      <c r="P12" s="13">
        <f>N12*Calculation!I12/Calculation!K11</f>
        <v>84.809921741839233</v>
      </c>
      <c r="Q12" s="13">
        <f>O12*Calculation!I12/Calculation!K11</f>
        <v>0.64003874598763333</v>
      </c>
      <c r="R12" s="13">
        <v>3.9539430805996094</v>
      </c>
      <c r="S12" s="13">
        <v>7.3850747094857606E-16</v>
      </c>
      <c r="T12" s="13">
        <f>R12*Calculation!I12/Calculation!K11</f>
        <v>4.180646963543718</v>
      </c>
      <c r="U12" s="13">
        <f>S12*Calculation!I12/Calculation!K11</f>
        <v>7.8085064783160955E-16</v>
      </c>
    </row>
    <row r="13" spans="1:21">
      <c r="D13" s="16">
        <v>9</v>
      </c>
      <c r="E13" s="69">
        <v>12.666666666666666</v>
      </c>
      <c r="F13" s="51">
        <v>0</v>
      </c>
      <c r="G13" s="51">
        <v>0</v>
      </c>
      <c r="H13" s="13">
        <f>F13*Calculation!I13/Calculation!K12</f>
        <v>0</v>
      </c>
      <c r="I13" s="13">
        <f>G13*Calculation!I13/Calculation!K12</f>
        <v>0</v>
      </c>
      <c r="J13" s="13">
        <v>2.5088809946714035</v>
      </c>
      <c r="K13" s="13">
        <v>5.874225823855668E-2</v>
      </c>
      <c r="L13" s="13">
        <f>J13*Calculation!I13/Calculation!K12</f>
        <v>2.6655560276809376</v>
      </c>
      <c r="M13" s="13">
        <f>K13*Calculation!I13/Calculation!K12</f>
        <v>6.241060491108822E-2</v>
      </c>
      <c r="N13" s="13">
        <v>89.458784346378025</v>
      </c>
      <c r="O13" s="13">
        <v>2.6412394861491197</v>
      </c>
      <c r="P13" s="13">
        <f>N13*Calculation!I13/Calculation!K12</f>
        <v>95.045321938328385</v>
      </c>
      <c r="Q13" s="13">
        <f>O13*Calculation!I13/Calculation!K12</f>
        <v>2.806180065059559</v>
      </c>
      <c r="R13" s="13">
        <v>0.86899847925266127</v>
      </c>
      <c r="S13" s="13">
        <v>8.689984792526613E-2</v>
      </c>
      <c r="T13" s="13">
        <f>R13*Calculation!I13/Calculation!K12</f>
        <v>0.92326584614304574</v>
      </c>
      <c r="U13" s="13">
        <f>S13*Calculation!I13/Calculation!K12</f>
        <v>9.2326584614304583E-2</v>
      </c>
    </row>
    <row r="14" spans="1:21">
      <c r="D14" s="16">
        <v>10</v>
      </c>
      <c r="E14" s="69">
        <v>14</v>
      </c>
      <c r="F14" s="51">
        <v>0</v>
      </c>
      <c r="G14" s="51">
        <v>0</v>
      </c>
      <c r="H14" s="13">
        <f>F14*Calculation!I14/Calculation!K13</f>
        <v>0</v>
      </c>
      <c r="I14" s="13">
        <f>G14*Calculation!I14/Calculation!K13</f>
        <v>0</v>
      </c>
      <c r="J14" s="13">
        <v>2.5828892835997634</v>
      </c>
      <c r="K14" s="13">
        <v>2.5637223321031362E-2</v>
      </c>
      <c r="L14" s="13">
        <f>J14*Calculation!I14/Calculation!K13</f>
        <v>2.7648362280884164</v>
      </c>
      <c r="M14" s="13">
        <f>K14*Calculation!I14/Calculation!K13</f>
        <v>2.7443190955050052E-2</v>
      </c>
      <c r="N14" s="13">
        <v>89.436580627255083</v>
      </c>
      <c r="O14" s="13">
        <v>1.8693698681901052</v>
      </c>
      <c r="P14" s="13">
        <f>N14*Calculation!I14/Calculation!K13</f>
        <v>95.736778113057852</v>
      </c>
      <c r="Q14" s="13">
        <f>O14*Calculation!I14/Calculation!K13</f>
        <v>2.0010542333682801</v>
      </c>
      <c r="R14" s="13">
        <v>0</v>
      </c>
      <c r="S14" s="13">
        <v>0</v>
      </c>
      <c r="T14" s="13">
        <f>R14*Calculation!I14/Calculation!K13</f>
        <v>0</v>
      </c>
      <c r="U14" s="13">
        <f>S14*Calculation!I14/Calculation!K13</f>
        <v>0</v>
      </c>
    </row>
    <row r="15" spans="1:21">
      <c r="D15" s="16">
        <v>11</v>
      </c>
      <c r="E15" s="69">
        <v>15.333333333333334</v>
      </c>
      <c r="F15" s="51">
        <v>0</v>
      </c>
      <c r="G15" s="51">
        <v>0</v>
      </c>
      <c r="H15" s="13">
        <f>F15*Calculation!I15/Calculation!K14</f>
        <v>0</v>
      </c>
      <c r="I15" s="13">
        <f>G15*Calculation!I15/Calculation!K14</f>
        <v>0</v>
      </c>
      <c r="J15" s="13">
        <v>2.6050917702782712</v>
      </c>
      <c r="K15" s="13">
        <v>1.2818611660515504E-2</v>
      </c>
      <c r="L15" s="13">
        <f>J15*Calculation!I15/Calculation!K14</f>
        <v>2.7934148127037424</v>
      </c>
      <c r="M15" s="13">
        <f>K15*Calculation!I15/Calculation!K14</f>
        <v>1.3745273813120223E-2</v>
      </c>
      <c r="N15" s="13">
        <v>90.391340549542051</v>
      </c>
      <c r="O15" s="13">
        <v>1.3532889028416342</v>
      </c>
      <c r="P15" s="13">
        <f>N15*Calculation!I15/Calculation!K14</f>
        <v>96.925763810718863</v>
      </c>
      <c r="Q15" s="13">
        <f>O15*Calculation!I15/Calculation!K14</f>
        <v>1.4511186554712474</v>
      </c>
      <c r="R15" s="13">
        <v>0</v>
      </c>
      <c r="S15" s="13">
        <v>0</v>
      </c>
      <c r="T15" s="13">
        <f>R15*Calculation!I15/Calculation!K14</f>
        <v>0</v>
      </c>
      <c r="U15" s="13">
        <f>S15*Calculation!I15/Calculation!K14</f>
        <v>0</v>
      </c>
    </row>
    <row r="16" spans="1:21">
      <c r="D16" s="16">
        <v>12</v>
      </c>
      <c r="E16" s="69">
        <v>16.666666666666668</v>
      </c>
      <c r="F16" s="51">
        <v>0</v>
      </c>
      <c r="G16" s="51">
        <v>0</v>
      </c>
      <c r="H16" s="13">
        <f>F16*Calculation!I16/Calculation!K15</f>
        <v>0</v>
      </c>
      <c r="I16" s="13">
        <f>G16*Calculation!I16/Calculation!K15</f>
        <v>0</v>
      </c>
      <c r="J16" s="13">
        <v>2.6865008880994674</v>
      </c>
      <c r="K16" s="13">
        <v>3.8455834981547053E-2</v>
      </c>
      <c r="L16" s="13">
        <f>J16*Calculation!I16/Calculation!K15</f>
        <v>2.8832833857665978</v>
      </c>
      <c r="M16" s="13">
        <f>K16*Calculation!I16/Calculation!K15</f>
        <v>4.1272672039396427E-2</v>
      </c>
      <c r="N16" s="13">
        <v>90.813211212878159</v>
      </c>
      <c r="O16" s="13">
        <v>0.90926873069967029</v>
      </c>
      <c r="P16" s="13">
        <f>N16*Calculation!I16/Calculation!K15</f>
        <v>97.465154118538251</v>
      </c>
      <c r="Q16" s="13">
        <f>O16*Calculation!I16/Calculation!K15</f>
        <v>0.97587141550439505</v>
      </c>
      <c r="R16" s="13">
        <v>0</v>
      </c>
      <c r="S16" s="13">
        <v>0</v>
      </c>
      <c r="T16" s="13">
        <f>R16*Calculation!I16/Calculation!K15</f>
        <v>0</v>
      </c>
      <c r="U16" s="13">
        <f>S16*Calculation!I16/Calculation!K15</f>
        <v>0</v>
      </c>
    </row>
    <row r="17" spans="4:21">
      <c r="D17" s="16">
        <v>13</v>
      </c>
      <c r="E17" s="69">
        <v>18</v>
      </c>
      <c r="F17" s="51">
        <v>0</v>
      </c>
      <c r="G17" s="51">
        <v>0</v>
      </c>
      <c r="H17" s="13">
        <f>F17*Calculation!I17/Calculation!K16</f>
        <v>0</v>
      </c>
      <c r="I17" s="13">
        <f>G17*Calculation!I17/Calculation!K16</f>
        <v>0</v>
      </c>
      <c r="J17" s="13">
        <v>2.7087033747779752</v>
      </c>
      <c r="K17" s="13">
        <v>2.2202486678508014E-2</v>
      </c>
      <c r="L17" s="13">
        <f>J17*Calculation!I17/Calculation!K16</f>
        <v>2.9071121740787178</v>
      </c>
      <c r="M17" s="13">
        <f>K17*Calculation!I17/Calculation!K16</f>
        <v>2.3828788312120659E-2</v>
      </c>
      <c r="N17" s="13">
        <v>90.258118234804343</v>
      </c>
      <c r="O17" s="13">
        <v>1.1363012229296885</v>
      </c>
      <c r="P17" s="13">
        <f>N17*Calculation!I17/Calculation!K16</f>
        <v>96.869401342752582</v>
      </c>
      <c r="Q17" s="13">
        <f>O17*Calculation!I17/Calculation!K16</f>
        <v>1.2195337257517904</v>
      </c>
      <c r="R17" s="13">
        <v>0</v>
      </c>
      <c r="S17" s="13">
        <v>0</v>
      </c>
      <c r="T17" s="13">
        <f>R17*Calculation!I17/Calculation!K16</f>
        <v>0</v>
      </c>
      <c r="U17" s="13">
        <f>S17*Calculation!I17/Calculation!K16</f>
        <v>0</v>
      </c>
    </row>
    <row r="18" spans="4:21">
      <c r="D18" s="16">
        <v>14</v>
      </c>
      <c r="E18" s="69">
        <v>24</v>
      </c>
      <c r="F18" s="51">
        <v>0</v>
      </c>
      <c r="G18" s="51">
        <v>0</v>
      </c>
      <c r="H18" s="13">
        <f>F18*Calculation!I18/Calculation!K17</f>
        <v>0</v>
      </c>
      <c r="I18" s="13">
        <f>G18*Calculation!I18/Calculation!K17</f>
        <v>0</v>
      </c>
      <c r="J18" s="13">
        <v>2.9603315571343991</v>
      </c>
      <c r="K18" s="13">
        <v>4.6218161622249884E-2</v>
      </c>
      <c r="L18" s="13">
        <f>J18*Calculation!I18/Calculation!K17</f>
        <v>3.1771717749494184</v>
      </c>
      <c r="M18" s="13">
        <f>K18*Calculation!I18/Calculation!K17</f>
        <v>4.9603578437817555E-2</v>
      </c>
      <c r="N18" s="13">
        <v>90.646683319455988</v>
      </c>
      <c r="O18" s="13">
        <v>1.4670845928494844</v>
      </c>
      <c r="P18" s="13">
        <f>N18*Calculation!I18/Calculation!K17</f>
        <v>97.286428285802515</v>
      </c>
      <c r="Q18" s="13">
        <f>O18*Calculation!I18/Calculation!K17</f>
        <v>1.574546522882242</v>
      </c>
      <c r="R18" s="13">
        <v>0</v>
      </c>
      <c r="S18" s="13">
        <v>0</v>
      </c>
      <c r="T18" s="13">
        <f>R18*Calculation!I18/Calculation!K17</f>
        <v>0</v>
      </c>
      <c r="U18" s="13">
        <f>S18*Calculation!I18/Calculation!K17</f>
        <v>0</v>
      </c>
    </row>
    <row r="19" spans="4:21">
      <c r="D19" s="16">
        <v>15</v>
      </c>
      <c r="E19" s="69">
        <v>30.25</v>
      </c>
      <c r="F19" s="51">
        <v>0</v>
      </c>
      <c r="G19" s="51">
        <v>0</v>
      </c>
      <c r="H19" s="13">
        <f>F19*Calculation!I19/Calculation!K18</f>
        <v>0</v>
      </c>
      <c r="I19" s="13">
        <f>G19*Calculation!I19/Calculation!K18</f>
        <v>0</v>
      </c>
      <c r="J19" s="13">
        <v>3.1749555950266437</v>
      </c>
      <c r="K19" s="13">
        <v>0.12361821409480488</v>
      </c>
      <c r="L19" s="13">
        <f>J19*Calculation!I19/Calculation!K18</f>
        <v>3.4075167286332522</v>
      </c>
      <c r="M19" s="13">
        <f>K19*Calculation!I19/Calculation!K18</f>
        <v>0.13267307837364559</v>
      </c>
      <c r="N19" s="13">
        <v>91.668054399111838</v>
      </c>
      <c r="O19" s="13">
        <v>3.5184838910886089</v>
      </c>
      <c r="P19" s="13">
        <f>N19*Calculation!I19/Calculation!K18</f>
        <v>98.382613393248207</v>
      </c>
      <c r="Q19" s="13">
        <f>O19*Calculation!I19/Calculation!K18</f>
        <v>3.7762080002288787</v>
      </c>
      <c r="R19" s="13">
        <v>0</v>
      </c>
      <c r="S19" s="13">
        <v>0</v>
      </c>
      <c r="T19" s="13">
        <f>R19*Calculation!I19/Calculation!K18</f>
        <v>0</v>
      </c>
      <c r="U19" s="13">
        <f>S19*Calculation!I19/Calculation!K18</f>
        <v>0</v>
      </c>
    </row>
    <row r="20" spans="4:21">
      <c r="D20" s="16">
        <v>16</v>
      </c>
      <c r="E20" s="69">
        <v>48</v>
      </c>
      <c r="F20" s="51">
        <v>0</v>
      </c>
      <c r="G20" s="51">
        <v>0</v>
      </c>
      <c r="H20" s="13">
        <f>F20*Calculation!I20/Calculation!K19</f>
        <v>0</v>
      </c>
      <c r="I20" s="13">
        <f>G20*Calculation!I20/Calculation!K19</f>
        <v>0</v>
      </c>
      <c r="J20" s="13">
        <v>3.4487862640615745</v>
      </c>
      <c r="K20" s="13">
        <v>6.4093058302578401E-2</v>
      </c>
      <c r="L20" s="13">
        <f>J20*Calculation!I20/Calculation!K19</f>
        <v>3.7014051178160723</v>
      </c>
      <c r="M20" s="13">
        <f>K20*Calculation!I20/Calculation!K19</f>
        <v>6.8787786732327355E-2</v>
      </c>
      <c r="N20" s="13">
        <v>90.258118234804343</v>
      </c>
      <c r="O20" s="13">
        <v>1.3272179080880107</v>
      </c>
      <c r="P20" s="13">
        <f>N20*Calculation!I20/Calculation!K19</f>
        <v>96.869401342752582</v>
      </c>
      <c r="Q20" s="13">
        <f>O20*Calculation!I20/Calculation!K19</f>
        <v>1.4244347956978509</v>
      </c>
      <c r="R20" s="13">
        <v>0</v>
      </c>
      <c r="S20" s="13">
        <v>0</v>
      </c>
      <c r="T20" s="13">
        <f>R20*Calculation!I20/Calculation!K19</f>
        <v>0</v>
      </c>
      <c r="U20" s="13">
        <f>S20*Calculation!I20/Calculation!K19</f>
        <v>0</v>
      </c>
    </row>
    <row r="22" spans="4:21">
      <c r="D22" s="156" t="s">
        <v>4</v>
      </c>
      <c r="E22" s="156" t="s">
        <v>60</v>
      </c>
      <c r="F22" s="130" t="s">
        <v>44</v>
      </c>
      <c r="G22" s="130"/>
      <c r="H22" s="130"/>
      <c r="I22" s="130"/>
      <c r="J22" s="130" t="s">
        <v>66</v>
      </c>
      <c r="K22" s="130"/>
      <c r="L22" s="130"/>
      <c r="M22" s="130"/>
      <c r="N22" s="154" t="s">
        <v>67</v>
      </c>
      <c r="O22" s="128"/>
      <c r="P22" s="128"/>
      <c r="Q22" s="155"/>
    </row>
    <row r="23" spans="4:21">
      <c r="D23" s="156"/>
      <c r="E23" s="156"/>
      <c r="F23" s="20" t="s">
        <v>48</v>
      </c>
      <c r="G23" s="20" t="s">
        <v>23</v>
      </c>
      <c r="H23" s="20" t="s">
        <v>48</v>
      </c>
      <c r="I23" s="20" t="s">
        <v>23</v>
      </c>
      <c r="J23" s="20" t="s">
        <v>48</v>
      </c>
      <c r="K23" s="20" t="s">
        <v>23</v>
      </c>
      <c r="L23" s="20" t="s">
        <v>48</v>
      </c>
      <c r="M23" s="20" t="s">
        <v>23</v>
      </c>
      <c r="N23" s="20" t="s">
        <v>48</v>
      </c>
      <c r="O23" s="20" t="s">
        <v>23</v>
      </c>
      <c r="P23" s="20" t="s">
        <v>48</v>
      </c>
      <c r="Q23" s="20" t="s">
        <v>23</v>
      </c>
    </row>
    <row r="24" spans="4:21">
      <c r="D24" s="16">
        <v>0</v>
      </c>
      <c r="E24" s="66">
        <v>-0.16666666666666666</v>
      </c>
      <c r="F24" s="13">
        <v>0</v>
      </c>
      <c r="G24" s="13">
        <v>0</v>
      </c>
      <c r="H24" s="13">
        <f>F24*Calculation!I3/Calculation!F22</f>
        <v>0</v>
      </c>
      <c r="I24" s="13">
        <f>G24*Calculation!I3/Calculation!F22</f>
        <v>0</v>
      </c>
      <c r="J24" s="13">
        <v>0.50694207997578777</v>
      </c>
      <c r="K24" s="13">
        <v>5.2420862030609541E-2</v>
      </c>
      <c r="L24" s="13">
        <f>J24*Calculation!I3/Calculation!F22</f>
        <v>0.50761800274908875</v>
      </c>
      <c r="M24" s="13">
        <f>K24*Calculation!I3/Calculation!F22</f>
        <v>5.249075651331702E-2</v>
      </c>
      <c r="N24" s="13">
        <v>0</v>
      </c>
      <c r="O24" s="13">
        <v>0</v>
      </c>
      <c r="P24" s="13">
        <f>N24*Calculation!I3/Calculation!F22</f>
        <v>0</v>
      </c>
      <c r="Q24" s="13">
        <f>O24*Calculation!I3/Calculation!F22</f>
        <v>0</v>
      </c>
    </row>
    <row r="25" spans="4:21">
      <c r="D25" s="16">
        <v>0</v>
      </c>
      <c r="E25" s="69">
        <v>0.16666666666666666</v>
      </c>
      <c r="F25" s="13">
        <v>0</v>
      </c>
      <c r="G25" s="13">
        <v>0</v>
      </c>
      <c r="H25" s="13">
        <f>F25*Calculation!I4/Calculation!K3</f>
        <v>0</v>
      </c>
      <c r="I25" s="13">
        <f>G25*Calculation!I4/Calculation!K3</f>
        <v>0</v>
      </c>
      <c r="J25" s="13">
        <v>0.68096697310180454</v>
      </c>
      <c r="K25" s="13">
        <v>4.5397798206786973E-2</v>
      </c>
      <c r="L25" s="13">
        <f>J25*Calculation!I4/Calculation!K3</f>
        <v>0.68221349655802865</v>
      </c>
      <c r="M25" s="13">
        <f>K25*Calculation!I4/Calculation!K3</f>
        <v>4.5480899770535252E-2</v>
      </c>
      <c r="N25" s="13">
        <v>0</v>
      </c>
      <c r="O25" s="13">
        <v>0</v>
      </c>
      <c r="P25" s="13">
        <f>N25*Calculation!I4/Calculation!K3</f>
        <v>0</v>
      </c>
      <c r="Q25" s="13">
        <f>O25*Calculation!I4/Calculation!K3</f>
        <v>0</v>
      </c>
    </row>
    <row r="26" spans="4:21">
      <c r="D26" s="16">
        <v>1</v>
      </c>
      <c r="E26" s="69">
        <v>2</v>
      </c>
      <c r="F26" s="13">
        <v>0</v>
      </c>
      <c r="G26" s="13">
        <v>0</v>
      </c>
      <c r="H26" s="13">
        <f>F26*Calculation!I5/Calculation!K4</f>
        <v>0</v>
      </c>
      <c r="I26" s="13">
        <f>G26*Calculation!I5/Calculation!K4</f>
        <v>0</v>
      </c>
      <c r="J26" s="13">
        <v>0.83985926682555911</v>
      </c>
      <c r="K26" s="13">
        <v>6.8096697310180435E-2</v>
      </c>
      <c r="L26" s="13">
        <f>J26*Calculation!I5/Calculation!K4</f>
        <v>0.84193773684541973</v>
      </c>
      <c r="M26" s="13">
        <f>K26*Calculation!I5/Calculation!K4</f>
        <v>6.8265221906385357E-2</v>
      </c>
      <c r="N26" s="13">
        <v>0</v>
      </c>
      <c r="O26" s="13">
        <v>0</v>
      </c>
      <c r="P26" s="13">
        <f>N26*Calculation!I5/Calculation!K4</f>
        <v>0</v>
      </c>
      <c r="Q26" s="13">
        <f>O26*Calculation!I5/Calculation!K4</f>
        <v>0</v>
      </c>
    </row>
    <row r="27" spans="4:21">
      <c r="D27" s="16">
        <v>2</v>
      </c>
      <c r="E27" s="69">
        <v>3.3333333333333335</v>
      </c>
      <c r="F27" s="13">
        <v>0</v>
      </c>
      <c r="G27" s="13">
        <v>0</v>
      </c>
      <c r="H27" s="13">
        <f>F27*Calculation!I6/Calculation!K5</f>
        <v>0</v>
      </c>
      <c r="I27" s="13">
        <f>G27*Calculation!I6/Calculation!K5</f>
        <v>0</v>
      </c>
      <c r="J27" s="13">
        <v>1.4224643438126583</v>
      </c>
      <c r="K27" s="13">
        <v>4.7251526488846556E-2</v>
      </c>
      <c r="L27" s="13">
        <f>J27*Calculation!I6/Calculation!K5</f>
        <v>1.4269308760117878</v>
      </c>
      <c r="M27" s="13">
        <f>K27*Calculation!I6/Calculation!K5</f>
        <v>4.7399896088013288E-2</v>
      </c>
      <c r="N27" s="13">
        <v>0</v>
      </c>
      <c r="O27" s="13">
        <v>0</v>
      </c>
      <c r="P27" s="13">
        <f>N27*Calculation!I6/Calculation!K5</f>
        <v>0</v>
      </c>
      <c r="Q27" s="13">
        <f>O27*Calculation!I6/Calculation!K5</f>
        <v>0</v>
      </c>
    </row>
    <row r="28" spans="4:21">
      <c r="D28" s="16">
        <v>3</v>
      </c>
      <c r="E28" s="69">
        <v>4.666666666666667</v>
      </c>
      <c r="F28" s="13">
        <v>0</v>
      </c>
      <c r="G28" s="13">
        <v>0</v>
      </c>
      <c r="H28" s="13">
        <f>F28*Calculation!I7/Calculation!K6</f>
        <v>0</v>
      </c>
      <c r="I28" s="13">
        <f>G28*Calculation!I7/Calculation!K6</f>
        <v>0</v>
      </c>
      <c r="J28" s="13">
        <v>3.2308099723830055</v>
      </c>
      <c r="K28" s="13">
        <v>3.4673141111155326E-2</v>
      </c>
      <c r="L28" s="13">
        <f>J28*Calculation!I7/Calculation!K6</f>
        <v>3.2520614697457337</v>
      </c>
      <c r="M28" s="13">
        <f>K28*Calculation!I7/Calculation!K6</f>
        <v>3.4901212762902062E-2</v>
      </c>
      <c r="N28" s="13">
        <v>0</v>
      </c>
      <c r="O28" s="13">
        <v>0</v>
      </c>
      <c r="P28" s="13">
        <f>N28*Calculation!I7/Calculation!K6</f>
        <v>0</v>
      </c>
      <c r="Q28" s="13">
        <f>O28*Calculation!I7/Calculation!K6</f>
        <v>0</v>
      </c>
    </row>
    <row r="29" spans="4:21">
      <c r="D29" s="16">
        <v>4</v>
      </c>
      <c r="E29" s="69">
        <v>6</v>
      </c>
      <c r="F29" s="13">
        <v>0</v>
      </c>
      <c r="G29" s="13">
        <v>0</v>
      </c>
      <c r="H29" s="13">
        <f>F29*Calculation!I8/Calculation!K7</f>
        <v>0</v>
      </c>
      <c r="I29" s="13">
        <f>G29*Calculation!I8/Calculation!K7</f>
        <v>0</v>
      </c>
      <c r="J29" s="13">
        <v>7.8538190897741469</v>
      </c>
      <c r="K29" s="13">
        <v>8.1842044613868334E-2</v>
      </c>
      <c r="L29" s="13">
        <f>J29*Calculation!I8/Calculation!K7</f>
        <v>7.9615071340637691</v>
      </c>
      <c r="M29" s="13">
        <f>K29*Calculation!I8/Calculation!K7</f>
        <v>8.2964226016876044E-2</v>
      </c>
      <c r="N29" s="13">
        <v>0</v>
      </c>
      <c r="O29" s="13">
        <v>0</v>
      </c>
      <c r="P29" s="13">
        <f>N29*Calculation!I8/Calculation!K7</f>
        <v>0</v>
      </c>
      <c r="Q29" s="13">
        <f>O29*Calculation!I8/Calculation!K7</f>
        <v>0</v>
      </c>
    </row>
    <row r="30" spans="4:21">
      <c r="D30" s="16">
        <v>5</v>
      </c>
      <c r="E30" s="69">
        <v>7.333333333333333</v>
      </c>
      <c r="F30" s="13">
        <v>0</v>
      </c>
      <c r="G30" s="13">
        <v>0</v>
      </c>
      <c r="H30" s="13">
        <f>F30*Calculation!I9/Calculation!K8</f>
        <v>0</v>
      </c>
      <c r="I30" s="13">
        <f>G30*Calculation!I9/Calculation!K8</f>
        <v>0</v>
      </c>
      <c r="J30" s="13">
        <v>14.111148942609619</v>
      </c>
      <c r="K30" s="13">
        <v>4.7251526488846556E-2</v>
      </c>
      <c r="L30" s="13">
        <f>J30*Calculation!I9/Calculation!K8</f>
        <v>14.430022280967465</v>
      </c>
      <c r="M30" s="13">
        <f>K30*Calculation!I9/Calculation!K8</f>
        <v>4.8319281641547564E-2</v>
      </c>
      <c r="N30" s="13">
        <v>0</v>
      </c>
      <c r="O30" s="13">
        <v>0</v>
      </c>
      <c r="P30" s="13">
        <f>N30*Calculation!I9/Calculation!K8</f>
        <v>0</v>
      </c>
      <c r="Q30" s="13">
        <f>O30*Calculation!I9/Calculation!K8</f>
        <v>0</v>
      </c>
    </row>
    <row r="31" spans="4:21">
      <c r="D31" s="16">
        <v>6</v>
      </c>
      <c r="E31" s="69">
        <v>8.6666666666666661</v>
      </c>
      <c r="F31" s="13">
        <v>0</v>
      </c>
      <c r="G31" s="13">
        <v>0</v>
      </c>
      <c r="H31" s="13">
        <f>F31*Calculation!I10/Calculation!K9</f>
        <v>0</v>
      </c>
      <c r="I31" s="13">
        <f>G31*Calculation!I10/Calculation!K9</f>
        <v>0</v>
      </c>
      <c r="J31" s="13">
        <v>20.512238489766577</v>
      </c>
      <c r="K31" s="13">
        <v>0.20596462889291742</v>
      </c>
      <c r="L31" s="13">
        <f>J31*Calculation!I10/Calculation!K9</f>
        <v>21.243870133962652</v>
      </c>
      <c r="M31" s="13">
        <f>K31*Calculation!I10/Calculation!K9</f>
        <v>0.21331098653976022</v>
      </c>
      <c r="N31" s="13">
        <v>0</v>
      </c>
      <c r="O31" s="13">
        <v>0</v>
      </c>
      <c r="P31" s="13">
        <f>N31*Calculation!I10/Calculation!K9</f>
        <v>0</v>
      </c>
      <c r="Q31" s="13">
        <f>O31*Calculation!I10/Calculation!K9</f>
        <v>0</v>
      </c>
    </row>
    <row r="32" spans="4:21">
      <c r="D32" s="16">
        <v>7</v>
      </c>
      <c r="E32" s="69">
        <v>10</v>
      </c>
      <c r="F32" s="13">
        <v>0</v>
      </c>
      <c r="G32" s="13">
        <v>0</v>
      </c>
      <c r="H32" s="13">
        <f>F32*Calculation!I11/Calculation!K10</f>
        <v>0</v>
      </c>
      <c r="I32" s="13">
        <f>G32*Calculation!I11/Calculation!K10</f>
        <v>0</v>
      </c>
      <c r="J32" s="13">
        <v>25.052018310445273</v>
      </c>
      <c r="K32" s="13">
        <v>0.44383942423675005</v>
      </c>
      <c r="L32" s="13">
        <f>J32*Calculation!I11/Calculation!K10</f>
        <v>26.303171050600564</v>
      </c>
      <c r="M32" s="13">
        <f>K32*Calculation!I11/Calculation!K10</f>
        <v>0.46600573854090432</v>
      </c>
      <c r="N32" s="13">
        <v>0</v>
      </c>
      <c r="O32" s="13">
        <v>0</v>
      </c>
      <c r="P32" s="13">
        <f>N32*Calculation!I11/Calculation!K10</f>
        <v>0</v>
      </c>
      <c r="Q32" s="13">
        <f>O32*Calculation!I11/Calculation!K10</f>
        <v>0</v>
      </c>
    </row>
    <row r="33" spans="4:17">
      <c r="D33" s="16">
        <v>8</v>
      </c>
      <c r="E33" s="69">
        <v>11.333333333333334</v>
      </c>
      <c r="F33" s="13">
        <v>0</v>
      </c>
      <c r="G33" s="13">
        <v>0</v>
      </c>
      <c r="H33" s="13">
        <f>F33*Calculation!I12/Calculation!K11</f>
        <v>0</v>
      </c>
      <c r="I33" s="13">
        <f>G33*Calculation!I12/Calculation!K11</f>
        <v>0</v>
      </c>
      <c r="J33" s="13">
        <v>26.02428782204063</v>
      </c>
      <c r="K33" s="13">
        <v>0.17655600029626492</v>
      </c>
      <c r="L33" s="13">
        <f>J33*Calculation!I12/Calculation!K11</f>
        <v>27.516420354008439</v>
      </c>
      <c r="M33" s="13">
        <f>K33*Calculation!I12/Calculation!K11</f>
        <v>0.18667904203164939</v>
      </c>
      <c r="N33" s="13">
        <v>0</v>
      </c>
      <c r="O33" s="13">
        <v>0</v>
      </c>
      <c r="P33" s="13">
        <f>N33*Calculation!I12/Calculation!K11</f>
        <v>0</v>
      </c>
      <c r="Q33" s="13">
        <f>O33*Calculation!I12/Calculation!K11</f>
        <v>0</v>
      </c>
    </row>
    <row r="34" spans="4:17">
      <c r="D34" s="16">
        <v>9</v>
      </c>
      <c r="E34" s="69">
        <v>12.666666666666666</v>
      </c>
      <c r="F34" s="13">
        <v>0</v>
      </c>
      <c r="G34" s="13">
        <v>0</v>
      </c>
      <c r="H34" s="13">
        <f>F34*Calculation!I13/Calculation!K12</f>
        <v>0</v>
      </c>
      <c r="I34" s="13">
        <f>G34*Calculation!I13/Calculation!K12</f>
        <v>0</v>
      </c>
      <c r="J34" s="13">
        <v>26.905761737222409</v>
      </c>
      <c r="K34" s="13">
        <v>0.77120602327618726</v>
      </c>
      <c r="L34" s="13">
        <f>J34*Calculation!I13/Calculation!K12</f>
        <v>28.585977386063139</v>
      </c>
      <c r="M34" s="13">
        <f>K34*Calculation!I13/Calculation!K12</f>
        <v>0.81936643001153098</v>
      </c>
      <c r="N34" s="13">
        <v>0</v>
      </c>
      <c r="O34" s="13">
        <v>0</v>
      </c>
      <c r="P34" s="13">
        <f>N34*Calculation!I13/Calculation!K12</f>
        <v>0</v>
      </c>
      <c r="Q34" s="13">
        <f>O34*Calculation!I13/Calculation!K12</f>
        <v>0</v>
      </c>
    </row>
    <row r="35" spans="4:17">
      <c r="D35" s="16">
        <v>10</v>
      </c>
      <c r="E35" s="69">
        <v>14</v>
      </c>
      <c r="F35" s="13">
        <v>0</v>
      </c>
      <c r="G35" s="13">
        <v>0</v>
      </c>
      <c r="H35" s="13">
        <f>F35*Calculation!I14/Calculation!K13</f>
        <v>0</v>
      </c>
      <c r="I35" s="13">
        <f>G35*Calculation!I14/Calculation!K13</f>
        <v>0</v>
      </c>
      <c r="J35" s="13">
        <v>26.860363939015624</v>
      </c>
      <c r="K35" s="13">
        <v>0.68298167269075882</v>
      </c>
      <c r="L35" s="13">
        <f>J35*Calculation!I14/Calculation!K13</f>
        <v>28.752493492376072</v>
      </c>
      <c r="M35" s="13">
        <f>K35*Calculation!I14/Calculation!K13</f>
        <v>0.73109307617865571</v>
      </c>
      <c r="N35" s="13">
        <v>0</v>
      </c>
      <c r="O35" s="13">
        <v>0</v>
      </c>
      <c r="P35" s="13">
        <f>N35*Calculation!I14/Calculation!K13</f>
        <v>0</v>
      </c>
      <c r="Q35" s="13">
        <f>O35*Calculation!I14/Calculation!K13</f>
        <v>0</v>
      </c>
    </row>
    <row r="36" spans="4:17">
      <c r="D36" s="16">
        <v>11</v>
      </c>
      <c r="E36" s="69">
        <v>15.333333333333334</v>
      </c>
      <c r="F36" s="13">
        <v>0</v>
      </c>
      <c r="G36" s="13">
        <v>0</v>
      </c>
      <c r="H36" s="13">
        <f>F36*Calculation!I15/Calculation!K14</f>
        <v>0</v>
      </c>
      <c r="I36" s="13">
        <f>G36*Calculation!I15/Calculation!K14</f>
        <v>0</v>
      </c>
      <c r="J36" s="13">
        <v>27.178148526463126</v>
      </c>
      <c r="K36" s="13">
        <v>0.24057977672734457</v>
      </c>
      <c r="L36" s="13">
        <f>J36*Calculation!I15/Calculation!K14</f>
        <v>29.142866881643432</v>
      </c>
      <c r="M36" s="13">
        <f>K36*Calculation!I15/Calculation!K14</f>
        <v>0.25797137729061165</v>
      </c>
      <c r="N36" s="13">
        <v>0</v>
      </c>
      <c r="O36" s="13">
        <v>0</v>
      </c>
      <c r="P36" s="13">
        <f>N36*Calculation!I15/Calculation!K14</f>
        <v>0</v>
      </c>
      <c r="Q36" s="13">
        <f>O36*Calculation!I15/Calculation!K14</f>
        <v>0</v>
      </c>
    </row>
    <row r="37" spans="4:17">
      <c r="D37" s="16">
        <v>12</v>
      </c>
      <c r="E37" s="69">
        <v>16.666666666666668</v>
      </c>
      <c r="F37" s="13">
        <v>0</v>
      </c>
      <c r="G37" s="13">
        <v>0</v>
      </c>
      <c r="H37" s="13">
        <f>F37*Calculation!I16/Calculation!K15</f>
        <v>0</v>
      </c>
      <c r="I37" s="13">
        <f>G37*Calculation!I16/Calculation!K15</f>
        <v>0</v>
      </c>
      <c r="J37" s="13">
        <v>27.344607119888014</v>
      </c>
      <c r="K37" s="13">
        <v>0.31805469764285033</v>
      </c>
      <c r="L37" s="13">
        <f>J37*Calculation!I16/Calculation!K15</f>
        <v>29.34756200838784</v>
      </c>
      <c r="M37" s="13">
        <f>K37*Calculation!I16/Calculation!K15</f>
        <v>0.34135176710378795</v>
      </c>
      <c r="N37" s="13">
        <v>0</v>
      </c>
      <c r="O37" s="13">
        <v>0</v>
      </c>
      <c r="P37" s="13">
        <f>N37*Calculation!I16/Calculation!K15</f>
        <v>0</v>
      </c>
      <c r="Q37" s="13">
        <f>O37*Calculation!I16/Calculation!K15</f>
        <v>0</v>
      </c>
    </row>
    <row r="38" spans="4:17">
      <c r="D38" s="16">
        <v>13</v>
      </c>
      <c r="E38" s="69">
        <v>18</v>
      </c>
      <c r="F38" s="13">
        <v>0</v>
      </c>
      <c r="G38" s="13">
        <v>0</v>
      </c>
      <c r="H38" s="13">
        <f>F38*Calculation!I17/Calculation!K16</f>
        <v>0</v>
      </c>
      <c r="I38" s="13">
        <f>G38*Calculation!I17/Calculation!K16</f>
        <v>0</v>
      </c>
      <c r="J38" s="13">
        <v>27.314341921083493</v>
      </c>
      <c r="K38" s="13">
        <v>0.40371721929267451</v>
      </c>
      <c r="L38" s="13">
        <f>J38*Calculation!I17/Calculation!K16</f>
        <v>29.315079925368046</v>
      </c>
      <c r="M38" s="13">
        <f>K38*Calculation!I17/Calculation!K16</f>
        <v>0.43328895072800006</v>
      </c>
      <c r="N38" s="13">
        <v>0</v>
      </c>
      <c r="O38" s="13">
        <v>0</v>
      </c>
      <c r="P38" s="13">
        <f>N38*Calculation!I17/Calculation!K16</f>
        <v>0</v>
      </c>
      <c r="Q38" s="13">
        <f>O38*Calculation!I17/Calculation!K16</f>
        <v>0</v>
      </c>
    </row>
    <row r="39" spans="4:17">
      <c r="D39" s="16">
        <v>14</v>
      </c>
      <c r="E39" s="69">
        <v>24</v>
      </c>
      <c r="F39" s="13">
        <v>0</v>
      </c>
      <c r="G39" s="13">
        <v>0</v>
      </c>
      <c r="H39" s="13">
        <f>F39*Calculation!I18/Calculation!K17</f>
        <v>0</v>
      </c>
      <c r="I39" s="13">
        <f>G39*Calculation!I18/Calculation!K17</f>
        <v>0</v>
      </c>
      <c r="J39" s="13">
        <v>27.843982900162672</v>
      </c>
      <c r="K39" s="13">
        <v>0.38409685306993874</v>
      </c>
      <c r="L39" s="13">
        <f>J39*Calculation!I18/Calculation!K17</f>
        <v>29.883516378214512</v>
      </c>
      <c r="M39" s="13">
        <f>K39*Calculation!I18/Calculation!K17</f>
        <v>0.41223141964611354</v>
      </c>
      <c r="N39" s="13">
        <v>0</v>
      </c>
      <c r="O39" s="13">
        <v>0</v>
      </c>
      <c r="P39" s="13">
        <f>N39*Calculation!I18/Calculation!K17</f>
        <v>0</v>
      </c>
      <c r="Q39" s="13">
        <f>O39*Calculation!I18/Calculation!K17</f>
        <v>0</v>
      </c>
    </row>
    <row r="40" spans="4:17">
      <c r="D40" s="16">
        <v>15</v>
      </c>
      <c r="E40" s="69">
        <v>30.25</v>
      </c>
      <c r="F40" s="13">
        <v>0</v>
      </c>
      <c r="G40" s="13">
        <v>0</v>
      </c>
      <c r="H40" s="13">
        <f>F40*Calculation!I19/Calculation!K18</f>
        <v>0</v>
      </c>
      <c r="I40" s="13">
        <f>G40*Calculation!I19/Calculation!K18</f>
        <v>0</v>
      </c>
      <c r="J40" s="13">
        <v>28.313093481632812</v>
      </c>
      <c r="K40" s="13">
        <v>1.116022793780036</v>
      </c>
      <c r="L40" s="13">
        <f>J40*Calculation!I19/Calculation!K18</f>
        <v>30.386988665021399</v>
      </c>
      <c r="M40" s="13">
        <f>K40*Calculation!I19/Calculation!K18</f>
        <v>1.1977699295380468</v>
      </c>
      <c r="N40" s="13">
        <v>0</v>
      </c>
      <c r="O40" s="13">
        <v>0</v>
      </c>
      <c r="P40" s="13">
        <f>N40*Calculation!I19/Calculation!K18</f>
        <v>0</v>
      </c>
      <c r="Q40" s="13">
        <f>O40*Calculation!I19/Calculation!K18</f>
        <v>0</v>
      </c>
    </row>
    <row r="41" spans="4:17">
      <c r="D41" s="16">
        <v>16</v>
      </c>
      <c r="E41" s="69">
        <v>48</v>
      </c>
      <c r="F41" s="13">
        <v>0</v>
      </c>
      <c r="G41" s="13">
        <v>0</v>
      </c>
      <c r="H41" s="13">
        <f>F41*Calculation!I20/Calculation!K19</f>
        <v>0</v>
      </c>
      <c r="I41" s="13">
        <f>G41*Calculation!I20/Calculation!K19</f>
        <v>0</v>
      </c>
      <c r="J41" s="13">
        <v>28.048272992093217</v>
      </c>
      <c r="K41" s="13">
        <v>0.4062616807372228</v>
      </c>
      <c r="L41" s="13">
        <f>J41*Calculation!I20/Calculation!K19</f>
        <v>30.102770438598156</v>
      </c>
      <c r="M41" s="13">
        <f>K41*Calculation!I20/Calculation!K19</f>
        <v>0.43601979047619749</v>
      </c>
      <c r="N41" s="13">
        <v>0</v>
      </c>
      <c r="O41" s="13">
        <v>0</v>
      </c>
      <c r="P41" s="13">
        <f>N41*Calculation!I20/Calculation!K19</f>
        <v>0</v>
      </c>
      <c r="Q41" s="13">
        <f>O41*Calculation!I20/Calculation!K19</f>
        <v>0</v>
      </c>
    </row>
  </sheetData>
  <mergeCells count="14">
    <mergeCell ref="R1:U1"/>
    <mergeCell ref="D1:D2"/>
    <mergeCell ref="E1:E2"/>
    <mergeCell ref="F1:I1"/>
    <mergeCell ref="J1:M1"/>
    <mergeCell ref="F22:I22"/>
    <mergeCell ref="J22:M22"/>
    <mergeCell ref="N22:Q22"/>
    <mergeCell ref="N1:Q1"/>
    <mergeCell ref="A1:B1"/>
    <mergeCell ref="A2:B2"/>
    <mergeCell ref="A3:A4"/>
    <mergeCell ref="D22:D23"/>
    <mergeCell ref="E22:E2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4"/>
  <sheetViews>
    <sheetView topLeftCell="A4"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61</v>
      </c>
    </row>
    <row r="2" spans="1:8">
      <c r="A2" s="27" t="s">
        <v>143</v>
      </c>
      <c r="B2" s="17">
        <v>180.16</v>
      </c>
    </row>
    <row r="4" spans="1:8">
      <c r="A4" s="157" t="s">
        <v>144</v>
      </c>
      <c r="B4" s="158"/>
      <c r="C4" s="158"/>
      <c r="D4" s="158"/>
      <c r="E4" s="158"/>
      <c r="F4" s="158"/>
      <c r="G4" s="158"/>
      <c r="H4" s="159"/>
    </row>
    <row r="5" spans="1:8">
      <c r="A5" s="160" t="s">
        <v>62</v>
      </c>
      <c r="B5" s="158"/>
      <c r="C5" s="159"/>
      <c r="D5" s="161" t="s">
        <v>45</v>
      </c>
      <c r="E5" s="161" t="s">
        <v>46</v>
      </c>
      <c r="F5" s="161" t="s">
        <v>47</v>
      </c>
      <c r="G5" s="163" t="s">
        <v>63</v>
      </c>
      <c r="H5" s="163" t="s">
        <v>64</v>
      </c>
    </row>
    <row r="6" spans="1:8">
      <c r="A6" s="28" t="s">
        <v>4</v>
      </c>
      <c r="B6" s="28" t="s">
        <v>5</v>
      </c>
      <c r="C6" s="28" t="s">
        <v>19</v>
      </c>
      <c r="D6" s="162"/>
      <c r="E6" s="162"/>
      <c r="F6" s="162"/>
      <c r="G6" s="164"/>
      <c r="H6" s="164"/>
    </row>
    <row r="7" spans="1:8">
      <c r="A7" s="16">
        <v>0</v>
      </c>
      <c r="B7" s="66">
        <v>-0.16666666666666666</v>
      </c>
      <c r="C7" s="16">
        <v>2</v>
      </c>
      <c r="D7" s="19">
        <v>4.4009999999999998</v>
      </c>
      <c r="E7" s="19">
        <v>4.4980000000000002</v>
      </c>
      <c r="F7" s="19">
        <v>4.5549999999999997</v>
      </c>
      <c r="G7" s="19">
        <f>(C7*1000*AVERAGE(D7:F7)/$B$2)</f>
        <v>49.785375962107757</v>
      </c>
      <c r="H7" s="19">
        <f>(C7*1000*STDEV(D7:F7))/$B$2</f>
        <v>0.86435376593915969</v>
      </c>
    </row>
    <row r="8" spans="1:8">
      <c r="A8" s="16">
        <v>0</v>
      </c>
      <c r="B8" s="69">
        <v>0.16666666666666666</v>
      </c>
      <c r="C8" s="16">
        <v>2</v>
      </c>
      <c r="D8" s="19">
        <v>4.49</v>
      </c>
      <c r="E8" s="19">
        <v>4.49</v>
      </c>
      <c r="F8" s="19">
        <v>4.5209999999999999</v>
      </c>
      <c r="G8" s="19">
        <f t="shared" ref="G8:G17" si="0">(C8*1000*AVERAGE(D8:F8))/$B$2</f>
        <v>49.959295441089409</v>
      </c>
      <c r="H8" s="19">
        <f t="shared" ref="H8:H17" si="1">(C8*1000*STDEV(D8:F8))/$B$2</f>
        <v>0.19868848073799095</v>
      </c>
    </row>
    <row r="9" spans="1:8">
      <c r="A9" s="16">
        <v>1</v>
      </c>
      <c r="B9" s="69">
        <v>2</v>
      </c>
      <c r="C9" s="16">
        <v>2</v>
      </c>
      <c r="D9" s="19">
        <v>4.4489999999999998</v>
      </c>
      <c r="E9" s="19">
        <v>4.4980000000000002</v>
      </c>
      <c r="F9" s="19">
        <v>4.3940000000000001</v>
      </c>
      <c r="G9" s="19">
        <f t="shared" si="0"/>
        <v>49.367229129662526</v>
      </c>
      <c r="H9" s="19">
        <f t="shared" si="1"/>
        <v>0.57758479304300958</v>
      </c>
    </row>
    <row r="10" spans="1:8">
      <c r="A10" s="16">
        <v>2</v>
      </c>
      <c r="B10" s="69">
        <v>3.3333333333333335</v>
      </c>
      <c r="C10" s="16">
        <v>2</v>
      </c>
      <c r="D10" s="19">
        <v>4.4029999999999996</v>
      </c>
      <c r="E10" s="19">
        <v>4.47</v>
      </c>
      <c r="F10" s="19">
        <v>4.4749999999999996</v>
      </c>
      <c r="G10" s="19">
        <f t="shared" si="0"/>
        <v>49.393132030787449</v>
      </c>
      <c r="H10" s="19">
        <f t="shared" si="1"/>
        <v>0.44631048244892668</v>
      </c>
    </row>
    <row r="11" spans="1:8">
      <c r="A11" s="16">
        <v>3</v>
      </c>
      <c r="B11" s="69">
        <v>4.666666666666667</v>
      </c>
      <c r="C11" s="16">
        <v>2</v>
      </c>
      <c r="D11" s="19">
        <v>4.3330000000000002</v>
      </c>
      <c r="E11" s="19">
        <v>4.2809999999999997</v>
      </c>
      <c r="F11" s="19">
        <v>4.3159999999999998</v>
      </c>
      <c r="G11" s="19">
        <f t="shared" si="0"/>
        <v>47.846358792184724</v>
      </c>
      <c r="H11" s="19">
        <f t="shared" si="1"/>
        <v>0.29433999963505703</v>
      </c>
    </row>
    <row r="12" spans="1:8">
      <c r="A12" s="16">
        <v>4</v>
      </c>
      <c r="B12" s="69">
        <v>6</v>
      </c>
      <c r="C12" s="16">
        <v>2</v>
      </c>
      <c r="D12" s="19">
        <v>3.9159999999999999</v>
      </c>
      <c r="E12" s="19">
        <v>3.9380000000000002</v>
      </c>
      <c r="F12" s="19">
        <v>3.9329999999999998</v>
      </c>
      <c r="G12" s="19">
        <f t="shared" si="0"/>
        <v>43.616785079928952</v>
      </c>
      <c r="H12" s="19">
        <f t="shared" si="1"/>
        <v>0.1280257836886198</v>
      </c>
    </row>
    <row r="13" spans="1:8">
      <c r="A13" s="16">
        <v>5</v>
      </c>
      <c r="B13" s="69">
        <v>7.333333333333333</v>
      </c>
      <c r="C13" s="16">
        <v>2</v>
      </c>
      <c r="D13" s="19">
        <v>3.2280000000000002</v>
      </c>
      <c r="E13" s="19">
        <v>3.2210000000000001</v>
      </c>
      <c r="F13" s="19">
        <v>3.2570000000000001</v>
      </c>
      <c r="G13" s="19">
        <f t="shared" si="0"/>
        <v>35.916222616933091</v>
      </c>
      <c r="H13" s="19">
        <f t="shared" si="1"/>
        <v>0.21189517913292488</v>
      </c>
    </row>
    <row r="14" spans="1:8">
      <c r="A14" s="16">
        <v>6</v>
      </c>
      <c r="B14" s="69">
        <v>8.6666666666666661</v>
      </c>
      <c r="C14" s="16">
        <v>2</v>
      </c>
      <c r="D14" s="19">
        <v>2.1930000000000001</v>
      </c>
      <c r="E14" s="19">
        <v>2.1459999999999999</v>
      </c>
      <c r="F14" s="19">
        <v>2.1589999999999998</v>
      </c>
      <c r="G14" s="19">
        <f t="shared" si="0"/>
        <v>24.045293072824158</v>
      </c>
      <c r="H14" s="19">
        <f t="shared" si="1"/>
        <v>0.26941965141011648</v>
      </c>
    </row>
    <row r="15" spans="1:8">
      <c r="A15" s="16">
        <v>7</v>
      </c>
      <c r="B15" s="69">
        <v>10</v>
      </c>
      <c r="C15" s="16">
        <v>2</v>
      </c>
      <c r="D15" s="19">
        <v>1.113</v>
      </c>
      <c r="E15" s="19">
        <v>1.083</v>
      </c>
      <c r="F15" s="19">
        <v>1.079</v>
      </c>
      <c r="G15" s="19">
        <f t="shared" si="0"/>
        <v>12.118857312018944</v>
      </c>
      <c r="H15" s="19">
        <f t="shared" si="1"/>
        <v>0.20629603115403147</v>
      </c>
    </row>
    <row r="16" spans="1:8">
      <c r="A16" s="16">
        <v>8</v>
      </c>
      <c r="B16" s="69">
        <v>11.333333333333334</v>
      </c>
      <c r="C16" s="16">
        <v>2</v>
      </c>
      <c r="D16" s="78">
        <v>0.45100000000000001</v>
      </c>
      <c r="E16" s="78">
        <v>0.45600000000000002</v>
      </c>
      <c r="F16" s="78">
        <v>0.45400000000000001</v>
      </c>
      <c r="G16" s="19">
        <f t="shared" si="0"/>
        <v>5.0362640615748964</v>
      </c>
      <c r="H16" s="19">
        <f t="shared" si="1"/>
        <v>2.7937516412339984E-2</v>
      </c>
    </row>
    <row r="17" spans="1:8">
      <c r="A17" s="16">
        <v>9</v>
      </c>
      <c r="B17" s="69">
        <v>12.666666666666666</v>
      </c>
      <c r="C17" s="16">
        <v>2</v>
      </c>
      <c r="D17" s="78">
        <v>0</v>
      </c>
      <c r="E17" s="78">
        <v>0</v>
      </c>
      <c r="F17" s="78">
        <v>0</v>
      </c>
      <c r="G17" s="19">
        <f t="shared" si="0"/>
        <v>0</v>
      </c>
      <c r="H17" s="19">
        <f t="shared" si="1"/>
        <v>0</v>
      </c>
    </row>
    <row r="18" spans="1:8">
      <c r="A18" s="16">
        <v>10</v>
      </c>
      <c r="B18" s="69">
        <v>14</v>
      </c>
      <c r="C18" s="16">
        <v>2</v>
      </c>
      <c r="D18" s="78">
        <v>0</v>
      </c>
      <c r="E18" s="78">
        <v>0</v>
      </c>
      <c r="F18" s="78">
        <v>0</v>
      </c>
      <c r="G18" s="19">
        <f t="shared" ref="G18:G23" si="2">(C18*1000*AVERAGE(D18:F18))/$B$2</f>
        <v>0</v>
      </c>
      <c r="H18" s="19">
        <f t="shared" ref="H18:H23" si="3">(C18*1000*STDEV(D18:F18))/$B$2</f>
        <v>0</v>
      </c>
    </row>
    <row r="19" spans="1:8">
      <c r="A19" s="16">
        <v>11</v>
      </c>
      <c r="B19" s="69">
        <v>15.333333333333334</v>
      </c>
      <c r="C19" s="16">
        <v>2</v>
      </c>
      <c r="D19" s="78">
        <v>0</v>
      </c>
      <c r="E19" s="78">
        <v>0</v>
      </c>
      <c r="F19" s="78">
        <v>0</v>
      </c>
      <c r="G19" s="19">
        <f t="shared" si="2"/>
        <v>0</v>
      </c>
      <c r="H19" s="19">
        <f t="shared" si="3"/>
        <v>0</v>
      </c>
    </row>
    <row r="20" spans="1:8">
      <c r="A20" s="16">
        <v>12</v>
      </c>
      <c r="B20" s="69">
        <v>16.666666666666668</v>
      </c>
      <c r="C20" s="16">
        <v>2</v>
      </c>
      <c r="D20" s="78">
        <v>0</v>
      </c>
      <c r="E20" s="78">
        <v>0</v>
      </c>
      <c r="F20" s="78">
        <v>0</v>
      </c>
      <c r="G20" s="19">
        <f t="shared" si="2"/>
        <v>0</v>
      </c>
      <c r="H20" s="19">
        <f t="shared" si="3"/>
        <v>0</v>
      </c>
    </row>
    <row r="21" spans="1:8">
      <c r="A21" s="16">
        <v>13</v>
      </c>
      <c r="B21" s="69">
        <v>18</v>
      </c>
      <c r="C21" s="16">
        <v>2</v>
      </c>
      <c r="D21" s="78">
        <v>0</v>
      </c>
      <c r="E21" s="78">
        <v>0</v>
      </c>
      <c r="F21" s="78">
        <v>0</v>
      </c>
      <c r="G21" s="19">
        <f t="shared" si="2"/>
        <v>0</v>
      </c>
      <c r="H21" s="19">
        <f t="shared" si="3"/>
        <v>0</v>
      </c>
    </row>
    <row r="22" spans="1:8">
      <c r="A22" s="16">
        <v>14</v>
      </c>
      <c r="B22" s="69">
        <v>24</v>
      </c>
      <c r="C22" s="16">
        <v>2</v>
      </c>
      <c r="D22" s="78">
        <v>0</v>
      </c>
      <c r="E22" s="78">
        <v>0</v>
      </c>
      <c r="F22" s="78">
        <v>0</v>
      </c>
      <c r="G22" s="19">
        <f t="shared" si="2"/>
        <v>0</v>
      </c>
      <c r="H22" s="19">
        <f t="shared" si="3"/>
        <v>0</v>
      </c>
    </row>
    <row r="23" spans="1:8">
      <c r="A23" s="16">
        <v>15</v>
      </c>
      <c r="B23" s="69">
        <v>30.25</v>
      </c>
      <c r="C23" s="16">
        <v>2</v>
      </c>
      <c r="D23" s="78">
        <v>0</v>
      </c>
      <c r="E23" s="78">
        <v>0</v>
      </c>
      <c r="F23" s="78">
        <v>0</v>
      </c>
      <c r="G23" s="19">
        <f t="shared" si="2"/>
        <v>0</v>
      </c>
      <c r="H23" s="19">
        <f t="shared" si="3"/>
        <v>0</v>
      </c>
    </row>
    <row r="24" spans="1:8">
      <c r="A24" s="16">
        <v>16</v>
      </c>
      <c r="B24" s="69">
        <v>48</v>
      </c>
      <c r="C24" s="16">
        <v>2</v>
      </c>
      <c r="D24" s="78">
        <v>0</v>
      </c>
      <c r="E24" s="78">
        <v>0</v>
      </c>
      <c r="F24" s="78">
        <v>0</v>
      </c>
      <c r="G24" s="19">
        <f t="shared" ref="G24" si="4">(C24*1000*AVERAGE(D24:F24))/$B$2</f>
        <v>0</v>
      </c>
      <c r="H24" s="19">
        <f t="shared" ref="H24" si="5">(C24*1000*STDEV(D24:F24))/$B$2</f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4"/>
  <sheetViews>
    <sheetView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61</v>
      </c>
    </row>
    <row r="2" spans="1:8">
      <c r="A2" s="27" t="s">
        <v>65</v>
      </c>
      <c r="B2" s="17">
        <v>46.03</v>
      </c>
    </row>
    <row r="4" spans="1:8">
      <c r="A4" s="157" t="s">
        <v>65</v>
      </c>
      <c r="B4" s="158"/>
      <c r="C4" s="158"/>
      <c r="D4" s="158"/>
      <c r="E4" s="158"/>
      <c r="F4" s="158"/>
      <c r="G4" s="158"/>
      <c r="H4" s="159"/>
    </row>
    <row r="5" spans="1:8">
      <c r="A5" s="160" t="s">
        <v>62</v>
      </c>
      <c r="B5" s="158"/>
      <c r="C5" s="159"/>
      <c r="D5" s="161" t="s">
        <v>45</v>
      </c>
      <c r="E5" s="161" t="s">
        <v>46</v>
      </c>
      <c r="F5" s="161" t="s">
        <v>47</v>
      </c>
      <c r="G5" s="163" t="s">
        <v>63</v>
      </c>
      <c r="H5" s="163" t="s">
        <v>64</v>
      </c>
    </row>
    <row r="6" spans="1:8">
      <c r="A6" s="28" t="s">
        <v>4</v>
      </c>
      <c r="B6" s="28" t="s">
        <v>60</v>
      </c>
      <c r="C6" s="28" t="s">
        <v>19</v>
      </c>
      <c r="D6" s="162"/>
      <c r="E6" s="162"/>
      <c r="F6" s="162"/>
      <c r="G6" s="164"/>
      <c r="H6" s="164"/>
    </row>
    <row r="7" spans="1:8">
      <c r="A7" s="70">
        <v>0</v>
      </c>
      <c r="B7" s="66">
        <v>-0.16666666666666666</v>
      </c>
      <c r="C7" s="16">
        <v>2</v>
      </c>
      <c r="D7" s="54">
        <v>0</v>
      </c>
      <c r="E7" s="54">
        <v>0</v>
      </c>
      <c r="F7" s="54">
        <v>0</v>
      </c>
      <c r="G7" s="16">
        <f>(C7*1000*AVERAGE(D7:F7))/$B$2</f>
        <v>0</v>
      </c>
      <c r="H7" s="19">
        <f t="shared" ref="H7:H9" si="0">(C7*1000*STDEV(D7:F7))/$B$2</f>
        <v>0</v>
      </c>
    </row>
    <row r="8" spans="1:8">
      <c r="A8" s="71">
        <v>0</v>
      </c>
      <c r="B8" s="69">
        <v>0.16666666666666666</v>
      </c>
      <c r="C8" s="16">
        <v>2</v>
      </c>
      <c r="D8" s="54">
        <v>2.8000000000000001E-2</v>
      </c>
      <c r="E8" s="54">
        <v>2.9000000000000001E-2</v>
      </c>
      <c r="F8" s="54">
        <v>2.9000000000000001E-2</v>
      </c>
      <c r="G8" s="16">
        <f t="shared" ref="G8:G10" si="1">(C8*1000*AVERAGE(D8:F8))/$B$2</f>
        <v>1.2455644869288147</v>
      </c>
      <c r="H8" s="19">
        <f t="shared" si="0"/>
        <v>2.5085825296094995E-2</v>
      </c>
    </row>
    <row r="9" spans="1:8">
      <c r="A9" s="71">
        <v>1</v>
      </c>
      <c r="B9" s="69">
        <v>2</v>
      </c>
      <c r="C9" s="16">
        <v>2</v>
      </c>
      <c r="D9" s="54">
        <v>2.5999999999999999E-2</v>
      </c>
      <c r="E9" s="54">
        <v>2.5999999999999999E-2</v>
      </c>
      <c r="F9" s="54">
        <v>2.9000000000000001E-2</v>
      </c>
      <c r="G9" s="16">
        <f t="shared" si="1"/>
        <v>1.1731479469910928</v>
      </c>
      <c r="H9" s="19">
        <f t="shared" si="0"/>
        <v>7.5257475888284991E-2</v>
      </c>
    </row>
    <row r="10" spans="1:8">
      <c r="A10" s="71">
        <v>2</v>
      </c>
      <c r="B10" s="69">
        <v>3.3333333333333335</v>
      </c>
      <c r="C10" s="16">
        <v>2</v>
      </c>
      <c r="D10" s="54">
        <v>3.2000000000000001E-2</v>
      </c>
      <c r="E10" s="54">
        <v>0.03</v>
      </c>
      <c r="F10" s="54">
        <v>3.2000000000000001E-2</v>
      </c>
      <c r="G10" s="16">
        <f t="shared" si="1"/>
        <v>1.3614309508291693</v>
      </c>
      <c r="H10" s="19">
        <f t="shared" ref="H10:H23" si="2">(C10*1000*STDEV(D10:F10))/$B$2</f>
        <v>5.0171650592189976E-2</v>
      </c>
    </row>
    <row r="11" spans="1:8">
      <c r="A11" s="71">
        <v>3</v>
      </c>
      <c r="B11" s="69">
        <v>4.666666666666667</v>
      </c>
      <c r="C11" s="16">
        <v>2</v>
      </c>
      <c r="D11" s="54">
        <v>0.06</v>
      </c>
      <c r="E11" s="54">
        <v>5.7000000000000002E-2</v>
      </c>
      <c r="F11" s="54">
        <v>5.8999999999999997E-2</v>
      </c>
      <c r="G11" s="16">
        <f t="shared" ref="G11:G23" si="3">(C11*1000*AVERAGE(D11:F11))/$B$2</f>
        <v>2.5490622058078065</v>
      </c>
      <c r="H11" s="19">
        <f t="shared" si="2"/>
        <v>6.637085516628044E-2</v>
      </c>
    </row>
    <row r="12" spans="1:8">
      <c r="A12" s="71">
        <v>4</v>
      </c>
      <c r="B12" s="69">
        <v>6</v>
      </c>
      <c r="C12" s="16">
        <v>2</v>
      </c>
      <c r="D12" s="54">
        <v>0.14399999999999999</v>
      </c>
      <c r="E12" s="54">
        <v>0.14099999999999999</v>
      </c>
      <c r="F12" s="54">
        <v>0.14399999999999999</v>
      </c>
      <c r="G12" s="16">
        <f t="shared" si="3"/>
        <v>6.2133391266565283</v>
      </c>
      <c r="H12" s="19">
        <f t="shared" si="2"/>
        <v>7.5257475888284991E-2</v>
      </c>
    </row>
    <row r="13" spans="1:8">
      <c r="A13" s="71">
        <v>5</v>
      </c>
      <c r="B13" s="69">
        <v>7.333333333333333</v>
      </c>
      <c r="C13" s="16">
        <v>2</v>
      </c>
      <c r="D13" s="54">
        <v>0.17100000000000001</v>
      </c>
      <c r="E13" s="54">
        <v>0.16800000000000001</v>
      </c>
      <c r="F13" s="54">
        <v>0.17299999999999999</v>
      </c>
      <c r="G13" s="16">
        <f t="shared" si="3"/>
        <v>7.4154536896227095</v>
      </c>
      <c r="H13" s="19">
        <f t="shared" si="2"/>
        <v>0.10934657738099381</v>
      </c>
    </row>
    <row r="14" spans="1:8">
      <c r="A14" s="71">
        <v>6</v>
      </c>
      <c r="B14" s="69">
        <v>8.6666666666666661</v>
      </c>
      <c r="C14" s="16">
        <v>2</v>
      </c>
      <c r="D14" s="54">
        <v>0.16800000000000001</v>
      </c>
      <c r="E14" s="54">
        <v>0.16400000000000001</v>
      </c>
      <c r="F14" s="54">
        <v>0.16600000000000001</v>
      </c>
      <c r="G14" s="16">
        <f t="shared" si="3"/>
        <v>7.2126873777970886</v>
      </c>
      <c r="H14" s="19">
        <f t="shared" si="2"/>
        <v>8.6899847925266199E-2</v>
      </c>
    </row>
    <row r="15" spans="1:8">
      <c r="A15" s="71">
        <v>7</v>
      </c>
      <c r="B15" s="69">
        <v>10</v>
      </c>
      <c r="C15" s="16">
        <v>2</v>
      </c>
      <c r="D15" s="54">
        <v>0.156</v>
      </c>
      <c r="E15" s="54">
        <v>0.151</v>
      </c>
      <c r="F15" s="54">
        <v>0.15</v>
      </c>
      <c r="G15" s="16">
        <f t="shared" si="3"/>
        <v>6.6188717503077692</v>
      </c>
      <c r="H15" s="19">
        <f t="shared" si="2"/>
        <v>0.13967196409577759</v>
      </c>
    </row>
    <row r="16" spans="1:8">
      <c r="A16" s="71">
        <v>8</v>
      </c>
      <c r="B16" s="69">
        <v>11.333333333333334</v>
      </c>
      <c r="C16" s="16">
        <v>2</v>
      </c>
      <c r="D16" s="54">
        <v>9.0999999999999998E-2</v>
      </c>
      <c r="E16" s="54">
        <v>9.0999999999999998E-2</v>
      </c>
      <c r="F16" s="54">
        <v>9.0999999999999998E-2</v>
      </c>
      <c r="G16" s="16">
        <f t="shared" si="3"/>
        <v>3.9539430805996094</v>
      </c>
      <c r="H16" s="19">
        <f t="shared" si="2"/>
        <v>7.3850747094857606E-16</v>
      </c>
    </row>
    <row r="17" spans="1:8">
      <c r="A17" s="71">
        <v>9</v>
      </c>
      <c r="B17" s="69">
        <v>12.666666666666666</v>
      </c>
      <c r="C17" s="16">
        <v>2</v>
      </c>
      <c r="D17" s="54">
        <v>0.02</v>
      </c>
      <c r="E17" s="54">
        <v>1.7999999999999999E-2</v>
      </c>
      <c r="F17" s="54">
        <v>2.1999999999999999E-2</v>
      </c>
      <c r="G17" s="16">
        <f t="shared" si="3"/>
        <v>0.86899847925266127</v>
      </c>
      <c r="H17" s="19">
        <f t="shared" si="2"/>
        <v>8.689984792526613E-2</v>
      </c>
    </row>
    <row r="18" spans="1:8">
      <c r="A18" s="71">
        <v>10</v>
      </c>
      <c r="B18" s="69">
        <v>14</v>
      </c>
      <c r="C18" s="16">
        <v>2</v>
      </c>
      <c r="D18" s="54">
        <v>0</v>
      </c>
      <c r="E18" s="54">
        <v>0</v>
      </c>
      <c r="F18" s="54">
        <v>0</v>
      </c>
      <c r="G18" s="16">
        <f t="shared" si="3"/>
        <v>0</v>
      </c>
      <c r="H18" s="19">
        <f t="shared" si="2"/>
        <v>0</v>
      </c>
    </row>
    <row r="19" spans="1:8">
      <c r="A19" s="71">
        <v>11</v>
      </c>
      <c r="B19" s="69">
        <v>15.333333333333334</v>
      </c>
      <c r="C19" s="16">
        <v>2</v>
      </c>
      <c r="D19" s="54">
        <v>0</v>
      </c>
      <c r="E19" s="54">
        <v>0</v>
      </c>
      <c r="F19" s="54">
        <v>0</v>
      </c>
      <c r="G19" s="16">
        <f t="shared" si="3"/>
        <v>0</v>
      </c>
      <c r="H19" s="19">
        <f t="shared" si="2"/>
        <v>0</v>
      </c>
    </row>
    <row r="20" spans="1:8">
      <c r="A20" s="71">
        <v>12</v>
      </c>
      <c r="B20" s="69">
        <v>16.666666666666668</v>
      </c>
      <c r="C20" s="16">
        <v>2</v>
      </c>
      <c r="D20" s="54">
        <v>0</v>
      </c>
      <c r="E20" s="54">
        <v>0</v>
      </c>
      <c r="F20" s="54">
        <v>0</v>
      </c>
      <c r="G20" s="16">
        <f t="shared" si="3"/>
        <v>0</v>
      </c>
      <c r="H20" s="19">
        <f t="shared" si="2"/>
        <v>0</v>
      </c>
    </row>
    <row r="21" spans="1:8">
      <c r="A21" s="71">
        <v>13</v>
      </c>
      <c r="B21" s="69">
        <v>18</v>
      </c>
      <c r="C21" s="16">
        <v>2</v>
      </c>
      <c r="D21" s="54">
        <v>0</v>
      </c>
      <c r="E21" s="54">
        <v>0</v>
      </c>
      <c r="F21" s="54">
        <v>0</v>
      </c>
      <c r="G21" s="16">
        <f t="shared" si="3"/>
        <v>0</v>
      </c>
      <c r="H21" s="19">
        <f t="shared" si="2"/>
        <v>0</v>
      </c>
    </row>
    <row r="22" spans="1:8">
      <c r="A22" s="71">
        <v>14</v>
      </c>
      <c r="B22" s="69">
        <v>24</v>
      </c>
      <c r="C22" s="16">
        <v>2</v>
      </c>
      <c r="D22" s="54">
        <v>0</v>
      </c>
      <c r="E22" s="54">
        <v>0</v>
      </c>
      <c r="F22" s="54">
        <v>0</v>
      </c>
      <c r="G22" s="16">
        <f t="shared" si="3"/>
        <v>0</v>
      </c>
      <c r="H22" s="19">
        <f t="shared" si="2"/>
        <v>0</v>
      </c>
    </row>
    <row r="23" spans="1:8">
      <c r="A23" s="71">
        <v>15</v>
      </c>
      <c r="B23" s="69">
        <v>30.25</v>
      </c>
      <c r="C23" s="16">
        <v>2</v>
      </c>
      <c r="D23" s="54">
        <v>0</v>
      </c>
      <c r="E23" s="54">
        <v>0</v>
      </c>
      <c r="F23" s="54">
        <v>0</v>
      </c>
      <c r="G23" s="16">
        <f t="shared" si="3"/>
        <v>0</v>
      </c>
      <c r="H23" s="19">
        <f t="shared" si="2"/>
        <v>0</v>
      </c>
    </row>
    <row r="24" spans="1:8">
      <c r="A24" s="71">
        <v>16</v>
      </c>
      <c r="B24" s="69">
        <v>48</v>
      </c>
      <c r="C24" s="16">
        <v>2</v>
      </c>
      <c r="D24" s="54">
        <v>0</v>
      </c>
      <c r="E24" s="54">
        <v>0</v>
      </c>
      <c r="F24" s="54">
        <v>0</v>
      </c>
      <c r="G24" s="16">
        <f t="shared" ref="G24" si="4">(C24*1000*AVERAGE(D24:F24))/$B$2</f>
        <v>0</v>
      </c>
      <c r="H24" s="19">
        <f t="shared" ref="H24" si="5">(C24*1000*STDEV(D24:F24))/$B$2</f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opLeftCell="A3" workbookViewId="0">
      <selection activeCell="G40" sqref="G40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1" t="s">
        <v>35</v>
      </c>
      <c r="B1" s="21" t="s">
        <v>61</v>
      </c>
    </row>
    <row r="2" spans="1:8">
      <c r="A2" s="21" t="s">
        <v>43</v>
      </c>
      <c r="B2" s="17">
        <v>60.05</v>
      </c>
    </row>
    <row r="4" spans="1:8">
      <c r="A4" s="157" t="s">
        <v>43</v>
      </c>
      <c r="B4" s="158"/>
      <c r="C4" s="158"/>
      <c r="D4" s="158"/>
      <c r="E4" s="158"/>
      <c r="F4" s="158"/>
      <c r="G4" s="158"/>
      <c r="H4" s="159"/>
    </row>
    <row r="5" spans="1:8">
      <c r="A5" s="160" t="s">
        <v>62</v>
      </c>
      <c r="B5" s="158"/>
      <c r="C5" s="159"/>
      <c r="D5" s="161" t="s">
        <v>45</v>
      </c>
      <c r="E5" s="161" t="s">
        <v>46</v>
      </c>
      <c r="F5" s="161" t="s">
        <v>47</v>
      </c>
      <c r="G5" s="163" t="s">
        <v>63</v>
      </c>
      <c r="H5" s="163" t="s">
        <v>64</v>
      </c>
    </row>
    <row r="6" spans="1:8">
      <c r="A6" s="22" t="s">
        <v>4</v>
      </c>
      <c r="B6" s="22" t="s">
        <v>60</v>
      </c>
      <c r="C6" s="22" t="s">
        <v>19</v>
      </c>
      <c r="D6" s="162"/>
      <c r="E6" s="162"/>
      <c r="F6" s="162"/>
      <c r="G6" s="164"/>
      <c r="H6" s="164"/>
    </row>
    <row r="7" spans="1:8">
      <c r="A7" s="70">
        <v>0</v>
      </c>
      <c r="B7" s="66">
        <v>-0.16666666666666666</v>
      </c>
      <c r="C7" s="16">
        <v>2</v>
      </c>
      <c r="D7" s="19">
        <v>1.4550000000000001</v>
      </c>
      <c r="E7" s="19">
        <v>1.478</v>
      </c>
      <c r="F7" s="19">
        <v>1.476</v>
      </c>
      <c r="G7" s="16">
        <f>(C7*1000*AVERAGE(D7:F7))/$B$2</f>
        <v>48.948098806550099</v>
      </c>
      <c r="H7" s="19">
        <f>(C7*1000*STDEV(D7:F7))/$B$2</f>
        <v>0.42434670782384271</v>
      </c>
    </row>
    <row r="8" spans="1:8">
      <c r="A8" s="71">
        <v>0</v>
      </c>
      <c r="B8" s="69">
        <v>0.16666666666666666</v>
      </c>
      <c r="C8" s="16">
        <v>2</v>
      </c>
      <c r="D8" s="19">
        <v>1.41</v>
      </c>
      <c r="E8" s="19">
        <v>1.4139999999999999</v>
      </c>
      <c r="F8" s="19">
        <v>1.4219999999999999</v>
      </c>
      <c r="G8" s="16">
        <f t="shared" ref="G8:G17" si="0">(C8*1000*AVERAGE(D8:F8))/$B$2</f>
        <v>47.138495698029409</v>
      </c>
      <c r="H8" s="19">
        <f t="shared" ref="H8:H17" si="1">(C8*1000*STDEV(D8:F8))/$B$2</f>
        <v>0.20350044718094229</v>
      </c>
    </row>
    <row r="9" spans="1:8">
      <c r="A9" s="71">
        <v>1</v>
      </c>
      <c r="B9" s="69">
        <v>2</v>
      </c>
      <c r="C9" s="16">
        <v>2</v>
      </c>
      <c r="D9" s="19">
        <v>1.395</v>
      </c>
      <c r="E9" s="19">
        <v>1.42</v>
      </c>
      <c r="F9" s="19">
        <v>1.39</v>
      </c>
      <c r="G9" s="16">
        <f t="shared" si="0"/>
        <v>46.683319456008881</v>
      </c>
      <c r="H9" s="19">
        <f t="shared" si="1"/>
        <v>0.53531228204235082</v>
      </c>
    </row>
    <row r="10" spans="1:8">
      <c r="A10" s="71">
        <v>2</v>
      </c>
      <c r="B10" s="69">
        <v>3.3333333333333335</v>
      </c>
      <c r="C10" s="16">
        <v>2</v>
      </c>
      <c r="D10" s="19">
        <v>1.411</v>
      </c>
      <c r="E10" s="19">
        <v>1.4379999999999999</v>
      </c>
      <c r="F10" s="19">
        <v>1.431</v>
      </c>
      <c r="G10" s="16">
        <f t="shared" si="0"/>
        <v>47.515958923119626</v>
      </c>
      <c r="H10" s="19">
        <f t="shared" si="1"/>
        <v>0.46667442813174925</v>
      </c>
    </row>
    <row r="11" spans="1:8">
      <c r="A11" s="71">
        <v>3</v>
      </c>
      <c r="B11" s="69">
        <v>4.666666666666667</v>
      </c>
      <c r="C11" s="16">
        <v>2</v>
      </c>
      <c r="D11" s="19">
        <v>1.456</v>
      </c>
      <c r="E11" s="19">
        <v>1.4470000000000001</v>
      </c>
      <c r="F11" s="19">
        <v>1.4570000000000001</v>
      </c>
      <c r="G11" s="16">
        <f t="shared" si="0"/>
        <v>48.404107688037747</v>
      </c>
      <c r="H11" s="19">
        <f t="shared" si="1"/>
        <v>0.18343282422268375</v>
      </c>
    </row>
    <row r="12" spans="1:8">
      <c r="A12" s="71">
        <v>4</v>
      </c>
      <c r="B12" s="69">
        <v>6</v>
      </c>
      <c r="C12" s="16">
        <v>2</v>
      </c>
      <c r="D12" s="19">
        <v>1.4790000000000001</v>
      </c>
      <c r="E12" s="19">
        <v>1.482</v>
      </c>
      <c r="F12" s="19">
        <v>1.486</v>
      </c>
      <c r="G12" s="16">
        <f t="shared" si="0"/>
        <v>49.369969469886207</v>
      </c>
      <c r="H12" s="19">
        <f t="shared" si="1"/>
        <v>0.11696534835251281</v>
      </c>
    </row>
    <row r="13" spans="1:8">
      <c r="A13" s="71">
        <v>5</v>
      </c>
      <c r="B13" s="69">
        <v>7.333333333333333</v>
      </c>
      <c r="C13" s="16">
        <v>2</v>
      </c>
      <c r="D13" s="19">
        <v>1.5269999999999999</v>
      </c>
      <c r="E13" s="19">
        <v>1.512</v>
      </c>
      <c r="F13" s="19">
        <v>1.5469999999999999</v>
      </c>
      <c r="G13" s="16">
        <f t="shared" si="0"/>
        <v>50.913127948931432</v>
      </c>
      <c r="H13" s="19">
        <f t="shared" si="1"/>
        <v>0.5848267417625711</v>
      </c>
    </row>
    <row r="14" spans="1:8">
      <c r="A14" s="71">
        <v>6</v>
      </c>
      <c r="B14" s="69">
        <v>8.6666666666666661</v>
      </c>
      <c r="C14" s="16">
        <v>2</v>
      </c>
      <c r="D14" s="19">
        <v>1.748</v>
      </c>
      <c r="E14" s="19">
        <v>1.7170000000000001</v>
      </c>
      <c r="F14" s="19">
        <v>1.7350000000000001</v>
      </c>
      <c r="G14" s="16">
        <f t="shared" si="0"/>
        <v>57.729669719678057</v>
      </c>
      <c r="H14" s="19">
        <f t="shared" si="1"/>
        <v>0.51846991635128892</v>
      </c>
    </row>
    <row r="15" spans="1:8">
      <c r="A15" s="71">
        <v>7</v>
      </c>
      <c r="B15" s="69">
        <v>10</v>
      </c>
      <c r="C15" s="16">
        <v>2</v>
      </c>
      <c r="D15" s="19">
        <v>2.1459999999999999</v>
      </c>
      <c r="E15" s="19">
        <v>2.1080000000000001</v>
      </c>
      <c r="F15" s="19">
        <v>2.0760000000000001</v>
      </c>
      <c r="G15" s="16">
        <f t="shared" si="0"/>
        <v>70.274771024146546</v>
      </c>
      <c r="H15" s="19">
        <f t="shared" si="1"/>
        <v>1.1671217630597961</v>
      </c>
    </row>
    <row r="16" spans="1:8">
      <c r="A16" s="71">
        <v>8</v>
      </c>
      <c r="B16" s="69">
        <v>11.333333333333334</v>
      </c>
      <c r="C16" s="16">
        <v>2</v>
      </c>
      <c r="D16" s="19">
        <v>2.3879999999999999</v>
      </c>
      <c r="E16" s="19">
        <v>2.423</v>
      </c>
      <c r="F16" s="19">
        <v>2.4140000000000001</v>
      </c>
      <c r="G16" s="16">
        <f t="shared" si="0"/>
        <v>80.210935331668054</v>
      </c>
      <c r="H16" s="19">
        <f t="shared" si="1"/>
        <v>0.60533137408673465</v>
      </c>
    </row>
    <row r="17" spans="1:8">
      <c r="A17" s="71">
        <v>9</v>
      </c>
      <c r="B17" s="69">
        <v>12.666666666666666</v>
      </c>
      <c r="C17" s="16">
        <v>2</v>
      </c>
      <c r="D17" s="19">
        <v>2.6779999999999999</v>
      </c>
      <c r="E17" s="19">
        <v>2.6110000000000002</v>
      </c>
      <c r="F17" s="19">
        <v>2.7690000000000001</v>
      </c>
      <c r="G17" s="16">
        <f t="shared" si="0"/>
        <v>89.458784346378025</v>
      </c>
      <c r="H17" s="19">
        <f t="shared" si="1"/>
        <v>2.6412394861491197</v>
      </c>
    </row>
    <row r="18" spans="1:8">
      <c r="A18" s="71">
        <v>10</v>
      </c>
      <c r="B18" s="69">
        <v>14</v>
      </c>
      <c r="C18" s="16">
        <v>2</v>
      </c>
      <c r="D18" s="19">
        <v>2.625</v>
      </c>
      <c r="E18" s="19">
        <v>2.6949999999999998</v>
      </c>
      <c r="F18" s="19">
        <v>2.7360000000000002</v>
      </c>
      <c r="G18" s="16">
        <f t="shared" ref="G18:G23" si="2">(C18*1000*AVERAGE(D18:F18))/$B$2</f>
        <v>89.436580627255083</v>
      </c>
      <c r="H18" s="19">
        <f t="shared" ref="H18:H23" si="3">(C18*1000*STDEV(D18:F18))/$B$2</f>
        <v>1.8693698681901052</v>
      </c>
    </row>
    <row r="19" spans="1:8">
      <c r="A19" s="71">
        <v>11</v>
      </c>
      <c r="B19" s="69">
        <v>15.333333333333334</v>
      </c>
      <c r="C19" s="16">
        <v>2</v>
      </c>
      <c r="D19" s="19">
        <v>2.6680000000000001</v>
      </c>
      <c r="E19" s="19">
        <v>2.7450000000000001</v>
      </c>
      <c r="F19" s="19">
        <v>2.7290000000000001</v>
      </c>
      <c r="G19" s="16">
        <f t="shared" si="2"/>
        <v>90.391340549542051</v>
      </c>
      <c r="H19" s="19">
        <f t="shared" si="3"/>
        <v>1.3532889028416342</v>
      </c>
    </row>
    <row r="20" spans="1:8">
      <c r="A20" s="71">
        <v>12</v>
      </c>
      <c r="B20" s="69">
        <v>16.666666666666668</v>
      </c>
      <c r="C20" s="16">
        <v>2</v>
      </c>
      <c r="D20" s="19">
        <v>2.702</v>
      </c>
      <c r="E20" s="19">
        <v>2.722</v>
      </c>
      <c r="F20" s="19">
        <v>2.7559999999999998</v>
      </c>
      <c r="G20" s="16">
        <f t="shared" si="2"/>
        <v>90.813211212878159</v>
      </c>
      <c r="H20" s="19">
        <f t="shared" si="3"/>
        <v>0.90926873069967029</v>
      </c>
    </row>
    <row r="21" spans="1:8">
      <c r="A21" s="71">
        <v>13</v>
      </c>
      <c r="B21" s="69">
        <v>18</v>
      </c>
      <c r="C21" s="16">
        <v>2</v>
      </c>
      <c r="D21" s="19">
        <v>2.72</v>
      </c>
      <c r="E21" s="19">
        <v>2.738</v>
      </c>
      <c r="F21" s="19">
        <v>2.6720000000000002</v>
      </c>
      <c r="G21" s="16">
        <f t="shared" si="2"/>
        <v>90.258118234804343</v>
      </c>
      <c r="H21" s="19">
        <f t="shared" si="3"/>
        <v>1.1363012229296885</v>
      </c>
    </row>
    <row r="22" spans="1:8">
      <c r="A22" s="71">
        <v>14</v>
      </c>
      <c r="B22" s="69">
        <v>24</v>
      </c>
      <c r="C22" s="16">
        <v>2</v>
      </c>
      <c r="D22" s="19">
        <v>2.6720000000000002</v>
      </c>
      <c r="E22" s="19">
        <v>2.7559999999999998</v>
      </c>
      <c r="F22" s="19">
        <v>2.7370000000000001</v>
      </c>
      <c r="G22" s="16">
        <f t="shared" si="2"/>
        <v>90.646683319455988</v>
      </c>
      <c r="H22" s="19">
        <f t="shared" si="3"/>
        <v>1.4670845928494844</v>
      </c>
    </row>
    <row r="23" spans="1:8">
      <c r="A23" s="71">
        <v>15</v>
      </c>
      <c r="B23" s="69">
        <v>30.25</v>
      </c>
      <c r="C23" s="16">
        <v>2</v>
      </c>
      <c r="D23" s="19">
        <v>2.65</v>
      </c>
      <c r="E23" s="19">
        <v>2.8610000000000002</v>
      </c>
      <c r="F23" s="19">
        <v>2.746</v>
      </c>
      <c r="G23" s="16">
        <f t="shared" si="2"/>
        <v>91.668054399111838</v>
      </c>
      <c r="H23" s="19">
        <f t="shared" si="3"/>
        <v>3.5184838910886089</v>
      </c>
    </row>
    <row r="24" spans="1:8">
      <c r="A24" s="71">
        <v>16</v>
      </c>
      <c r="B24" s="69">
        <v>48</v>
      </c>
      <c r="C24" s="16">
        <v>2</v>
      </c>
      <c r="D24" s="19">
        <v>2.6640000000000001</v>
      </c>
      <c r="E24" s="19">
        <v>2.7320000000000002</v>
      </c>
      <c r="F24" s="19">
        <v>2.734</v>
      </c>
      <c r="G24" s="16">
        <f t="shared" ref="G24" si="4">(C24*1000*AVERAGE(D24:F24))/$B$2</f>
        <v>90.258118234804343</v>
      </c>
      <c r="H24" s="19">
        <f t="shared" ref="H24" si="5">(C24*1000*STDEV(D24:F24))/$B$2</f>
        <v>1.3272179080880107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4"/>
  <sheetViews>
    <sheetView workbookViewId="0">
      <selection activeCell="B7" sqref="B7:B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61</v>
      </c>
    </row>
    <row r="2" spans="1:8">
      <c r="A2" s="27" t="s">
        <v>67</v>
      </c>
      <c r="B2" s="17">
        <v>74.08</v>
      </c>
    </row>
    <row r="4" spans="1:8">
      <c r="A4" s="157" t="s">
        <v>67</v>
      </c>
      <c r="B4" s="158"/>
      <c r="C4" s="158"/>
      <c r="D4" s="158"/>
      <c r="E4" s="158"/>
      <c r="F4" s="158"/>
      <c r="G4" s="158"/>
      <c r="H4" s="159"/>
    </row>
    <row r="5" spans="1:8">
      <c r="A5" s="160" t="s">
        <v>62</v>
      </c>
      <c r="B5" s="158"/>
      <c r="C5" s="159"/>
      <c r="D5" s="161" t="s">
        <v>45</v>
      </c>
      <c r="E5" s="161" t="s">
        <v>46</v>
      </c>
      <c r="F5" s="161" t="s">
        <v>47</v>
      </c>
      <c r="G5" s="163" t="s">
        <v>63</v>
      </c>
      <c r="H5" s="163" t="s">
        <v>64</v>
      </c>
    </row>
    <row r="6" spans="1:8">
      <c r="A6" s="28" t="s">
        <v>4</v>
      </c>
      <c r="B6" s="28" t="s">
        <v>60</v>
      </c>
      <c r="C6" s="28" t="s">
        <v>19</v>
      </c>
      <c r="D6" s="162"/>
      <c r="E6" s="162"/>
      <c r="F6" s="162"/>
      <c r="G6" s="164"/>
      <c r="H6" s="164"/>
    </row>
    <row r="7" spans="1:8">
      <c r="A7" s="70">
        <v>0</v>
      </c>
      <c r="B7" s="66">
        <v>-0.16666666666666666</v>
      </c>
      <c r="C7" s="16">
        <v>2</v>
      </c>
      <c r="D7" s="18">
        <v>0</v>
      </c>
      <c r="E7" s="18">
        <v>0</v>
      </c>
      <c r="F7" s="18">
        <v>0</v>
      </c>
      <c r="G7" s="16">
        <f>(C7*1000*AVERAGE(F7:F7))/$B$2</f>
        <v>0</v>
      </c>
      <c r="H7" s="19" t="e">
        <f>(C7*1000*STDEV(F7:F7))/$B$2</f>
        <v>#DIV/0!</v>
      </c>
    </row>
    <row r="8" spans="1:8">
      <c r="A8" s="71">
        <v>0</v>
      </c>
      <c r="B8" s="69">
        <v>0.16666666666666666</v>
      </c>
      <c r="C8" s="16">
        <v>2</v>
      </c>
      <c r="D8" s="18">
        <v>0</v>
      </c>
      <c r="E8" s="18">
        <v>0</v>
      </c>
      <c r="F8" s="18">
        <v>0</v>
      </c>
      <c r="G8" s="16">
        <f t="shared" ref="G8:G17" si="0">(C8*1000*AVERAGE(D8:F8))/$B$2</f>
        <v>0</v>
      </c>
      <c r="H8" s="19">
        <f t="shared" ref="H8:H17" si="1">(C8*1000*STDEV(D8:F8))/$B$2</f>
        <v>0</v>
      </c>
    </row>
    <row r="9" spans="1:8">
      <c r="A9" s="71">
        <v>1</v>
      </c>
      <c r="B9" s="69">
        <v>2</v>
      </c>
      <c r="C9" s="16">
        <v>2</v>
      </c>
      <c r="D9" s="18">
        <v>0</v>
      </c>
      <c r="E9" s="18">
        <v>0</v>
      </c>
      <c r="F9" s="18">
        <v>0</v>
      </c>
      <c r="G9" s="16">
        <f t="shared" si="0"/>
        <v>0</v>
      </c>
      <c r="H9" s="19">
        <f t="shared" si="1"/>
        <v>0</v>
      </c>
    </row>
    <row r="10" spans="1:8">
      <c r="A10" s="71">
        <v>2</v>
      </c>
      <c r="B10" s="69">
        <v>3.3333333333333335</v>
      </c>
      <c r="C10" s="16">
        <v>2</v>
      </c>
      <c r="D10" s="18">
        <v>0</v>
      </c>
      <c r="E10" s="18">
        <v>0</v>
      </c>
      <c r="F10" s="18">
        <v>0</v>
      </c>
      <c r="G10" s="16">
        <f t="shared" si="0"/>
        <v>0</v>
      </c>
      <c r="H10" s="19">
        <f t="shared" si="1"/>
        <v>0</v>
      </c>
    </row>
    <row r="11" spans="1:8">
      <c r="A11" s="71">
        <v>3</v>
      </c>
      <c r="B11" s="69">
        <v>4.666666666666667</v>
      </c>
      <c r="C11" s="16">
        <v>2</v>
      </c>
      <c r="D11" s="18">
        <v>0</v>
      </c>
      <c r="E11" s="18">
        <v>0</v>
      </c>
      <c r="F11" s="18">
        <v>0</v>
      </c>
      <c r="G11" s="16">
        <f t="shared" si="0"/>
        <v>0</v>
      </c>
      <c r="H11" s="19">
        <f t="shared" si="1"/>
        <v>0</v>
      </c>
    </row>
    <row r="12" spans="1:8">
      <c r="A12" s="71">
        <v>4</v>
      </c>
      <c r="B12" s="69">
        <v>6</v>
      </c>
      <c r="C12" s="16">
        <v>2</v>
      </c>
      <c r="D12" s="18">
        <v>0</v>
      </c>
      <c r="E12" s="18">
        <v>0</v>
      </c>
      <c r="F12" s="18">
        <v>0</v>
      </c>
      <c r="G12" s="16">
        <f t="shared" si="0"/>
        <v>0</v>
      </c>
      <c r="H12" s="19">
        <f t="shared" si="1"/>
        <v>0</v>
      </c>
    </row>
    <row r="13" spans="1:8">
      <c r="A13" s="71">
        <v>5</v>
      </c>
      <c r="B13" s="69">
        <v>7.333333333333333</v>
      </c>
      <c r="C13" s="16">
        <v>2</v>
      </c>
      <c r="D13" s="18">
        <v>0</v>
      </c>
      <c r="E13" s="18">
        <v>0</v>
      </c>
      <c r="F13" s="18">
        <v>0</v>
      </c>
      <c r="G13" s="16">
        <f t="shared" si="0"/>
        <v>0</v>
      </c>
      <c r="H13" s="19">
        <f t="shared" si="1"/>
        <v>0</v>
      </c>
    </row>
    <row r="14" spans="1:8">
      <c r="A14" s="71">
        <v>6</v>
      </c>
      <c r="B14" s="69">
        <v>8.6666666666666661</v>
      </c>
      <c r="C14" s="16">
        <v>2</v>
      </c>
      <c r="D14" s="18">
        <v>0</v>
      </c>
      <c r="E14" s="18">
        <v>0</v>
      </c>
      <c r="F14" s="18">
        <v>0</v>
      </c>
      <c r="G14" s="16">
        <f t="shared" si="0"/>
        <v>0</v>
      </c>
      <c r="H14" s="19">
        <f t="shared" si="1"/>
        <v>0</v>
      </c>
    </row>
    <row r="15" spans="1:8">
      <c r="A15" s="71">
        <v>7</v>
      </c>
      <c r="B15" s="69">
        <v>10</v>
      </c>
      <c r="C15" s="16">
        <v>2</v>
      </c>
      <c r="D15" s="18">
        <v>0</v>
      </c>
      <c r="E15" s="18">
        <v>0</v>
      </c>
      <c r="F15" s="18">
        <v>0</v>
      </c>
      <c r="G15" s="16">
        <f t="shared" si="0"/>
        <v>0</v>
      </c>
      <c r="H15" s="19">
        <f t="shared" si="1"/>
        <v>0</v>
      </c>
    </row>
    <row r="16" spans="1:8">
      <c r="A16" s="71">
        <v>8</v>
      </c>
      <c r="B16" s="69">
        <v>11.333333333333334</v>
      </c>
      <c r="C16" s="16">
        <v>2</v>
      </c>
      <c r="D16" s="18">
        <v>0</v>
      </c>
      <c r="E16" s="18">
        <v>0</v>
      </c>
      <c r="F16" s="18">
        <v>0</v>
      </c>
      <c r="G16" s="16">
        <f t="shared" si="0"/>
        <v>0</v>
      </c>
      <c r="H16" s="19">
        <f t="shared" si="1"/>
        <v>0</v>
      </c>
    </row>
    <row r="17" spans="1:8">
      <c r="A17" s="71">
        <v>9</v>
      </c>
      <c r="B17" s="69">
        <v>12.666666666666666</v>
      </c>
      <c r="C17" s="16">
        <v>2</v>
      </c>
      <c r="D17" s="18">
        <v>0</v>
      </c>
      <c r="E17" s="18">
        <v>0</v>
      </c>
      <c r="F17" s="18">
        <v>0</v>
      </c>
      <c r="G17" s="16">
        <f t="shared" si="0"/>
        <v>0</v>
      </c>
      <c r="H17" s="19">
        <f t="shared" si="1"/>
        <v>0</v>
      </c>
    </row>
    <row r="18" spans="1:8">
      <c r="A18" s="71">
        <v>10</v>
      </c>
      <c r="B18" s="69">
        <v>14</v>
      </c>
      <c r="C18" s="16">
        <v>2</v>
      </c>
      <c r="D18" s="18">
        <v>0</v>
      </c>
      <c r="E18" s="18">
        <v>0</v>
      </c>
      <c r="F18" s="18">
        <v>0</v>
      </c>
      <c r="G18" s="16">
        <f t="shared" ref="G18:G23" si="2">(C18*1000*AVERAGE(D18:F18))/$B$2</f>
        <v>0</v>
      </c>
      <c r="H18" s="19">
        <f t="shared" ref="H18:H23" si="3">(C18*1000*STDEV(D18:F18))/$B$2</f>
        <v>0</v>
      </c>
    </row>
    <row r="19" spans="1:8">
      <c r="A19" s="71">
        <v>11</v>
      </c>
      <c r="B19" s="69">
        <v>15.333333333333334</v>
      </c>
      <c r="C19" s="16">
        <v>2</v>
      </c>
      <c r="D19" s="18">
        <v>0</v>
      </c>
      <c r="E19" s="18">
        <v>0</v>
      </c>
      <c r="F19" s="18">
        <v>0</v>
      </c>
      <c r="G19" s="16">
        <f t="shared" si="2"/>
        <v>0</v>
      </c>
      <c r="H19" s="19">
        <f t="shared" si="3"/>
        <v>0</v>
      </c>
    </row>
    <row r="20" spans="1:8">
      <c r="A20" s="71">
        <v>12</v>
      </c>
      <c r="B20" s="69">
        <v>16.666666666666668</v>
      </c>
      <c r="C20" s="16">
        <v>2</v>
      </c>
      <c r="D20" s="18">
        <v>0</v>
      </c>
      <c r="E20" s="18">
        <v>0</v>
      </c>
      <c r="F20" s="18">
        <v>0</v>
      </c>
      <c r="G20" s="16">
        <f t="shared" si="2"/>
        <v>0</v>
      </c>
      <c r="H20" s="19">
        <f t="shared" si="3"/>
        <v>0</v>
      </c>
    </row>
    <row r="21" spans="1:8">
      <c r="A21" s="71">
        <v>13</v>
      </c>
      <c r="B21" s="69">
        <v>18</v>
      </c>
      <c r="C21" s="16">
        <v>2</v>
      </c>
      <c r="D21" s="18">
        <v>0</v>
      </c>
      <c r="E21" s="18">
        <v>0</v>
      </c>
      <c r="F21" s="18">
        <v>0</v>
      </c>
      <c r="G21" s="16">
        <f t="shared" si="2"/>
        <v>0</v>
      </c>
      <c r="H21" s="19">
        <f t="shared" si="3"/>
        <v>0</v>
      </c>
    </row>
    <row r="22" spans="1:8">
      <c r="A22" s="71">
        <v>14</v>
      </c>
      <c r="B22" s="69">
        <v>24</v>
      </c>
      <c r="C22" s="16">
        <v>2</v>
      </c>
      <c r="D22" s="18">
        <v>0</v>
      </c>
      <c r="E22" s="18">
        <v>0</v>
      </c>
      <c r="F22" s="18">
        <v>0</v>
      </c>
      <c r="G22" s="16">
        <f t="shared" si="2"/>
        <v>0</v>
      </c>
      <c r="H22" s="19">
        <f t="shared" si="3"/>
        <v>0</v>
      </c>
    </row>
    <row r="23" spans="1:8">
      <c r="A23" s="71">
        <v>15</v>
      </c>
      <c r="B23" s="69">
        <v>30.25</v>
      </c>
      <c r="C23" s="16">
        <v>2</v>
      </c>
      <c r="D23" s="18">
        <v>0</v>
      </c>
      <c r="E23" s="18">
        <v>0</v>
      </c>
      <c r="F23" s="18">
        <v>0</v>
      </c>
      <c r="G23" s="16">
        <f t="shared" si="2"/>
        <v>0</v>
      </c>
      <c r="H23" s="19">
        <f t="shared" si="3"/>
        <v>0</v>
      </c>
    </row>
    <row r="24" spans="1:8">
      <c r="A24" s="71">
        <v>16</v>
      </c>
      <c r="B24" s="69">
        <v>48</v>
      </c>
      <c r="C24" s="16">
        <v>3</v>
      </c>
      <c r="D24" s="18">
        <v>0</v>
      </c>
      <c r="E24" s="18">
        <v>0</v>
      </c>
      <c r="F24" s="18">
        <v>0</v>
      </c>
      <c r="G24" s="16">
        <f t="shared" ref="G24" si="4">(C24*1000*AVERAGE(D24:F24))/$B$2</f>
        <v>0</v>
      </c>
      <c r="H24" s="19">
        <f t="shared" ref="H24" si="5">(C24*1000*STDEV(D24:F24))/$B$2</f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4"/>
  <sheetViews>
    <sheetView topLeftCell="A3"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61</v>
      </c>
    </row>
    <row r="2" spans="1:8">
      <c r="A2" s="27" t="s">
        <v>66</v>
      </c>
      <c r="B2" s="17">
        <v>88.11</v>
      </c>
    </row>
    <row r="4" spans="1:8">
      <c r="A4" s="157" t="s">
        <v>66</v>
      </c>
      <c r="B4" s="158"/>
      <c r="C4" s="158"/>
      <c r="D4" s="158"/>
      <c r="E4" s="158"/>
      <c r="F4" s="158"/>
      <c r="G4" s="158"/>
      <c r="H4" s="159"/>
    </row>
    <row r="5" spans="1:8">
      <c r="A5" s="160" t="s">
        <v>62</v>
      </c>
      <c r="B5" s="158"/>
      <c r="C5" s="159"/>
      <c r="D5" s="161" t="s">
        <v>45</v>
      </c>
      <c r="E5" s="161" t="s">
        <v>46</v>
      </c>
      <c r="F5" s="161" t="s">
        <v>47</v>
      </c>
      <c r="G5" s="163" t="s">
        <v>63</v>
      </c>
      <c r="H5" s="163" t="s">
        <v>64</v>
      </c>
    </row>
    <row r="6" spans="1:8">
      <c r="A6" s="28" t="s">
        <v>4</v>
      </c>
      <c r="B6" s="28" t="s">
        <v>60</v>
      </c>
      <c r="C6" s="28" t="s">
        <v>19</v>
      </c>
      <c r="D6" s="162"/>
      <c r="E6" s="162"/>
      <c r="F6" s="162"/>
      <c r="G6" s="164"/>
      <c r="H6" s="164"/>
    </row>
    <row r="7" spans="1:8">
      <c r="A7" s="70">
        <v>0</v>
      </c>
      <c r="B7" s="66">
        <v>-0.16666666666666666</v>
      </c>
      <c r="C7" s="16">
        <v>2</v>
      </c>
      <c r="D7" s="55">
        <v>2.1000000000000001E-2</v>
      </c>
      <c r="E7" s="56">
        <v>2.5000000000000001E-2</v>
      </c>
      <c r="F7" s="56">
        <v>2.1000000000000001E-2</v>
      </c>
      <c r="G7" s="16">
        <f>(C7*1000*AVERAGE(D7:F7))/$B$2</f>
        <v>0.50694207997578777</v>
      </c>
      <c r="H7" s="19">
        <f>(C7*1000*STDEV(D7:F7))/$B$2</f>
        <v>5.2420862030609541E-2</v>
      </c>
    </row>
    <row r="8" spans="1:8">
      <c r="A8" s="71">
        <v>0</v>
      </c>
      <c r="B8" s="69">
        <v>0.16666666666666666</v>
      </c>
      <c r="C8" s="16">
        <v>2</v>
      </c>
      <c r="D8" s="57">
        <v>2.8000000000000001E-2</v>
      </c>
      <c r="E8" s="58">
        <v>3.2000000000000001E-2</v>
      </c>
      <c r="F8" s="58">
        <v>0.03</v>
      </c>
      <c r="G8" s="16">
        <f>(C8*1000*AVERAGE(D8:F8))/$B$2</f>
        <v>0.68096697310180454</v>
      </c>
      <c r="H8" s="19">
        <f t="shared" ref="H8:H17" si="0">(C8*1000*STDEV(D8:F8))/$B$2</f>
        <v>4.5397798206786973E-2</v>
      </c>
    </row>
    <row r="9" spans="1:8">
      <c r="A9" s="71">
        <v>1</v>
      </c>
      <c r="B9" s="69">
        <v>2</v>
      </c>
      <c r="C9" s="16">
        <v>2</v>
      </c>
      <c r="D9" s="57">
        <v>3.4000000000000002E-2</v>
      </c>
      <c r="E9" s="58">
        <v>0.04</v>
      </c>
      <c r="F9" s="58">
        <v>3.6999999999999998E-2</v>
      </c>
      <c r="G9" s="16">
        <f t="shared" ref="G9:G17" si="1">(C9*1000*AVERAGE(D9:F9))/$B$2</f>
        <v>0.83985926682555911</v>
      </c>
      <c r="H9" s="19">
        <f t="shared" si="0"/>
        <v>6.8096697310180435E-2</v>
      </c>
    </row>
    <row r="10" spans="1:8">
      <c r="A10" s="71">
        <v>2</v>
      </c>
      <c r="B10" s="69">
        <v>3.3333333333333335</v>
      </c>
      <c r="C10" s="16">
        <v>2</v>
      </c>
      <c r="D10" s="54">
        <v>6.0999999999999999E-2</v>
      </c>
      <c r="E10" s="54">
        <v>6.2E-2</v>
      </c>
      <c r="F10" s="54">
        <v>6.5000000000000002E-2</v>
      </c>
      <c r="G10" s="16">
        <f t="shared" si="1"/>
        <v>1.4224643438126583</v>
      </c>
      <c r="H10" s="19">
        <f t="shared" si="0"/>
        <v>4.7251526488846556E-2</v>
      </c>
    </row>
    <row r="11" spans="1:8">
      <c r="A11" s="71">
        <v>3</v>
      </c>
      <c r="B11" s="69">
        <v>4.666666666666667</v>
      </c>
      <c r="C11" s="16">
        <v>2</v>
      </c>
      <c r="D11" s="54">
        <v>0.14099999999999999</v>
      </c>
      <c r="E11" s="54">
        <v>0.14399999999999999</v>
      </c>
      <c r="F11" s="54">
        <v>0.14199999999999999</v>
      </c>
      <c r="G11" s="16">
        <f t="shared" si="1"/>
        <v>3.2308099723830055</v>
      </c>
      <c r="H11" s="19">
        <f t="shared" si="0"/>
        <v>3.4673141111155326E-2</v>
      </c>
    </row>
    <row r="12" spans="1:8">
      <c r="A12" s="71">
        <v>4</v>
      </c>
      <c r="B12" s="69">
        <v>6</v>
      </c>
      <c r="C12" s="16">
        <v>2</v>
      </c>
      <c r="D12" s="54">
        <v>0.34300000000000003</v>
      </c>
      <c r="E12" s="54">
        <v>0.35</v>
      </c>
      <c r="F12" s="54">
        <v>0.34499999999999997</v>
      </c>
      <c r="G12" s="16">
        <f t="shared" si="1"/>
        <v>7.8538190897741469</v>
      </c>
      <c r="H12" s="19">
        <f t="shared" si="0"/>
        <v>8.1842044613868334E-2</v>
      </c>
    </row>
    <row r="13" spans="1:8">
      <c r="A13" s="71">
        <v>5</v>
      </c>
      <c r="B13" s="69">
        <v>7.333333333333333</v>
      </c>
      <c r="C13" s="16">
        <v>2</v>
      </c>
      <c r="D13" s="59">
        <v>0.621</v>
      </c>
      <c r="E13" s="59">
        <v>0.62</v>
      </c>
      <c r="F13" s="59">
        <v>0.624</v>
      </c>
      <c r="G13" s="16">
        <f t="shared" si="1"/>
        <v>14.111148942609619</v>
      </c>
      <c r="H13" s="19">
        <f t="shared" si="0"/>
        <v>4.7251526488846556E-2</v>
      </c>
    </row>
    <row r="14" spans="1:8">
      <c r="A14" s="71">
        <v>6</v>
      </c>
      <c r="B14" s="69">
        <v>8.6666666666666661</v>
      </c>
      <c r="C14" s="16">
        <v>2</v>
      </c>
      <c r="D14" s="59">
        <v>0.91400000000000003</v>
      </c>
      <c r="E14" s="59">
        <v>0.89700000000000002</v>
      </c>
      <c r="F14" s="59">
        <v>0.9</v>
      </c>
      <c r="G14" s="16">
        <f t="shared" si="1"/>
        <v>20.512238489766577</v>
      </c>
      <c r="H14" s="19">
        <f t="shared" si="0"/>
        <v>0.20596462889291742</v>
      </c>
    </row>
    <row r="15" spans="1:8">
      <c r="A15" s="71">
        <v>7</v>
      </c>
      <c r="B15" s="69">
        <v>10</v>
      </c>
      <c r="C15" s="16">
        <v>2</v>
      </c>
      <c r="D15" s="59">
        <v>1.1240000000000001</v>
      </c>
      <c r="E15" s="59">
        <v>1.1020000000000001</v>
      </c>
      <c r="F15" s="59">
        <v>1.085</v>
      </c>
      <c r="G15" s="16">
        <f t="shared" si="1"/>
        <v>25.052018310445273</v>
      </c>
      <c r="H15" s="19">
        <f t="shared" si="0"/>
        <v>0.44383942423675005</v>
      </c>
    </row>
    <row r="16" spans="1:8">
      <c r="A16" s="71">
        <v>8</v>
      </c>
      <c r="B16" s="69">
        <v>11.333333333333334</v>
      </c>
      <c r="C16" s="16">
        <v>2</v>
      </c>
      <c r="D16" s="59">
        <v>1.141</v>
      </c>
      <c r="E16" s="59">
        <v>1.1519999999999999</v>
      </c>
      <c r="F16" s="59" t="s">
        <v>152</v>
      </c>
      <c r="G16" s="16">
        <f t="shared" si="1"/>
        <v>26.02428782204063</v>
      </c>
      <c r="H16" s="19">
        <f t="shared" si="0"/>
        <v>0.17655600029626492</v>
      </c>
    </row>
    <row r="17" spans="1:8">
      <c r="A17" s="71">
        <v>9</v>
      </c>
      <c r="B17" s="69">
        <v>12.666666666666666</v>
      </c>
      <c r="C17" s="16">
        <v>2</v>
      </c>
      <c r="D17" s="59">
        <v>1.1759999999999999</v>
      </c>
      <c r="E17" s="59">
        <v>1.157</v>
      </c>
      <c r="F17" s="59">
        <v>1.2230000000000001</v>
      </c>
      <c r="G17" s="16">
        <f t="shared" si="1"/>
        <v>26.905761737222409</v>
      </c>
      <c r="H17" s="19">
        <f t="shared" si="0"/>
        <v>0.77120602327618726</v>
      </c>
    </row>
    <row r="18" spans="1:8">
      <c r="A18" s="71">
        <v>10</v>
      </c>
      <c r="B18" s="69">
        <v>14</v>
      </c>
      <c r="C18" s="16">
        <v>2</v>
      </c>
      <c r="D18" s="59">
        <v>1.1519999999999999</v>
      </c>
      <c r="E18" s="59">
        <v>1.1859999999999999</v>
      </c>
      <c r="F18" s="59">
        <v>1.212</v>
      </c>
      <c r="G18" s="16">
        <f t="shared" ref="G18:G23" si="2">(C18*1000*AVERAGE(D18:F18))/$B$2</f>
        <v>26.860363939015624</v>
      </c>
      <c r="H18" s="19">
        <f t="shared" ref="H18:H23" si="3">(C18*1000*STDEV(D18:F18))/$B$2</f>
        <v>0.68298167269075882</v>
      </c>
    </row>
    <row r="19" spans="1:8">
      <c r="A19" s="71">
        <v>11</v>
      </c>
      <c r="B19" s="69">
        <v>15.333333333333334</v>
      </c>
      <c r="C19" s="16">
        <v>2</v>
      </c>
      <c r="D19" s="59">
        <v>1.1859999999999999</v>
      </c>
      <c r="E19" s="59">
        <v>1.1990000000000001</v>
      </c>
      <c r="F19" s="59">
        <v>1.2070000000000001</v>
      </c>
      <c r="G19" s="16">
        <f t="shared" si="2"/>
        <v>27.178148526463126</v>
      </c>
      <c r="H19" s="19">
        <f t="shared" si="3"/>
        <v>0.24057977672734457</v>
      </c>
    </row>
    <row r="20" spans="1:8">
      <c r="A20" s="71">
        <v>12</v>
      </c>
      <c r="B20" s="69">
        <v>16.666666666666668</v>
      </c>
      <c r="C20" s="16">
        <v>2</v>
      </c>
      <c r="D20" s="59">
        <v>1.1890000000000001</v>
      </c>
      <c r="E20" s="59">
        <v>1.2090000000000001</v>
      </c>
      <c r="F20" s="59">
        <v>1.216</v>
      </c>
      <c r="G20" s="16">
        <f t="shared" si="2"/>
        <v>27.344607119888014</v>
      </c>
      <c r="H20" s="19">
        <f t="shared" si="3"/>
        <v>0.31805469764285033</v>
      </c>
    </row>
    <row r="21" spans="1:8">
      <c r="A21" s="71">
        <v>13</v>
      </c>
      <c r="B21" s="69">
        <v>18</v>
      </c>
      <c r="C21" s="16">
        <v>2</v>
      </c>
      <c r="D21" s="59">
        <v>1.2110000000000001</v>
      </c>
      <c r="E21" s="59">
        <v>1.216</v>
      </c>
      <c r="F21" s="59">
        <v>1.1830000000000001</v>
      </c>
      <c r="G21" s="16">
        <f t="shared" si="2"/>
        <v>27.314341921083493</v>
      </c>
      <c r="H21" s="19">
        <f t="shared" si="3"/>
        <v>0.40371721929267451</v>
      </c>
    </row>
    <row r="22" spans="1:8">
      <c r="A22" s="71">
        <v>14</v>
      </c>
      <c r="B22" s="69">
        <v>24</v>
      </c>
      <c r="C22" s="16">
        <v>2</v>
      </c>
      <c r="D22" s="59">
        <v>1.208</v>
      </c>
      <c r="E22" s="59">
        <v>1.2410000000000001</v>
      </c>
      <c r="F22" s="59">
        <v>1.2310000000000001</v>
      </c>
      <c r="G22" s="16">
        <f t="shared" si="2"/>
        <v>27.843982900162672</v>
      </c>
      <c r="H22" s="19">
        <f t="shared" si="3"/>
        <v>0.38409685306993874</v>
      </c>
    </row>
    <row r="23" spans="1:8">
      <c r="A23" s="71">
        <v>15</v>
      </c>
      <c r="B23" s="69">
        <v>30.25</v>
      </c>
      <c r="C23" s="16">
        <v>2</v>
      </c>
      <c r="D23" s="59">
        <v>1.196</v>
      </c>
      <c r="E23" s="59">
        <v>1.294</v>
      </c>
      <c r="F23" s="59">
        <v>1.252</v>
      </c>
      <c r="G23" s="16">
        <f t="shared" si="2"/>
        <v>28.313093481632812</v>
      </c>
      <c r="H23" s="19">
        <f t="shared" si="3"/>
        <v>1.116022793780036</v>
      </c>
    </row>
    <row r="24" spans="1:8">
      <c r="A24" s="71">
        <v>16</v>
      </c>
      <c r="B24" s="69">
        <v>48</v>
      </c>
      <c r="C24" s="16">
        <v>2</v>
      </c>
      <c r="D24" s="59">
        <v>1.2150000000000001</v>
      </c>
      <c r="E24" s="59">
        <v>1.246</v>
      </c>
      <c r="F24" s="59">
        <v>1.246</v>
      </c>
      <c r="G24" s="16">
        <f t="shared" ref="G24" si="4">(C24*1000*AVERAGE(D24:F24))/$B$2</f>
        <v>28.048272992093217</v>
      </c>
      <c r="H24" s="19">
        <f t="shared" ref="H24" si="5">(C24*1000*STDEV(D24:F24))/$B$2</f>
        <v>0.4062616807372228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A4" sqref="A4:D20"/>
    </sheetView>
  </sheetViews>
  <sheetFormatPr baseColWidth="10" defaultColWidth="8.83203125" defaultRowHeight="14" x14ac:dyDescent="0"/>
  <cols>
    <col min="1" max="3" width="8.83203125" style="2"/>
    <col min="4" max="4" width="9.1640625" style="2" bestFit="1" customWidth="1"/>
    <col min="5" max="5" width="12.5" style="2" bestFit="1" customWidth="1"/>
    <col min="6" max="6" width="11.33203125" style="2" bestFit="1" customWidth="1"/>
    <col min="7" max="8" width="8.83203125" style="2"/>
    <col min="9" max="9" width="15" style="2" bestFit="1" customWidth="1"/>
    <col min="10" max="10" width="10.6640625" style="2" bestFit="1" customWidth="1"/>
    <col min="11" max="11" width="38.1640625" style="2" customWidth="1"/>
    <col min="12" max="16384" width="8.83203125" style="2"/>
  </cols>
  <sheetData>
    <row r="1" spans="1:11">
      <c r="A1" s="131" t="s">
        <v>4</v>
      </c>
      <c r="B1" s="131" t="s">
        <v>117</v>
      </c>
      <c r="C1" s="131" t="s">
        <v>117</v>
      </c>
      <c r="D1" s="131" t="s">
        <v>5</v>
      </c>
      <c r="E1" s="4" t="s">
        <v>7</v>
      </c>
      <c r="F1" s="4" t="s">
        <v>9</v>
      </c>
      <c r="G1" s="130" t="s">
        <v>11</v>
      </c>
      <c r="H1" s="130" t="s">
        <v>12</v>
      </c>
      <c r="I1" s="4" t="s">
        <v>13</v>
      </c>
      <c r="J1" s="4" t="s">
        <v>16</v>
      </c>
      <c r="K1" s="4" t="s">
        <v>16</v>
      </c>
    </row>
    <row r="2" spans="1:11">
      <c r="A2" s="132"/>
      <c r="B2" s="132"/>
      <c r="C2" s="132"/>
      <c r="D2" s="132"/>
      <c r="E2" s="5" t="s">
        <v>8</v>
      </c>
      <c r="F2" s="5" t="s">
        <v>10</v>
      </c>
      <c r="G2" s="130"/>
      <c r="H2" s="130"/>
      <c r="I2" s="5" t="s">
        <v>14</v>
      </c>
      <c r="J2" s="5" t="s">
        <v>17</v>
      </c>
      <c r="K2" s="5" t="s">
        <v>142</v>
      </c>
    </row>
    <row r="3" spans="1:11">
      <c r="A3" s="32" t="s">
        <v>6</v>
      </c>
      <c r="B3" s="31">
        <v>-10</v>
      </c>
      <c r="C3" s="31">
        <f>B3</f>
        <v>-10</v>
      </c>
      <c r="D3" s="13">
        <f>C3/60</f>
        <v>-0.16666666666666666</v>
      </c>
      <c r="E3" s="3">
        <v>41</v>
      </c>
      <c r="F3" s="1">
        <f>E3</f>
        <v>41</v>
      </c>
      <c r="G3" s="1">
        <v>2</v>
      </c>
      <c r="H3" s="1">
        <v>0</v>
      </c>
      <c r="I3" s="1">
        <f>$F$22+G3+H3</f>
        <v>1502</v>
      </c>
      <c r="J3" s="13">
        <f>F3*1500/I3</f>
        <v>40.945406125166443</v>
      </c>
      <c r="K3" s="13">
        <f>$F$23-J3</f>
        <v>1609.0545938748335</v>
      </c>
    </row>
    <row r="4" spans="1:11">
      <c r="A4" s="1">
        <v>0</v>
      </c>
      <c r="B4" s="31">
        <v>10</v>
      </c>
      <c r="C4" s="31">
        <f>B4</f>
        <v>10</v>
      </c>
      <c r="D4" s="13">
        <f t="shared" ref="D4:D18" si="0">C4/60</f>
        <v>0.16666666666666666</v>
      </c>
      <c r="E4" s="1">
        <v>57</v>
      </c>
      <c r="F4" s="1">
        <f>E4+F3</f>
        <v>98</v>
      </c>
      <c r="G4" s="39">
        <v>3</v>
      </c>
      <c r="H4" s="39">
        <v>0</v>
      </c>
      <c r="I4" s="1">
        <f t="shared" ref="I4:I20" si="1">$F$23-F3+G4+H4</f>
        <v>1612</v>
      </c>
      <c r="J4" s="13">
        <f>E4*K3/I4</f>
        <v>56.895851024110115</v>
      </c>
      <c r="K4" s="13">
        <f>K3-J4</f>
        <v>1552.1587428507235</v>
      </c>
    </row>
    <row r="5" spans="1:11">
      <c r="A5" s="1">
        <v>1</v>
      </c>
      <c r="B5" s="31">
        <v>110</v>
      </c>
      <c r="C5" s="31">
        <f>C4+B5</f>
        <v>120</v>
      </c>
      <c r="D5" s="13">
        <f t="shared" si="0"/>
        <v>2</v>
      </c>
      <c r="E5" s="1">
        <v>49</v>
      </c>
      <c r="F5" s="1">
        <f t="shared" ref="F5:F18" si="2">E5+F4</f>
        <v>147</v>
      </c>
      <c r="G5" s="39">
        <v>4</v>
      </c>
      <c r="H5" s="39">
        <v>0</v>
      </c>
      <c r="I5" s="39">
        <f t="shared" si="1"/>
        <v>1556</v>
      </c>
      <c r="J5" s="13">
        <f t="shared" ref="J5:J13" si="3">E5*K4/I5</f>
        <v>48.879034961237437</v>
      </c>
      <c r="K5" s="13">
        <f>K4-J5</f>
        <v>1503.279707889486</v>
      </c>
    </row>
    <row r="6" spans="1:11">
      <c r="A6" s="1">
        <v>2</v>
      </c>
      <c r="B6" s="31">
        <v>80</v>
      </c>
      <c r="C6" s="31">
        <f>C5+B6</f>
        <v>200</v>
      </c>
      <c r="D6" s="13">
        <f t="shared" si="0"/>
        <v>3.3333333333333335</v>
      </c>
      <c r="E6" s="1">
        <v>49</v>
      </c>
      <c r="F6" s="1">
        <f t="shared" si="2"/>
        <v>196</v>
      </c>
      <c r="G6" s="39">
        <v>5</v>
      </c>
      <c r="H6" s="39">
        <v>0</v>
      </c>
      <c r="I6" s="39">
        <f t="shared" si="1"/>
        <v>1508</v>
      </c>
      <c r="J6" s="13">
        <f>E6*K5/I6</f>
        <v>48.846621808080116</v>
      </c>
      <c r="K6" s="13">
        <f t="shared" ref="K6:K13" si="4">K5-J6</f>
        <v>1454.4330860814059</v>
      </c>
    </row>
    <row r="7" spans="1:11">
      <c r="A7" s="1">
        <v>3</v>
      </c>
      <c r="B7" s="31">
        <v>80</v>
      </c>
      <c r="C7" s="31">
        <f>C6+B7</f>
        <v>280</v>
      </c>
      <c r="D7" s="13">
        <f t="shared" si="0"/>
        <v>4.666666666666667</v>
      </c>
      <c r="E7" s="1">
        <v>53</v>
      </c>
      <c r="F7" s="1">
        <f t="shared" si="2"/>
        <v>249</v>
      </c>
      <c r="G7" s="39">
        <v>10</v>
      </c>
      <c r="H7" s="39">
        <v>0</v>
      </c>
      <c r="I7" s="39">
        <f t="shared" si="1"/>
        <v>1464</v>
      </c>
      <c r="J7" s="13">
        <f>E7*K6/I7</f>
        <v>52.653656804859644</v>
      </c>
      <c r="K7" s="13">
        <f>K6-J7</f>
        <v>1401.7794292765464</v>
      </c>
    </row>
    <row r="8" spans="1:11">
      <c r="A8" s="1">
        <v>4</v>
      </c>
      <c r="B8" s="31">
        <v>80</v>
      </c>
      <c r="C8" s="31">
        <f t="shared" ref="C8:C18" si="5">C7+B8</f>
        <v>360</v>
      </c>
      <c r="D8" s="13">
        <f t="shared" si="0"/>
        <v>6</v>
      </c>
      <c r="E8" s="1">
        <v>52</v>
      </c>
      <c r="F8" s="1">
        <f t="shared" si="2"/>
        <v>301</v>
      </c>
      <c r="G8" s="39">
        <v>20</v>
      </c>
      <c r="H8" s="39">
        <v>0</v>
      </c>
      <c r="I8" s="39">
        <f t="shared" si="1"/>
        <v>1421</v>
      </c>
      <c r="J8" s="13">
        <f t="shared" si="3"/>
        <v>51.296643435876433</v>
      </c>
      <c r="K8" s="13">
        <f t="shared" si="4"/>
        <v>1350.48278584067</v>
      </c>
    </row>
    <row r="9" spans="1:11">
      <c r="A9" s="1">
        <v>5</v>
      </c>
      <c r="B9" s="31">
        <v>80</v>
      </c>
      <c r="C9" s="31">
        <f t="shared" si="5"/>
        <v>440</v>
      </c>
      <c r="D9" s="13">
        <f t="shared" si="0"/>
        <v>7.333333333333333</v>
      </c>
      <c r="E9" s="1">
        <v>51</v>
      </c>
      <c r="F9" s="1">
        <f t="shared" si="2"/>
        <v>352</v>
      </c>
      <c r="G9" s="39">
        <v>32</v>
      </c>
      <c r="H9" s="39">
        <v>0</v>
      </c>
      <c r="I9" s="39">
        <f t="shared" si="1"/>
        <v>1381</v>
      </c>
      <c r="J9" s="13">
        <f t="shared" si="3"/>
        <v>49.87300657340635</v>
      </c>
      <c r="K9" s="13">
        <f t="shared" si="4"/>
        <v>1300.6097792672635</v>
      </c>
    </row>
    <row r="10" spans="1:11">
      <c r="A10" s="1">
        <v>6</v>
      </c>
      <c r="B10" s="31">
        <v>80</v>
      </c>
      <c r="C10" s="31">
        <f t="shared" si="5"/>
        <v>520</v>
      </c>
      <c r="D10" s="13">
        <f t="shared" si="0"/>
        <v>8.6666666666666661</v>
      </c>
      <c r="E10" s="1">
        <v>41</v>
      </c>
      <c r="F10" s="1">
        <f t="shared" si="2"/>
        <v>393</v>
      </c>
      <c r="G10" s="39">
        <v>49</v>
      </c>
      <c r="H10" s="39">
        <v>0</v>
      </c>
      <c r="I10" s="39">
        <f t="shared" si="1"/>
        <v>1347</v>
      </c>
      <c r="J10" s="13">
        <f t="shared" si="3"/>
        <v>39.58797397918174</v>
      </c>
      <c r="K10" s="13">
        <f t="shared" si="4"/>
        <v>1261.0218052880819</v>
      </c>
    </row>
    <row r="11" spans="1:11">
      <c r="A11" s="1">
        <v>7</v>
      </c>
      <c r="B11" s="31">
        <v>80</v>
      </c>
      <c r="C11" s="31">
        <f t="shared" si="5"/>
        <v>600</v>
      </c>
      <c r="D11" s="13">
        <f t="shared" si="0"/>
        <v>10</v>
      </c>
      <c r="E11" s="1">
        <v>46</v>
      </c>
      <c r="F11" s="1">
        <f t="shared" si="2"/>
        <v>439</v>
      </c>
      <c r="G11" s="39">
        <v>67</v>
      </c>
      <c r="H11" s="39">
        <v>0</v>
      </c>
      <c r="I11" s="39">
        <f t="shared" si="1"/>
        <v>1324</v>
      </c>
      <c r="J11" s="13">
        <f t="shared" si="3"/>
        <v>43.811935833271725</v>
      </c>
      <c r="K11" s="13">
        <f t="shared" si="4"/>
        <v>1217.2098694548101</v>
      </c>
    </row>
    <row r="12" spans="1:11">
      <c r="A12" s="1">
        <v>8</v>
      </c>
      <c r="B12" s="31">
        <v>80</v>
      </c>
      <c r="C12" s="31">
        <f t="shared" si="5"/>
        <v>680</v>
      </c>
      <c r="D12" s="13">
        <f t="shared" si="0"/>
        <v>11.333333333333334</v>
      </c>
      <c r="E12" s="1">
        <v>46</v>
      </c>
      <c r="F12" s="1">
        <f t="shared" si="2"/>
        <v>485</v>
      </c>
      <c r="G12" s="39">
        <v>76</v>
      </c>
      <c r="H12" s="39">
        <v>0</v>
      </c>
      <c r="I12" s="39">
        <f t="shared" si="1"/>
        <v>1287</v>
      </c>
      <c r="J12" s="13">
        <f t="shared" si="3"/>
        <v>43.505558659612483</v>
      </c>
      <c r="K12" s="13">
        <f t="shared" si="4"/>
        <v>1173.7043107951977</v>
      </c>
    </row>
    <row r="13" spans="1:11">
      <c r="A13" s="1">
        <v>9</v>
      </c>
      <c r="B13" s="31">
        <v>80</v>
      </c>
      <c r="C13" s="31">
        <f t="shared" si="5"/>
        <v>760</v>
      </c>
      <c r="D13" s="13">
        <f>C13/60</f>
        <v>12.666666666666666</v>
      </c>
      <c r="E13" s="1">
        <v>51</v>
      </c>
      <c r="F13" s="1">
        <f t="shared" si="2"/>
        <v>536</v>
      </c>
      <c r="G13" s="39">
        <v>82</v>
      </c>
      <c r="H13" s="39">
        <v>0</v>
      </c>
      <c r="I13" s="39">
        <f t="shared" si="1"/>
        <v>1247</v>
      </c>
      <c r="J13" s="13">
        <f t="shared" si="3"/>
        <v>48.002341500044174</v>
      </c>
      <c r="K13" s="13">
        <f t="shared" si="4"/>
        <v>1125.7019692951535</v>
      </c>
    </row>
    <row r="14" spans="1:11">
      <c r="A14" s="36">
        <v>10</v>
      </c>
      <c r="B14" s="31">
        <v>80</v>
      </c>
      <c r="C14" s="31">
        <f t="shared" si="5"/>
        <v>840</v>
      </c>
      <c r="D14" s="13">
        <f t="shared" si="0"/>
        <v>14</v>
      </c>
      <c r="E14" s="3">
        <v>46</v>
      </c>
      <c r="F14" s="36">
        <f t="shared" si="2"/>
        <v>582</v>
      </c>
      <c r="G14" s="39">
        <v>82</v>
      </c>
      <c r="H14" s="39">
        <v>9</v>
      </c>
      <c r="I14" s="39">
        <f t="shared" si="1"/>
        <v>1205</v>
      </c>
      <c r="J14" s="13">
        <f t="shared" ref="J14:J19" si="6">E14*K13/I14</f>
        <v>42.972855259400049</v>
      </c>
      <c r="K14" s="13">
        <f t="shared" ref="K14:K19" si="7">K13-J14</f>
        <v>1082.7291140357534</v>
      </c>
    </row>
    <row r="15" spans="1:11">
      <c r="A15" s="36">
        <v>11</v>
      </c>
      <c r="B15" s="31">
        <v>80</v>
      </c>
      <c r="C15" s="31">
        <f t="shared" si="5"/>
        <v>920</v>
      </c>
      <c r="D15" s="13">
        <f t="shared" si="0"/>
        <v>15.333333333333334</v>
      </c>
      <c r="E15" s="36">
        <v>42</v>
      </c>
      <c r="F15" s="36">
        <f t="shared" si="2"/>
        <v>624</v>
      </c>
      <c r="G15" s="39">
        <v>82</v>
      </c>
      <c r="H15" s="39">
        <v>11</v>
      </c>
      <c r="I15" s="39">
        <f t="shared" si="1"/>
        <v>1161</v>
      </c>
      <c r="J15" s="13">
        <f t="shared" si="6"/>
        <v>39.168495081396763</v>
      </c>
      <c r="K15" s="13">
        <f t="shared" si="7"/>
        <v>1043.5606189543566</v>
      </c>
    </row>
    <row r="16" spans="1:11">
      <c r="A16" s="36">
        <v>12</v>
      </c>
      <c r="B16" s="31">
        <v>80</v>
      </c>
      <c r="C16" s="31">
        <f t="shared" si="5"/>
        <v>1000</v>
      </c>
      <c r="D16" s="13">
        <f t="shared" si="0"/>
        <v>16.666666666666668</v>
      </c>
      <c r="E16" s="36">
        <v>54</v>
      </c>
      <c r="F16" s="36">
        <f t="shared" si="2"/>
        <v>678</v>
      </c>
      <c r="G16" s="39">
        <v>82</v>
      </c>
      <c r="H16" s="39">
        <v>12</v>
      </c>
      <c r="I16" s="39">
        <f t="shared" si="1"/>
        <v>1120</v>
      </c>
      <c r="J16" s="13">
        <f t="shared" si="6"/>
        <v>50.314529842442198</v>
      </c>
      <c r="K16" s="13">
        <f t="shared" si="7"/>
        <v>993.24608911191444</v>
      </c>
    </row>
    <row r="17" spans="1:11">
      <c r="A17" s="36">
        <v>13</v>
      </c>
      <c r="B17" s="31">
        <v>80</v>
      </c>
      <c r="C17" s="31">
        <f t="shared" si="5"/>
        <v>1080</v>
      </c>
      <c r="D17" s="13">
        <f t="shared" si="0"/>
        <v>18</v>
      </c>
      <c r="E17" s="36">
        <v>57</v>
      </c>
      <c r="F17" s="36">
        <f t="shared" si="2"/>
        <v>735</v>
      </c>
      <c r="G17" s="39">
        <v>82</v>
      </c>
      <c r="H17" s="39">
        <v>12</v>
      </c>
      <c r="I17" s="39">
        <f t="shared" si="1"/>
        <v>1066</v>
      </c>
      <c r="J17" s="13">
        <f t="shared" si="6"/>
        <v>53.109781500355645</v>
      </c>
      <c r="K17" s="13">
        <f t="shared" si="7"/>
        <v>940.13630761155878</v>
      </c>
    </row>
    <row r="18" spans="1:11">
      <c r="A18" s="36">
        <v>14</v>
      </c>
      <c r="B18" s="31">
        <v>360</v>
      </c>
      <c r="C18" s="31">
        <f t="shared" si="5"/>
        <v>1440</v>
      </c>
      <c r="D18" s="13">
        <f t="shared" si="0"/>
        <v>24</v>
      </c>
      <c r="E18" s="36">
        <v>55</v>
      </c>
      <c r="F18" s="36">
        <f t="shared" si="2"/>
        <v>790</v>
      </c>
      <c r="G18" s="39">
        <v>82</v>
      </c>
      <c r="H18" s="39">
        <v>12</v>
      </c>
      <c r="I18" s="39">
        <f t="shared" si="1"/>
        <v>1009</v>
      </c>
      <c r="J18" s="13">
        <f t="shared" si="6"/>
        <v>51.246280395080014</v>
      </c>
      <c r="K18" s="13">
        <f t="shared" si="7"/>
        <v>888.89002721647876</v>
      </c>
    </row>
    <row r="19" spans="1:11">
      <c r="A19" s="36">
        <v>15</v>
      </c>
      <c r="B19" s="31">
        <v>375</v>
      </c>
      <c r="C19" s="31">
        <f>C18+B19</f>
        <v>1815</v>
      </c>
      <c r="D19" s="13">
        <f>C19/60</f>
        <v>30.25</v>
      </c>
      <c r="E19" s="36">
        <v>50</v>
      </c>
      <c r="F19" s="36">
        <f>E19+F18</f>
        <v>840</v>
      </c>
      <c r="G19" s="39">
        <v>82</v>
      </c>
      <c r="H19" s="39">
        <v>12</v>
      </c>
      <c r="I19" s="39">
        <f t="shared" si="1"/>
        <v>954</v>
      </c>
      <c r="J19" s="13">
        <f t="shared" si="6"/>
        <v>46.587527631890921</v>
      </c>
      <c r="K19" s="13">
        <f t="shared" si="7"/>
        <v>842.30249958458785</v>
      </c>
    </row>
    <row r="20" spans="1:11">
      <c r="A20" s="39">
        <v>16</v>
      </c>
      <c r="B20" s="31">
        <v>1065</v>
      </c>
      <c r="C20" s="31">
        <f>C19+B20</f>
        <v>2880</v>
      </c>
      <c r="D20" s="13">
        <f t="shared" ref="D20" si="8">C20/60</f>
        <v>48</v>
      </c>
      <c r="E20" s="39">
        <v>85</v>
      </c>
      <c r="F20" s="39">
        <f t="shared" ref="F20" si="9">E20+F19</f>
        <v>925</v>
      </c>
      <c r="G20" s="39">
        <v>82</v>
      </c>
      <c r="H20" s="39">
        <v>12</v>
      </c>
      <c r="I20" s="39">
        <f t="shared" si="1"/>
        <v>904</v>
      </c>
      <c r="J20" s="13">
        <f t="shared" ref="J20" si="10">E20*K19/I20</f>
        <v>79.198796974214559</v>
      </c>
      <c r="K20" s="13">
        <f t="shared" ref="K20" si="11">K19-J20</f>
        <v>763.10370261037326</v>
      </c>
    </row>
    <row r="22" spans="1:11">
      <c r="A22" s="127" t="s">
        <v>15</v>
      </c>
      <c r="B22" s="128"/>
      <c r="C22" s="128"/>
      <c r="D22" s="128"/>
      <c r="E22" s="129"/>
      <c r="F22" s="1">
        <v>1500</v>
      </c>
    </row>
    <row r="23" spans="1:11">
      <c r="A23" s="127" t="s">
        <v>15</v>
      </c>
      <c r="B23" s="128"/>
      <c r="C23" s="128"/>
      <c r="D23" s="128"/>
      <c r="E23" s="129"/>
      <c r="F23" s="39">
        <v>1650</v>
      </c>
    </row>
  </sheetData>
  <mergeCells count="8">
    <mergeCell ref="A23:E23"/>
    <mergeCell ref="A1:A2"/>
    <mergeCell ref="D1:D2"/>
    <mergeCell ref="G1:G2"/>
    <mergeCell ref="H1:H2"/>
    <mergeCell ref="A22:E22"/>
    <mergeCell ref="B1:B2"/>
    <mergeCell ref="C1:C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1" t="s">
        <v>35</v>
      </c>
      <c r="B1" s="21" t="s">
        <v>61</v>
      </c>
    </row>
    <row r="2" spans="1:8">
      <c r="A2" s="21" t="s">
        <v>42</v>
      </c>
      <c r="B2" s="17">
        <v>90.08</v>
      </c>
    </row>
    <row r="4" spans="1:8">
      <c r="A4" s="157" t="s">
        <v>42</v>
      </c>
      <c r="B4" s="158"/>
      <c r="C4" s="158"/>
      <c r="D4" s="158"/>
      <c r="E4" s="158"/>
      <c r="F4" s="158"/>
      <c r="G4" s="158"/>
      <c r="H4" s="159"/>
    </row>
    <row r="5" spans="1:8">
      <c r="A5" s="160" t="s">
        <v>62</v>
      </c>
      <c r="B5" s="158"/>
      <c r="C5" s="159"/>
      <c r="D5" s="161" t="s">
        <v>45</v>
      </c>
      <c r="E5" s="161" t="s">
        <v>46</v>
      </c>
      <c r="F5" s="161" t="s">
        <v>47</v>
      </c>
      <c r="G5" s="163" t="s">
        <v>63</v>
      </c>
      <c r="H5" s="163" t="s">
        <v>64</v>
      </c>
    </row>
    <row r="6" spans="1:8">
      <c r="A6" s="22" t="s">
        <v>4</v>
      </c>
      <c r="B6" s="22" t="s">
        <v>60</v>
      </c>
      <c r="C6" s="22" t="s">
        <v>19</v>
      </c>
      <c r="D6" s="162"/>
      <c r="E6" s="162"/>
      <c r="F6" s="162"/>
      <c r="G6" s="164"/>
      <c r="H6" s="164"/>
    </row>
    <row r="7" spans="1:8">
      <c r="A7" s="70">
        <v>0</v>
      </c>
      <c r="B7" s="66">
        <v>0</v>
      </c>
      <c r="C7" s="16">
        <v>2</v>
      </c>
      <c r="D7" s="41">
        <v>3.9E-2</v>
      </c>
      <c r="E7" s="41">
        <v>4.2000000000000003E-2</v>
      </c>
      <c r="F7" s="41">
        <v>4.3999999999999997E-2</v>
      </c>
      <c r="G7" s="16">
        <f>(C7*1000*AVERAGE(D7:F7))/$B$2</f>
        <v>0.92510361160449972</v>
      </c>
      <c r="H7" s="19">
        <f>(C7*1000*STDEV(D7:F7))/$B$2</f>
        <v>5.5875032824679892E-2</v>
      </c>
    </row>
    <row r="8" spans="1:8">
      <c r="A8" s="71">
        <v>0</v>
      </c>
      <c r="B8" s="69">
        <v>0</v>
      </c>
      <c r="C8" s="16">
        <v>2</v>
      </c>
      <c r="D8" s="41">
        <v>4.2999999999999997E-2</v>
      </c>
      <c r="E8" s="41">
        <v>4.3999999999999997E-2</v>
      </c>
      <c r="F8" s="41">
        <v>4.4999999999999998E-2</v>
      </c>
      <c r="G8" s="16">
        <f t="shared" ref="G8:G23" si="0">(C8*1000*AVERAGE(D8:F8))/$B$2</f>
        <v>0.97690941385435182</v>
      </c>
      <c r="H8" s="19">
        <f t="shared" ref="H8:H23" si="1">(C8*1000*STDEV(D8:F8))/$B$2</f>
        <v>2.2202486678508014E-2</v>
      </c>
    </row>
    <row r="9" spans="1:8">
      <c r="A9" s="71">
        <v>1</v>
      </c>
      <c r="B9" s="69">
        <v>2</v>
      </c>
      <c r="C9" s="16">
        <v>2</v>
      </c>
      <c r="D9" s="41">
        <v>4.5999999999999999E-2</v>
      </c>
      <c r="E9" s="41">
        <v>4.5999999999999999E-2</v>
      </c>
      <c r="F9" s="41">
        <v>4.5999999999999999E-2</v>
      </c>
      <c r="G9" s="16">
        <f t="shared" si="0"/>
        <v>1.0213143872113679</v>
      </c>
      <c r="H9" s="19">
        <f t="shared" si="1"/>
        <v>1.8868505155285834E-16</v>
      </c>
    </row>
    <row r="10" spans="1:8">
      <c r="A10" s="71">
        <v>2</v>
      </c>
      <c r="B10" s="69">
        <v>3</v>
      </c>
      <c r="C10" s="16">
        <v>2</v>
      </c>
      <c r="D10" s="54">
        <v>0.05</v>
      </c>
      <c r="E10" s="54">
        <v>4.7E-2</v>
      </c>
      <c r="F10" s="54">
        <v>4.8000000000000001E-2</v>
      </c>
      <c r="G10" s="16">
        <f t="shared" si="0"/>
        <v>1.0731201894612199</v>
      </c>
      <c r="H10" s="19">
        <f t="shared" si="1"/>
        <v>3.3914858606837212E-2</v>
      </c>
    </row>
    <row r="11" spans="1:8">
      <c r="A11" s="71">
        <v>3</v>
      </c>
      <c r="B11" s="69">
        <v>5</v>
      </c>
      <c r="C11" s="16">
        <v>2</v>
      </c>
      <c r="D11" s="54">
        <v>5.0999999999999997E-2</v>
      </c>
      <c r="E11" s="54">
        <v>5.0999999999999997E-2</v>
      </c>
      <c r="F11" s="54">
        <v>0.05</v>
      </c>
      <c r="G11" s="16">
        <f t="shared" si="0"/>
        <v>1.1249259917110717</v>
      </c>
      <c r="H11" s="19">
        <f t="shared" si="1"/>
        <v>1.2818611660515592E-2</v>
      </c>
    </row>
    <row r="12" spans="1:8">
      <c r="A12" s="71">
        <v>4</v>
      </c>
      <c r="B12" s="69">
        <v>6</v>
      </c>
      <c r="C12" s="16">
        <v>2</v>
      </c>
      <c r="D12" s="54">
        <v>5.0999999999999997E-2</v>
      </c>
      <c r="E12" s="54">
        <v>5.0999999999999997E-2</v>
      </c>
      <c r="F12" s="54">
        <v>4.9000000000000002E-2</v>
      </c>
      <c r="G12" s="16">
        <f t="shared" si="0"/>
        <v>1.1175251628182357</v>
      </c>
      <c r="H12" s="19">
        <f t="shared" si="1"/>
        <v>2.5637223321031275E-2</v>
      </c>
    </row>
    <row r="13" spans="1:8">
      <c r="A13" s="71">
        <v>5</v>
      </c>
      <c r="B13" s="69">
        <v>7</v>
      </c>
      <c r="C13" s="16">
        <v>2</v>
      </c>
      <c r="D13" s="54">
        <v>5.0999999999999997E-2</v>
      </c>
      <c r="E13" s="54">
        <v>5.0999999999999997E-2</v>
      </c>
      <c r="F13" s="54">
        <v>0.05</v>
      </c>
      <c r="G13" s="16">
        <f t="shared" si="0"/>
        <v>1.1249259917110717</v>
      </c>
      <c r="H13" s="19">
        <f t="shared" si="1"/>
        <v>1.2818611660515592E-2</v>
      </c>
    </row>
    <row r="14" spans="1:8">
      <c r="A14" s="71">
        <v>6</v>
      </c>
      <c r="B14" s="69">
        <v>9</v>
      </c>
      <c r="C14" s="16">
        <v>2</v>
      </c>
      <c r="D14" s="54">
        <v>7.9000000000000001E-2</v>
      </c>
      <c r="E14" s="54">
        <v>7.8E-2</v>
      </c>
      <c r="F14" s="54">
        <v>7.8E-2</v>
      </c>
      <c r="G14" s="16">
        <f t="shared" si="0"/>
        <v>1.7391947898164595</v>
      </c>
      <c r="H14" s="19">
        <f t="shared" si="1"/>
        <v>1.2818611660515681E-2</v>
      </c>
    </row>
    <row r="15" spans="1:8">
      <c r="A15" s="71">
        <v>7</v>
      </c>
      <c r="B15" s="69">
        <v>10</v>
      </c>
      <c r="C15" s="16">
        <v>2</v>
      </c>
      <c r="D15" s="54">
        <v>8.7999999999999995E-2</v>
      </c>
      <c r="E15" s="54">
        <v>8.7999999999999995E-2</v>
      </c>
      <c r="F15" s="54">
        <v>8.6999999999999994E-2</v>
      </c>
      <c r="G15" s="16">
        <f t="shared" si="0"/>
        <v>1.9464179988158674</v>
      </c>
      <c r="H15" s="19">
        <f t="shared" si="1"/>
        <v>1.2818611660515681E-2</v>
      </c>
    </row>
    <row r="16" spans="1:8">
      <c r="A16" s="71">
        <v>8</v>
      </c>
      <c r="B16" s="69">
        <v>11</v>
      </c>
      <c r="C16" s="16">
        <v>2</v>
      </c>
      <c r="D16" s="54">
        <v>9.9000000000000005E-2</v>
      </c>
      <c r="E16" s="54">
        <v>0.1</v>
      </c>
      <c r="F16" s="54">
        <v>9.8000000000000004E-2</v>
      </c>
      <c r="G16" s="16">
        <f t="shared" si="0"/>
        <v>2.1980461811722916</v>
      </c>
      <c r="H16" s="19">
        <f t="shared" si="1"/>
        <v>2.2202486678508014E-2</v>
      </c>
    </row>
    <row r="17" spans="1:8">
      <c r="A17" s="71">
        <v>9</v>
      </c>
      <c r="B17" s="69">
        <v>13</v>
      </c>
      <c r="C17" s="16">
        <v>2</v>
      </c>
      <c r="D17" s="54">
        <v>0.112</v>
      </c>
      <c r="E17" s="54">
        <v>0.111</v>
      </c>
      <c r="F17" s="54">
        <v>0.11600000000000001</v>
      </c>
      <c r="G17" s="16">
        <f t="shared" si="0"/>
        <v>2.5088809946714035</v>
      </c>
      <c r="H17" s="19">
        <f t="shared" si="1"/>
        <v>5.874225823855668E-2</v>
      </c>
    </row>
    <row r="18" spans="1:8">
      <c r="A18" s="71">
        <v>10</v>
      </c>
      <c r="B18" s="69">
        <v>14</v>
      </c>
      <c r="C18" s="16">
        <v>2</v>
      </c>
      <c r="D18" s="41">
        <v>0.115</v>
      </c>
      <c r="E18" s="41">
        <v>0.11700000000000001</v>
      </c>
      <c r="F18" s="41">
        <v>0.11700000000000001</v>
      </c>
      <c r="G18" s="16">
        <f t="shared" si="0"/>
        <v>2.5828892835997634</v>
      </c>
      <c r="H18" s="19">
        <f t="shared" si="1"/>
        <v>2.5637223321031362E-2</v>
      </c>
    </row>
    <row r="19" spans="1:8">
      <c r="A19" s="71">
        <v>11</v>
      </c>
      <c r="B19" s="69">
        <v>15</v>
      </c>
      <c r="C19" s="16">
        <v>2</v>
      </c>
      <c r="D19" s="54">
        <v>0.11700000000000001</v>
      </c>
      <c r="E19" s="54">
        <v>0.11700000000000001</v>
      </c>
      <c r="F19" s="54">
        <v>0.11799999999999999</v>
      </c>
      <c r="G19" s="16">
        <f t="shared" si="0"/>
        <v>2.6050917702782712</v>
      </c>
      <c r="H19" s="19">
        <f t="shared" si="1"/>
        <v>1.2818611660515504E-2</v>
      </c>
    </row>
    <row r="20" spans="1:8">
      <c r="A20" s="71">
        <v>12</v>
      </c>
      <c r="B20" s="69">
        <v>17</v>
      </c>
      <c r="C20" s="16">
        <v>2</v>
      </c>
      <c r="D20" s="54">
        <v>0.11899999999999999</v>
      </c>
      <c r="E20" s="54">
        <v>0.122</v>
      </c>
      <c r="F20" s="54">
        <v>0.122</v>
      </c>
      <c r="G20" s="16">
        <f t="shared" si="0"/>
        <v>2.6865008880994674</v>
      </c>
      <c r="H20" s="19">
        <f t="shared" si="1"/>
        <v>3.8455834981547053E-2</v>
      </c>
    </row>
    <row r="21" spans="1:8">
      <c r="A21" s="71">
        <v>13</v>
      </c>
      <c r="B21" s="69">
        <v>18</v>
      </c>
      <c r="C21" s="16">
        <v>2</v>
      </c>
      <c r="D21" s="54">
        <v>0.122</v>
      </c>
      <c r="E21" s="54">
        <v>0.123</v>
      </c>
      <c r="F21" s="54">
        <v>0.121</v>
      </c>
      <c r="G21" s="16">
        <f t="shared" si="0"/>
        <v>2.7087033747779752</v>
      </c>
      <c r="H21" s="19">
        <f t="shared" si="1"/>
        <v>2.2202486678508014E-2</v>
      </c>
    </row>
    <row r="22" spans="1:8">
      <c r="A22" s="71">
        <v>14</v>
      </c>
      <c r="B22" s="69">
        <v>24</v>
      </c>
      <c r="C22" s="16">
        <v>2</v>
      </c>
      <c r="D22" s="54">
        <v>0.13100000000000001</v>
      </c>
      <c r="E22" s="54">
        <v>0.13500000000000001</v>
      </c>
      <c r="F22" s="54">
        <v>0.13400000000000001</v>
      </c>
      <c r="G22" s="16">
        <f t="shared" si="0"/>
        <v>2.9603315571343991</v>
      </c>
      <c r="H22" s="19">
        <f t="shared" si="1"/>
        <v>4.6218161622249884E-2</v>
      </c>
    </row>
    <row r="23" spans="1:8">
      <c r="A23" s="71">
        <v>15</v>
      </c>
      <c r="B23" s="69">
        <v>30</v>
      </c>
      <c r="C23" s="16">
        <v>2</v>
      </c>
      <c r="D23" s="54">
        <v>0.13700000000000001</v>
      </c>
      <c r="E23" s="54">
        <v>0.14799999999999999</v>
      </c>
      <c r="F23" s="54">
        <v>0.14399999999999999</v>
      </c>
      <c r="G23" s="16">
        <f t="shared" si="0"/>
        <v>3.1749555950266437</v>
      </c>
      <c r="H23" s="19">
        <f t="shared" si="1"/>
        <v>0.12361821409480488</v>
      </c>
    </row>
    <row r="24" spans="1:8">
      <c r="A24" s="71">
        <v>16</v>
      </c>
      <c r="B24" s="69">
        <v>48</v>
      </c>
      <c r="C24" s="16">
        <v>2</v>
      </c>
      <c r="D24" s="54">
        <v>0.152</v>
      </c>
      <c r="E24" s="54">
        <v>0.157</v>
      </c>
      <c r="F24" s="54">
        <v>0.157</v>
      </c>
      <c r="G24" s="16">
        <f t="shared" ref="G24" si="2">(C24*1000*AVERAGE(D24:F24))/$B$2</f>
        <v>3.4487862640615745</v>
      </c>
      <c r="H24" s="19">
        <f t="shared" ref="H24" si="3">(C24*1000*STDEV(D24:F24))/$B$2</f>
        <v>6.4093058302578401E-2</v>
      </c>
    </row>
  </sheetData>
  <mergeCells count="7">
    <mergeCell ref="D5:D6"/>
    <mergeCell ref="E5:E6"/>
    <mergeCell ref="F5:F6"/>
    <mergeCell ref="A4:H4"/>
    <mergeCell ref="A5:C5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A25" sqref="A25:XFD25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1" t="s">
        <v>35</v>
      </c>
      <c r="B1" s="21" t="s">
        <v>61</v>
      </c>
    </row>
    <row r="2" spans="1:8">
      <c r="A2" s="21" t="s">
        <v>44</v>
      </c>
      <c r="B2" s="17">
        <v>46.07</v>
      </c>
    </row>
    <row r="4" spans="1:8">
      <c r="A4" s="157" t="s">
        <v>44</v>
      </c>
      <c r="B4" s="158"/>
      <c r="C4" s="158"/>
      <c r="D4" s="158"/>
      <c r="E4" s="158"/>
      <c r="F4" s="158"/>
      <c r="G4" s="158"/>
      <c r="H4" s="159"/>
    </row>
    <row r="5" spans="1:8">
      <c r="A5" s="160" t="s">
        <v>62</v>
      </c>
      <c r="B5" s="158"/>
      <c r="C5" s="159"/>
      <c r="D5" s="161" t="s">
        <v>45</v>
      </c>
      <c r="E5" s="161" t="s">
        <v>46</v>
      </c>
      <c r="F5" s="161" t="s">
        <v>47</v>
      </c>
      <c r="G5" s="163" t="s">
        <v>63</v>
      </c>
      <c r="H5" s="163" t="s">
        <v>64</v>
      </c>
    </row>
    <row r="6" spans="1:8">
      <c r="A6" s="22" t="s">
        <v>4</v>
      </c>
      <c r="B6" s="22" t="s">
        <v>60</v>
      </c>
      <c r="C6" s="22" t="s">
        <v>19</v>
      </c>
      <c r="D6" s="162"/>
      <c r="E6" s="162"/>
      <c r="F6" s="162"/>
      <c r="G6" s="164"/>
      <c r="H6" s="164"/>
    </row>
    <row r="7" spans="1:8">
      <c r="A7" s="70">
        <v>0</v>
      </c>
      <c r="B7" s="66">
        <v>0</v>
      </c>
      <c r="C7" s="16">
        <v>2</v>
      </c>
      <c r="D7" s="18">
        <v>0</v>
      </c>
      <c r="E7" s="18">
        <v>0</v>
      </c>
      <c r="F7" s="18">
        <v>0</v>
      </c>
      <c r="G7" s="16">
        <f>(C7*1000*AVERAGE(D7:F7))/$B$2</f>
        <v>0</v>
      </c>
      <c r="H7" s="19">
        <f>(C7*1000*STDEV(D7:F7))/$B$2</f>
        <v>0</v>
      </c>
    </row>
    <row r="8" spans="1:8">
      <c r="A8" s="71">
        <v>0</v>
      </c>
      <c r="B8" s="69">
        <v>0</v>
      </c>
      <c r="C8" s="16">
        <v>2</v>
      </c>
      <c r="D8" s="18">
        <v>0</v>
      </c>
      <c r="E8" s="18">
        <v>0</v>
      </c>
      <c r="F8" s="18">
        <v>0</v>
      </c>
      <c r="G8" s="16">
        <f t="shared" ref="G8:G17" si="0">(C8*1000*AVERAGE(D8:F8))/$B$2</f>
        <v>0</v>
      </c>
      <c r="H8" s="19">
        <f t="shared" ref="H8:H17" si="1">(C8*1000*STDEV(D8:F8))/$B$2</f>
        <v>0</v>
      </c>
    </row>
    <row r="9" spans="1:8">
      <c r="A9" s="71">
        <v>1</v>
      </c>
      <c r="B9" s="69">
        <v>2</v>
      </c>
      <c r="C9" s="16">
        <v>2</v>
      </c>
      <c r="D9" s="18">
        <v>0</v>
      </c>
      <c r="E9" s="18">
        <v>0</v>
      </c>
      <c r="F9" s="18">
        <v>0</v>
      </c>
      <c r="G9" s="16">
        <f t="shared" si="0"/>
        <v>0</v>
      </c>
      <c r="H9" s="19">
        <f t="shared" si="1"/>
        <v>0</v>
      </c>
    </row>
    <row r="10" spans="1:8">
      <c r="A10" s="71">
        <v>2</v>
      </c>
      <c r="B10" s="69">
        <v>3</v>
      </c>
      <c r="C10" s="16">
        <v>2</v>
      </c>
      <c r="D10" s="18">
        <v>0</v>
      </c>
      <c r="E10" s="18">
        <v>0</v>
      </c>
      <c r="F10" s="18">
        <v>0</v>
      </c>
      <c r="G10" s="16">
        <f t="shared" si="0"/>
        <v>0</v>
      </c>
      <c r="H10" s="19">
        <f t="shared" si="1"/>
        <v>0</v>
      </c>
    </row>
    <row r="11" spans="1:8">
      <c r="A11" s="71">
        <v>3</v>
      </c>
      <c r="B11" s="69">
        <v>5</v>
      </c>
      <c r="C11" s="16">
        <v>2</v>
      </c>
      <c r="D11" s="18">
        <v>0</v>
      </c>
      <c r="E11" s="18">
        <v>0</v>
      </c>
      <c r="F11" s="18">
        <v>0</v>
      </c>
      <c r="G11" s="16">
        <f t="shared" si="0"/>
        <v>0</v>
      </c>
      <c r="H11" s="19">
        <f t="shared" si="1"/>
        <v>0</v>
      </c>
    </row>
    <row r="12" spans="1:8">
      <c r="A12" s="71">
        <v>4</v>
      </c>
      <c r="B12" s="69">
        <v>6</v>
      </c>
      <c r="C12" s="16">
        <v>2</v>
      </c>
      <c r="D12" s="18">
        <v>0</v>
      </c>
      <c r="E12" s="18">
        <v>0</v>
      </c>
      <c r="F12" s="18">
        <v>0</v>
      </c>
      <c r="G12" s="16">
        <f t="shared" si="0"/>
        <v>0</v>
      </c>
      <c r="H12" s="19">
        <f t="shared" si="1"/>
        <v>0</v>
      </c>
    </row>
    <row r="13" spans="1:8">
      <c r="A13" s="71">
        <v>5</v>
      </c>
      <c r="B13" s="69">
        <v>7</v>
      </c>
      <c r="C13" s="16">
        <v>2</v>
      </c>
      <c r="D13" s="18">
        <v>0</v>
      </c>
      <c r="E13" s="18">
        <v>0</v>
      </c>
      <c r="F13" s="18">
        <v>0</v>
      </c>
      <c r="G13" s="16">
        <f t="shared" si="0"/>
        <v>0</v>
      </c>
      <c r="H13" s="19">
        <f t="shared" si="1"/>
        <v>0</v>
      </c>
    </row>
    <row r="14" spans="1:8">
      <c r="A14" s="71">
        <v>6</v>
      </c>
      <c r="B14" s="69">
        <v>9</v>
      </c>
      <c r="C14" s="16">
        <v>2</v>
      </c>
      <c r="D14" s="18">
        <v>0</v>
      </c>
      <c r="E14" s="18">
        <v>0</v>
      </c>
      <c r="F14" s="18">
        <v>0</v>
      </c>
      <c r="G14" s="16">
        <f t="shared" si="0"/>
        <v>0</v>
      </c>
      <c r="H14" s="19">
        <f t="shared" si="1"/>
        <v>0</v>
      </c>
    </row>
    <row r="15" spans="1:8">
      <c r="A15" s="71">
        <v>7</v>
      </c>
      <c r="B15" s="69">
        <v>10</v>
      </c>
      <c r="C15" s="16">
        <v>2</v>
      </c>
      <c r="D15" s="18">
        <v>0</v>
      </c>
      <c r="E15" s="18">
        <v>0</v>
      </c>
      <c r="F15" s="18">
        <v>0</v>
      </c>
      <c r="G15" s="16">
        <f t="shared" si="0"/>
        <v>0</v>
      </c>
      <c r="H15" s="19">
        <f t="shared" si="1"/>
        <v>0</v>
      </c>
    </row>
    <row r="16" spans="1:8">
      <c r="A16" s="71">
        <v>8</v>
      </c>
      <c r="B16" s="69">
        <v>11</v>
      </c>
      <c r="C16" s="16">
        <v>2</v>
      </c>
      <c r="D16" s="18">
        <v>0</v>
      </c>
      <c r="E16" s="18">
        <v>0</v>
      </c>
      <c r="F16" s="18">
        <v>0</v>
      </c>
      <c r="G16" s="16">
        <f t="shared" si="0"/>
        <v>0</v>
      </c>
      <c r="H16" s="19">
        <f t="shared" si="1"/>
        <v>0</v>
      </c>
    </row>
    <row r="17" spans="1:8">
      <c r="A17" s="71">
        <v>9</v>
      </c>
      <c r="B17" s="69">
        <v>13</v>
      </c>
      <c r="C17" s="16">
        <v>2</v>
      </c>
      <c r="D17" s="18">
        <v>0</v>
      </c>
      <c r="E17" s="18">
        <v>0</v>
      </c>
      <c r="F17" s="18">
        <v>0</v>
      </c>
      <c r="G17" s="16">
        <f t="shared" si="0"/>
        <v>0</v>
      </c>
      <c r="H17" s="19">
        <f t="shared" si="1"/>
        <v>0</v>
      </c>
    </row>
    <row r="18" spans="1:8">
      <c r="A18" s="71">
        <v>10</v>
      </c>
      <c r="B18" s="69">
        <v>14</v>
      </c>
      <c r="C18" s="16">
        <v>2</v>
      </c>
      <c r="D18" s="18">
        <v>0</v>
      </c>
      <c r="E18" s="18">
        <v>0</v>
      </c>
      <c r="F18" s="18">
        <v>0</v>
      </c>
      <c r="G18" s="16">
        <f t="shared" ref="G18:G23" si="2">(C18*1000*AVERAGE(D18:F18))/$B$2</f>
        <v>0</v>
      </c>
      <c r="H18" s="19">
        <f t="shared" ref="H18:H23" si="3">(C18*1000*STDEV(D18:F18))/$B$2</f>
        <v>0</v>
      </c>
    </row>
    <row r="19" spans="1:8">
      <c r="A19" s="71">
        <v>11</v>
      </c>
      <c r="B19" s="69">
        <v>15</v>
      </c>
      <c r="C19" s="16">
        <v>2</v>
      </c>
      <c r="D19" s="18">
        <v>0</v>
      </c>
      <c r="E19" s="18">
        <v>0</v>
      </c>
      <c r="F19" s="18">
        <v>0</v>
      </c>
      <c r="G19" s="16">
        <f t="shared" si="2"/>
        <v>0</v>
      </c>
      <c r="H19" s="19">
        <f t="shared" si="3"/>
        <v>0</v>
      </c>
    </row>
    <row r="20" spans="1:8">
      <c r="A20" s="71">
        <v>12</v>
      </c>
      <c r="B20" s="69">
        <v>17</v>
      </c>
      <c r="C20" s="16">
        <v>2</v>
      </c>
      <c r="D20" s="18">
        <v>0</v>
      </c>
      <c r="E20" s="18">
        <v>0</v>
      </c>
      <c r="F20" s="18">
        <v>0</v>
      </c>
      <c r="G20" s="16">
        <f t="shared" si="2"/>
        <v>0</v>
      </c>
      <c r="H20" s="19">
        <f t="shared" si="3"/>
        <v>0</v>
      </c>
    </row>
    <row r="21" spans="1:8">
      <c r="A21" s="71">
        <v>13</v>
      </c>
      <c r="B21" s="69">
        <v>18</v>
      </c>
      <c r="C21" s="16">
        <v>2</v>
      </c>
      <c r="D21" s="18">
        <v>0</v>
      </c>
      <c r="E21" s="18">
        <v>0</v>
      </c>
      <c r="F21" s="18">
        <v>0</v>
      </c>
      <c r="G21" s="16">
        <f t="shared" si="2"/>
        <v>0</v>
      </c>
      <c r="H21" s="19">
        <f t="shared" si="3"/>
        <v>0</v>
      </c>
    </row>
    <row r="22" spans="1:8">
      <c r="A22" s="71">
        <v>14</v>
      </c>
      <c r="B22" s="69">
        <v>24</v>
      </c>
      <c r="C22" s="16">
        <v>2</v>
      </c>
      <c r="D22" s="18">
        <v>0</v>
      </c>
      <c r="E22" s="18">
        <v>0</v>
      </c>
      <c r="F22" s="18">
        <v>0</v>
      </c>
      <c r="G22" s="16">
        <f t="shared" si="2"/>
        <v>0</v>
      </c>
      <c r="H22" s="19">
        <f t="shared" si="3"/>
        <v>0</v>
      </c>
    </row>
    <row r="23" spans="1:8">
      <c r="A23" s="71">
        <v>15</v>
      </c>
      <c r="B23" s="69">
        <v>30</v>
      </c>
      <c r="C23" s="16">
        <v>2</v>
      </c>
      <c r="D23" s="18">
        <v>0</v>
      </c>
      <c r="E23" s="18">
        <v>0</v>
      </c>
      <c r="F23" s="18">
        <v>0</v>
      </c>
      <c r="G23" s="16">
        <f t="shared" si="2"/>
        <v>0</v>
      </c>
      <c r="H23" s="19">
        <f t="shared" si="3"/>
        <v>0</v>
      </c>
    </row>
    <row r="24" spans="1:8">
      <c r="A24" s="71">
        <v>16</v>
      </c>
      <c r="B24" s="69">
        <v>48</v>
      </c>
      <c r="C24" s="16">
        <v>3</v>
      </c>
      <c r="D24" s="18">
        <v>0</v>
      </c>
      <c r="E24" s="18">
        <v>0</v>
      </c>
      <c r="F24" s="18">
        <v>0</v>
      </c>
      <c r="G24" s="16">
        <f t="shared" ref="G24" si="4">(C24*1000*AVERAGE(D24:F24))/$B$2</f>
        <v>0</v>
      </c>
      <c r="H24" s="19">
        <f t="shared" ref="H24" si="5">(C24*1000*STDEV(D24:F24))/$B$2</f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E28"/>
  <sheetViews>
    <sheetView workbookViewId="0">
      <selection activeCell="B13" sqref="B13"/>
    </sheetView>
  </sheetViews>
  <sheetFormatPr baseColWidth="10" defaultColWidth="8.83203125" defaultRowHeight="14" x14ac:dyDescent="0"/>
  <cols>
    <col min="1" max="1" width="27" customWidth="1"/>
  </cols>
  <sheetData>
    <row r="1" spans="1:5">
      <c r="B1" s="30" t="s">
        <v>78</v>
      </c>
      <c r="C1" s="30" t="s">
        <v>79</v>
      </c>
    </row>
    <row r="2" spans="1:5">
      <c r="A2" s="30" t="s">
        <v>145</v>
      </c>
      <c r="B2" s="80">
        <f>Metabolites!H4-Metabolites!H20</f>
        <v>50.050746915365885</v>
      </c>
      <c r="C2" s="80">
        <f>Metabolites!I4+Metabolites!I20</f>
        <v>0.1990521839152439</v>
      </c>
      <c r="D2" s="80"/>
    </row>
    <row r="3" spans="1:5">
      <c r="A3" s="30" t="s">
        <v>180</v>
      </c>
      <c r="B3" s="80">
        <f>Metabolites!P20-Metabolites!P4</f>
        <v>49.644617699933335</v>
      </c>
      <c r="C3" s="80">
        <f>Metabolites!Q4+Metabolites!Q20</f>
        <v>1.6283077544553939</v>
      </c>
      <c r="D3" s="80"/>
    </row>
    <row r="4" spans="1:5">
      <c r="A4" s="30" t="s">
        <v>181</v>
      </c>
      <c r="B4" s="80">
        <f>Metabolites!T4-Metabolites!T20</f>
        <v>1.2478445172541099</v>
      </c>
      <c r="C4" s="80">
        <f>Metabolites!U4+Metabolites!U20</f>
        <v>2.5131745393376495E-2</v>
      </c>
      <c r="D4" s="80"/>
    </row>
    <row r="5" spans="1:5">
      <c r="A5" s="30" t="s">
        <v>123</v>
      </c>
      <c r="B5" s="80">
        <f>Metabolites!L20-Metabolites!L4</f>
        <v>2.7227074520389749</v>
      </c>
      <c r="C5" s="80">
        <f>Metabolites!M20+Metabolites!M4</f>
        <v>9.1030915499988679E-2</v>
      </c>
      <c r="D5" s="80"/>
    </row>
    <row r="6" spans="1:5">
      <c r="A6" s="30" t="s">
        <v>124</v>
      </c>
      <c r="B6" s="80">
        <f>Metabolites!L41-Metabolites!L25</f>
        <v>29.420556942040129</v>
      </c>
      <c r="C6" s="80">
        <f>Metabolites!M41+Metabolites!M25</f>
        <v>0.48150069024673275</v>
      </c>
      <c r="D6" s="80"/>
    </row>
    <row r="7" spans="1:5">
      <c r="A7" s="30" t="s">
        <v>80</v>
      </c>
      <c r="B7" s="83">
        <f>'H2'!G101</f>
        <v>29.888455894352067</v>
      </c>
      <c r="C7" s="80"/>
      <c r="D7" s="80"/>
    </row>
    <row r="8" spans="1:5">
      <c r="A8" s="30" t="s">
        <v>81</v>
      </c>
      <c r="B8" s="83">
        <f>'CO2'!G101</f>
        <v>31.257173182807076</v>
      </c>
      <c r="C8" s="80"/>
      <c r="D8" s="80"/>
    </row>
    <row r="9" spans="1:5">
      <c r="A9" s="30" t="s">
        <v>125</v>
      </c>
      <c r="B9" s="80">
        <f>Calculation!G20*1.5/1000</f>
        <v>0.123</v>
      </c>
      <c r="C9" s="80"/>
      <c r="D9" s="80"/>
    </row>
    <row r="10" spans="1:5" ht="16">
      <c r="A10" s="30" t="s">
        <v>126</v>
      </c>
      <c r="B10" s="80">
        <f>Calculation!H20*1.5/1000</f>
        <v>1.7999999999999999E-2</v>
      </c>
      <c r="C10" s="80"/>
      <c r="D10" s="80"/>
    </row>
    <row r="12" spans="1:5">
      <c r="A12" s="30" t="s">
        <v>82</v>
      </c>
      <c r="B12" s="72">
        <f>((4*$B$6)+(3*$B$5)+(2*$B$3)+(B8))/((6*$B$2)+($B$4))</f>
        <v>0.85025627923333191</v>
      </c>
    </row>
    <row r="14" spans="1:5">
      <c r="A14" s="62"/>
      <c r="B14" s="62"/>
      <c r="C14" s="62" t="s">
        <v>127</v>
      </c>
      <c r="D14" s="62" t="s">
        <v>128</v>
      </c>
    </row>
    <row r="15" spans="1:5">
      <c r="A15" s="62" t="s">
        <v>159</v>
      </c>
      <c r="B15" s="62" t="s">
        <v>129</v>
      </c>
      <c r="C15" s="81">
        <f>B2</f>
        <v>50.050746915365885</v>
      </c>
      <c r="D15" s="81">
        <f>B2</f>
        <v>50.050746915365885</v>
      </c>
      <c r="E15" s="62"/>
    </row>
    <row r="16" spans="1:5">
      <c r="A16" s="62" t="s">
        <v>130</v>
      </c>
      <c r="B16" s="62" t="s">
        <v>131</v>
      </c>
      <c r="C16" s="81">
        <f>2*C15</f>
        <v>100.10149383073177</v>
      </c>
      <c r="D16" s="81">
        <f>2*B2</f>
        <v>100.10149383073177</v>
      </c>
      <c r="E16" s="62"/>
    </row>
    <row r="17" spans="1:5">
      <c r="A17" s="62" t="s">
        <v>132</v>
      </c>
      <c r="B17" s="62" t="s">
        <v>133</v>
      </c>
      <c r="C17" s="81">
        <f>B5</f>
        <v>2.7227074520389749</v>
      </c>
      <c r="D17" s="81">
        <f>B5</f>
        <v>2.7227074520389749</v>
      </c>
      <c r="E17" s="62"/>
    </row>
    <row r="18" spans="1:5">
      <c r="A18" s="62" t="s">
        <v>134</v>
      </c>
      <c r="B18" s="62" t="s">
        <v>135</v>
      </c>
      <c r="C18" s="81">
        <f>B4</f>
        <v>1.2478445172541099</v>
      </c>
      <c r="D18" s="81">
        <f>B4</f>
        <v>1.2478445172541099</v>
      </c>
      <c r="E18" s="62"/>
    </row>
    <row r="19" spans="1:5">
      <c r="A19" s="62" t="s">
        <v>155</v>
      </c>
      <c r="B19" s="62" t="s">
        <v>136</v>
      </c>
      <c r="C19" s="82">
        <f>C16-C17-C18</f>
        <v>96.130941861438686</v>
      </c>
      <c r="D19" s="82">
        <f>B8</f>
        <v>31.257173182807076</v>
      </c>
      <c r="E19" s="62"/>
    </row>
    <row r="20" spans="1:5">
      <c r="A20" s="62" t="s">
        <v>158</v>
      </c>
      <c r="B20" s="62" t="s">
        <v>137</v>
      </c>
      <c r="C20" s="83">
        <f>B3</f>
        <v>49.644617699933335</v>
      </c>
      <c r="D20" s="83">
        <f>B3</f>
        <v>49.644617699933335</v>
      </c>
      <c r="E20" s="62"/>
    </row>
    <row r="21" spans="1:5">
      <c r="A21" s="62" t="s">
        <v>156</v>
      </c>
      <c r="B21" s="62" t="s">
        <v>140</v>
      </c>
      <c r="C21" s="83">
        <f>C16-C17+C20</f>
        <v>147.02340407862613</v>
      </c>
      <c r="D21" s="83">
        <f>B6</f>
        <v>29.420556942040129</v>
      </c>
      <c r="E21" s="62"/>
    </row>
    <row r="22" spans="1:5">
      <c r="A22" s="62" t="s">
        <v>157</v>
      </c>
      <c r="B22" s="62" t="s">
        <v>141</v>
      </c>
      <c r="C22" s="82">
        <f>C21/2</f>
        <v>73.511702039313064</v>
      </c>
      <c r="D22" s="82">
        <f>B6</f>
        <v>29.420556942040129</v>
      </c>
      <c r="E22" s="62"/>
    </row>
    <row r="23" spans="1:5">
      <c r="A23" s="62" t="s">
        <v>138</v>
      </c>
      <c r="B23" s="62"/>
      <c r="E23" s="62"/>
    </row>
    <row r="24" spans="1:5">
      <c r="A24" s="62"/>
      <c r="B24" s="62"/>
      <c r="C24" s="63"/>
      <c r="D24" s="63"/>
      <c r="E24" s="62"/>
    </row>
    <row r="25" spans="1:5">
      <c r="A25" s="62"/>
      <c r="B25" s="62"/>
      <c r="C25" s="62"/>
      <c r="D25" s="62"/>
      <c r="E25" s="62"/>
    </row>
    <row r="26" spans="1:5">
      <c r="A26" s="62"/>
      <c r="B26" s="62"/>
      <c r="C26" s="62"/>
      <c r="D26" s="62"/>
      <c r="E26" s="62"/>
    </row>
    <row r="27" spans="1:5">
      <c r="A27" s="62"/>
      <c r="B27" s="62"/>
      <c r="C27" s="62"/>
      <c r="D27" s="62"/>
      <c r="E27" s="62"/>
    </row>
    <row r="28" spans="1:5">
      <c r="C28" s="62"/>
      <c r="D28" s="62"/>
      <c r="E28" s="6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D20" sqref="D20"/>
    </sheetView>
  </sheetViews>
  <sheetFormatPr baseColWidth="10" defaultColWidth="8.83203125" defaultRowHeight="14" x14ac:dyDescent="0"/>
  <cols>
    <col min="1" max="11" width="8.83203125" style="2"/>
    <col min="12" max="12" width="12.83203125" style="2" bestFit="1" customWidth="1"/>
    <col min="13" max="16384" width="8.83203125" style="2"/>
  </cols>
  <sheetData>
    <row r="1" spans="1:19">
      <c r="A1" s="131" t="s">
        <v>4</v>
      </c>
      <c r="B1" s="131" t="s">
        <v>117</v>
      </c>
      <c r="C1" s="131" t="s">
        <v>117</v>
      </c>
      <c r="D1" s="131" t="s">
        <v>5</v>
      </c>
      <c r="E1" s="136" t="s">
        <v>18</v>
      </c>
      <c r="F1" s="136"/>
      <c r="G1" s="136"/>
      <c r="H1" s="136"/>
      <c r="I1" s="136" t="s">
        <v>20</v>
      </c>
      <c r="J1" s="136"/>
      <c r="K1" s="136"/>
      <c r="L1" s="136"/>
      <c r="M1" s="136" t="s">
        <v>21</v>
      </c>
      <c r="N1" s="136"/>
      <c r="O1" s="136"/>
      <c r="P1" s="136"/>
      <c r="Q1" s="37" t="s">
        <v>22</v>
      </c>
      <c r="R1" s="37" t="s">
        <v>22</v>
      </c>
      <c r="S1" s="37" t="s">
        <v>22</v>
      </c>
    </row>
    <row r="2" spans="1:19">
      <c r="A2" s="132"/>
      <c r="B2" s="132"/>
      <c r="C2" s="132"/>
      <c r="D2" s="132"/>
      <c r="E2" s="40" t="s">
        <v>19</v>
      </c>
      <c r="F2" s="40" t="s">
        <v>68</v>
      </c>
      <c r="G2" s="40" t="s">
        <v>118</v>
      </c>
      <c r="H2" s="40" t="s">
        <v>70</v>
      </c>
      <c r="I2" s="40" t="s">
        <v>19</v>
      </c>
      <c r="J2" s="40" t="s">
        <v>68</v>
      </c>
      <c r="K2" s="40" t="s">
        <v>69</v>
      </c>
      <c r="L2" s="40" t="s">
        <v>70</v>
      </c>
      <c r="M2" s="40" t="s">
        <v>19</v>
      </c>
      <c r="N2" s="40" t="s">
        <v>68</v>
      </c>
      <c r="O2" s="40" t="s">
        <v>69</v>
      </c>
      <c r="P2" s="40" t="s">
        <v>71</v>
      </c>
      <c r="Q2" s="38" t="s">
        <v>70</v>
      </c>
      <c r="R2" s="38" t="s">
        <v>23</v>
      </c>
      <c r="S2" s="38" t="s">
        <v>72</v>
      </c>
    </row>
    <row r="3" spans="1:19" s="6" customFormat="1">
      <c r="A3" s="64" t="s">
        <v>6</v>
      </c>
      <c r="B3" s="65">
        <v>-10</v>
      </c>
      <c r="C3" s="65">
        <v>-10</v>
      </c>
      <c r="D3" s="13">
        <f>C3/60</f>
        <v>-0.16666666666666666</v>
      </c>
      <c r="Q3" s="133"/>
      <c r="R3" s="134"/>
      <c r="S3" s="135"/>
    </row>
    <row r="4" spans="1:19">
      <c r="A4" s="67">
        <v>0</v>
      </c>
      <c r="B4" s="68">
        <v>10</v>
      </c>
      <c r="C4" s="68">
        <v>10</v>
      </c>
      <c r="D4" s="13">
        <f t="shared" ref="D4:D18" si="0">C4/60</f>
        <v>0.16666666666666666</v>
      </c>
      <c r="Q4" s="44" t="e">
        <f>AVERAGE('Flow cytometer'!P4,'Flow cytometer'!L4,'Flow cytometer'!H4)*Calculation!K4/Calculation!M3</f>
        <v>#DIV/0!</v>
      </c>
      <c r="R4" s="44" t="e">
        <f>STDEV('Flow cytometer'!P4,'Flow cytometer'!L4,'Flow cytometer'!H4)*Calculation!K4/Calculation!M3</f>
        <v>#DIV/0!</v>
      </c>
      <c r="S4" s="45" t="e">
        <f t="shared" ref="S4:S19" si="1">LOG(Q4)</f>
        <v>#DIV/0!</v>
      </c>
    </row>
    <row r="5" spans="1:19">
      <c r="A5" s="67">
        <v>1</v>
      </c>
      <c r="B5" s="68">
        <v>110</v>
      </c>
      <c r="C5" s="68">
        <v>120</v>
      </c>
      <c r="D5" s="13">
        <f t="shared" si="0"/>
        <v>2</v>
      </c>
      <c r="Q5" s="44" t="e">
        <f>AVERAGE('Flow cytometer'!P5,'Flow cytometer'!L5,'Flow cytometer'!H5)*Calculation!K5/Calculation!M4</f>
        <v>#DIV/0!</v>
      </c>
      <c r="R5" s="44" t="e">
        <f>STDEV('Flow cytometer'!P5,'Flow cytometer'!L5,'Flow cytometer'!H5)*Calculation!K5/Calculation!M4</f>
        <v>#DIV/0!</v>
      </c>
      <c r="S5" s="45" t="e">
        <f t="shared" si="1"/>
        <v>#DIV/0!</v>
      </c>
    </row>
    <row r="6" spans="1:19">
      <c r="A6" s="67">
        <v>2</v>
      </c>
      <c r="B6" s="68">
        <v>80</v>
      </c>
      <c r="C6" s="68">
        <v>200</v>
      </c>
      <c r="D6" s="13">
        <f t="shared" si="0"/>
        <v>3.3333333333333335</v>
      </c>
      <c r="Q6" s="44" t="e">
        <f>AVERAGE('Flow cytometer'!P6,'Flow cytometer'!L6,'Flow cytometer'!H6)*Calculation!K6/Calculation!M5</f>
        <v>#DIV/0!</v>
      </c>
      <c r="R6" s="44" t="e">
        <f>STDEV('Flow cytometer'!P6,'Flow cytometer'!L6,'Flow cytometer'!H6)*Calculation!K6/Calculation!M5</f>
        <v>#DIV/0!</v>
      </c>
      <c r="S6" s="45" t="e">
        <f t="shared" si="1"/>
        <v>#DIV/0!</v>
      </c>
    </row>
    <row r="7" spans="1:19">
      <c r="A7" s="67">
        <v>3</v>
      </c>
      <c r="B7" s="68">
        <v>80</v>
      </c>
      <c r="C7" s="68">
        <v>280</v>
      </c>
      <c r="D7" s="13">
        <f t="shared" si="0"/>
        <v>4.666666666666667</v>
      </c>
      <c r="Q7" s="44" t="e">
        <f>AVERAGE('Flow cytometer'!P7,'Flow cytometer'!L7,'Flow cytometer'!H7)*Calculation!K7/Calculation!M6</f>
        <v>#DIV/0!</v>
      </c>
      <c r="R7" s="44" t="e">
        <f>STDEV('Flow cytometer'!P7,'Flow cytometer'!L7,'Flow cytometer'!H7)*Calculation!K7/Calculation!M6</f>
        <v>#DIV/0!</v>
      </c>
      <c r="S7" s="45" t="e">
        <f t="shared" si="1"/>
        <v>#DIV/0!</v>
      </c>
    </row>
    <row r="8" spans="1:19">
      <c r="A8" s="67">
        <v>4</v>
      </c>
      <c r="B8" s="68">
        <v>80</v>
      </c>
      <c r="C8" s="68">
        <v>360</v>
      </c>
      <c r="D8" s="13">
        <f t="shared" si="0"/>
        <v>6</v>
      </c>
      <c r="Q8" s="44" t="e">
        <f>AVERAGE('Flow cytometer'!P8,'Flow cytometer'!L8,'Flow cytometer'!H8)*Calculation!K8/Calculation!M7</f>
        <v>#DIV/0!</v>
      </c>
      <c r="R8" s="44" t="e">
        <f>STDEV('Flow cytometer'!P8,'Flow cytometer'!L8,'Flow cytometer'!H8)*Calculation!K8/Calculation!M7</f>
        <v>#DIV/0!</v>
      </c>
      <c r="S8" s="45" t="e">
        <f t="shared" si="1"/>
        <v>#DIV/0!</v>
      </c>
    </row>
    <row r="9" spans="1:19">
      <c r="A9" s="67">
        <v>5</v>
      </c>
      <c r="B9" s="68">
        <v>80</v>
      </c>
      <c r="C9" s="68">
        <v>440</v>
      </c>
      <c r="D9" s="13">
        <f t="shared" si="0"/>
        <v>7.333333333333333</v>
      </c>
      <c r="Q9" s="44" t="e">
        <f>AVERAGE('Flow cytometer'!P9,'Flow cytometer'!L9,'Flow cytometer'!H9)*Calculation!K9/Calculation!M8</f>
        <v>#DIV/0!</v>
      </c>
      <c r="R9" s="44" t="e">
        <f>STDEV('Flow cytometer'!P9,'Flow cytometer'!L9,'Flow cytometer'!H9)*Calculation!K9/Calculation!M8</f>
        <v>#DIV/0!</v>
      </c>
      <c r="S9" s="45" t="e">
        <f t="shared" si="1"/>
        <v>#DIV/0!</v>
      </c>
    </row>
    <row r="10" spans="1:19">
      <c r="A10" s="67">
        <v>6</v>
      </c>
      <c r="B10" s="68">
        <v>80</v>
      </c>
      <c r="C10" s="68">
        <v>520</v>
      </c>
      <c r="D10" s="13">
        <f t="shared" si="0"/>
        <v>8.6666666666666661</v>
      </c>
      <c r="Q10" s="44" t="e">
        <f>AVERAGE('Flow cytometer'!P10,'Flow cytometer'!L10,'Flow cytometer'!H10)*Calculation!K10/Calculation!M9</f>
        <v>#DIV/0!</v>
      </c>
      <c r="R10" s="44" t="e">
        <f>STDEV('Flow cytometer'!P10,'Flow cytometer'!L10,'Flow cytometer'!H10)*Calculation!K10/Calculation!M9</f>
        <v>#DIV/0!</v>
      </c>
      <c r="S10" s="45" t="e">
        <f t="shared" si="1"/>
        <v>#DIV/0!</v>
      </c>
    </row>
    <row r="11" spans="1:19">
      <c r="A11" s="67">
        <v>7</v>
      </c>
      <c r="B11" s="68">
        <v>80</v>
      </c>
      <c r="C11" s="68">
        <v>600</v>
      </c>
      <c r="D11" s="13">
        <f t="shared" si="0"/>
        <v>10</v>
      </c>
      <c r="Q11" s="44" t="e">
        <f>AVERAGE('Flow cytometer'!P11,'Flow cytometer'!L11,'Flow cytometer'!H11)*Calculation!K11/Calculation!M10</f>
        <v>#DIV/0!</v>
      </c>
      <c r="R11" s="44" t="e">
        <f>STDEV('Flow cytometer'!P11,'Flow cytometer'!L11,'Flow cytometer'!H11)*Calculation!K11/Calculation!M10</f>
        <v>#DIV/0!</v>
      </c>
      <c r="S11" s="45" t="e">
        <f t="shared" si="1"/>
        <v>#DIV/0!</v>
      </c>
    </row>
    <row r="12" spans="1:19">
      <c r="A12" s="67">
        <v>8</v>
      </c>
      <c r="B12" s="68">
        <v>80</v>
      </c>
      <c r="C12" s="68">
        <v>680</v>
      </c>
      <c r="D12" s="13">
        <f t="shared" si="0"/>
        <v>11.333333333333334</v>
      </c>
      <c r="Q12" s="44" t="e">
        <f>AVERAGE('Flow cytometer'!P12,'Flow cytometer'!L12,'Flow cytometer'!H12)*Calculation!K12/Calculation!M11</f>
        <v>#DIV/0!</v>
      </c>
      <c r="R12" s="44" t="e">
        <f>STDEV('Flow cytometer'!P12,'Flow cytometer'!L12,'Flow cytometer'!H12)*Calculation!K12/Calculation!M11</f>
        <v>#DIV/0!</v>
      </c>
      <c r="S12" s="45" t="e">
        <f t="shared" si="1"/>
        <v>#DIV/0!</v>
      </c>
    </row>
    <row r="13" spans="1:19">
      <c r="A13" s="67">
        <v>9</v>
      </c>
      <c r="B13" s="68">
        <v>80</v>
      </c>
      <c r="C13" s="68">
        <v>760</v>
      </c>
      <c r="D13" s="13">
        <f>C13/60</f>
        <v>12.666666666666666</v>
      </c>
      <c r="Q13" s="44" t="e">
        <f>AVERAGE('Flow cytometer'!P13,'Flow cytometer'!L13,'Flow cytometer'!H13)*Calculation!K13/Calculation!M12</f>
        <v>#DIV/0!</v>
      </c>
      <c r="R13" s="44" t="e">
        <f>STDEV('Flow cytometer'!P13,'Flow cytometer'!L13,'Flow cytometer'!H13)*Calculation!K13/Calculation!M12</f>
        <v>#DIV/0!</v>
      </c>
      <c r="S13" s="45" t="e">
        <f t="shared" si="1"/>
        <v>#DIV/0!</v>
      </c>
    </row>
    <row r="14" spans="1:19">
      <c r="A14" s="67">
        <v>10</v>
      </c>
      <c r="B14" s="68">
        <v>80</v>
      </c>
      <c r="C14" s="68">
        <v>840</v>
      </c>
      <c r="D14" s="13">
        <f t="shared" si="0"/>
        <v>14</v>
      </c>
      <c r="Q14" s="44" t="e">
        <f>AVERAGE('Flow cytometer'!P14,'Flow cytometer'!L14,'Flow cytometer'!H14)*Calculation!K14/Calculation!M13</f>
        <v>#DIV/0!</v>
      </c>
      <c r="R14" s="44" t="e">
        <f>STDEV('Flow cytometer'!P14,'Flow cytometer'!L14,'Flow cytometer'!H14)*Calculation!K14/Calculation!M13</f>
        <v>#DIV/0!</v>
      </c>
      <c r="S14" s="45" t="e">
        <f t="shared" si="1"/>
        <v>#DIV/0!</v>
      </c>
    </row>
    <row r="15" spans="1:19">
      <c r="A15" s="67">
        <v>11</v>
      </c>
      <c r="B15" s="68">
        <v>80</v>
      </c>
      <c r="C15" s="68">
        <v>920</v>
      </c>
      <c r="D15" s="13">
        <f t="shared" si="0"/>
        <v>15.333333333333334</v>
      </c>
      <c r="Q15" s="44" t="e">
        <f>AVERAGE('Flow cytometer'!P15,'Flow cytometer'!L15,'Flow cytometer'!H15)*Calculation!K15/Calculation!M14</f>
        <v>#DIV/0!</v>
      </c>
      <c r="R15" s="44" t="e">
        <f>STDEV('Flow cytometer'!P15,'Flow cytometer'!L15,'Flow cytometer'!H15)*Calculation!K15/Calculation!M14</f>
        <v>#DIV/0!</v>
      </c>
      <c r="S15" s="45" t="e">
        <f t="shared" si="1"/>
        <v>#DIV/0!</v>
      </c>
    </row>
    <row r="16" spans="1:19">
      <c r="A16" s="67">
        <v>12</v>
      </c>
      <c r="B16" s="68">
        <v>80</v>
      </c>
      <c r="C16" s="68">
        <v>1000</v>
      </c>
      <c r="D16" s="13">
        <f t="shared" si="0"/>
        <v>16.666666666666668</v>
      </c>
      <c r="Q16" s="44" t="e">
        <f>AVERAGE('Flow cytometer'!P16,'Flow cytometer'!L16,'Flow cytometer'!H16)*Calculation!K16/Calculation!M15</f>
        <v>#DIV/0!</v>
      </c>
      <c r="R16" s="44" t="e">
        <f>STDEV('Flow cytometer'!P16,'Flow cytometer'!L16,'Flow cytometer'!H16)*Calculation!K16/Calculation!M15</f>
        <v>#DIV/0!</v>
      </c>
      <c r="S16" s="45" t="e">
        <f t="shared" si="1"/>
        <v>#DIV/0!</v>
      </c>
    </row>
    <row r="17" spans="1:19">
      <c r="A17" s="67">
        <v>13</v>
      </c>
      <c r="B17" s="68">
        <v>80</v>
      </c>
      <c r="C17" s="68">
        <v>1080</v>
      </c>
      <c r="D17" s="13">
        <f t="shared" si="0"/>
        <v>18</v>
      </c>
      <c r="Q17" s="44" t="e">
        <f>AVERAGE('Flow cytometer'!P17,'Flow cytometer'!L17,'Flow cytometer'!H17)*Calculation!K17/Calculation!M16</f>
        <v>#DIV/0!</v>
      </c>
      <c r="R17" s="44" t="e">
        <f>STDEV('Flow cytometer'!P17,'Flow cytometer'!L17,'Flow cytometer'!H17)*Calculation!K17/Calculation!M16</f>
        <v>#DIV/0!</v>
      </c>
      <c r="S17" s="45" t="e">
        <f t="shared" si="1"/>
        <v>#DIV/0!</v>
      </c>
    </row>
    <row r="18" spans="1:19">
      <c r="A18" s="67">
        <v>14</v>
      </c>
      <c r="B18" s="68">
        <v>360</v>
      </c>
      <c r="C18" s="68">
        <v>1440</v>
      </c>
      <c r="D18" s="13">
        <f t="shared" si="0"/>
        <v>24</v>
      </c>
      <c r="Q18" s="44" t="e">
        <f>AVERAGE('Flow cytometer'!P18,'Flow cytometer'!L18,'Flow cytometer'!H18)*Calculation!K18/Calculation!M17</f>
        <v>#DIV/0!</v>
      </c>
      <c r="R18" s="44" t="e">
        <f>STDEV('Flow cytometer'!P18,'Flow cytometer'!L18,'Flow cytometer'!H18)*Calculation!K18/Calculation!M17</f>
        <v>#DIV/0!</v>
      </c>
      <c r="S18" s="45" t="e">
        <f t="shared" si="1"/>
        <v>#DIV/0!</v>
      </c>
    </row>
    <row r="19" spans="1:19">
      <c r="A19" s="67">
        <v>15</v>
      </c>
      <c r="B19" s="68">
        <v>375</v>
      </c>
      <c r="C19" s="68">
        <v>1815</v>
      </c>
      <c r="D19" s="13">
        <f>C19/60</f>
        <v>30.25</v>
      </c>
      <c r="Q19" s="44" t="e">
        <f>AVERAGE('Flow cytometer'!P19,'Flow cytometer'!L19,'Flow cytometer'!H19)*Calculation!K19/Calculation!M18</f>
        <v>#DIV/0!</v>
      </c>
      <c r="R19" s="44" t="e">
        <f>STDEV('Flow cytometer'!P19,'Flow cytometer'!L19,'Flow cytometer'!H19)*Calculation!K19/Calculation!M18</f>
        <v>#DIV/0!</v>
      </c>
      <c r="S19" s="45" t="e">
        <f t="shared" si="1"/>
        <v>#DIV/0!</v>
      </c>
    </row>
    <row r="20" spans="1:19">
      <c r="A20" s="67">
        <v>16</v>
      </c>
      <c r="B20" s="68">
        <v>1065</v>
      </c>
      <c r="C20" s="68">
        <v>2880</v>
      </c>
      <c r="D20" s="13">
        <f t="shared" ref="D20" si="2">C20/60</f>
        <v>48</v>
      </c>
      <c r="Q20" s="44" t="e">
        <f>AVERAGE('Flow cytometer'!P20,'Flow cytometer'!L20,'Flow cytometer'!H20)*Calculation!K20/Calculation!M19</f>
        <v>#DIV/0!</v>
      </c>
      <c r="R20" s="44" t="e">
        <f>STDEV('Flow cytometer'!P20,'Flow cytometer'!L20,'Flow cytometer'!H20)*Calculation!K20/Calculation!M19</f>
        <v>#DIV/0!</v>
      </c>
      <c r="S20" s="45" t="e">
        <f t="shared" ref="S20" si="3">LOG(Q20)</f>
        <v>#DIV/0!</v>
      </c>
    </row>
  </sheetData>
  <mergeCells count="8">
    <mergeCell ref="Q3:S3"/>
    <mergeCell ref="A1:A2"/>
    <mergeCell ref="B1:B2"/>
    <mergeCell ref="C1:C2"/>
    <mergeCell ref="D1:D2"/>
    <mergeCell ref="E1:H1"/>
    <mergeCell ref="I1:L1"/>
    <mergeCell ref="M1:P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X20"/>
  <sheetViews>
    <sheetView workbookViewId="0">
      <selection activeCell="D10" sqref="D10:O10"/>
    </sheetView>
  </sheetViews>
  <sheetFormatPr baseColWidth="10" defaultColWidth="8.83203125" defaultRowHeight="14" x14ac:dyDescent="0"/>
  <cols>
    <col min="17" max="17" width="9.1640625" bestFit="1" customWidth="1"/>
    <col min="19" max="20" width="14.83203125" bestFit="1" customWidth="1"/>
  </cols>
  <sheetData>
    <row r="1" spans="1:24">
      <c r="A1" s="131" t="s">
        <v>4</v>
      </c>
      <c r="B1" s="131" t="s">
        <v>117</v>
      </c>
      <c r="C1" s="131" t="s">
        <v>117</v>
      </c>
      <c r="D1" s="131" t="s">
        <v>5</v>
      </c>
      <c r="E1" s="130" t="s">
        <v>119</v>
      </c>
      <c r="F1" s="130"/>
      <c r="G1" s="130"/>
      <c r="H1" s="130"/>
      <c r="I1" s="130" t="s">
        <v>120</v>
      </c>
      <c r="J1" s="130"/>
      <c r="K1" s="130"/>
      <c r="L1" s="130"/>
      <c r="M1" s="130" t="s">
        <v>121</v>
      </c>
      <c r="N1" s="130"/>
      <c r="O1" s="130"/>
      <c r="P1" s="130"/>
      <c r="Q1" s="24" t="s">
        <v>122</v>
      </c>
      <c r="R1" s="24" t="s">
        <v>122</v>
      </c>
      <c r="S1" s="24" t="s">
        <v>122</v>
      </c>
      <c r="T1" s="60" t="s">
        <v>122</v>
      </c>
      <c r="U1" s="76" t="s">
        <v>119</v>
      </c>
      <c r="V1" s="76" t="s">
        <v>120</v>
      </c>
      <c r="W1" s="76" t="s">
        <v>121</v>
      </c>
      <c r="X1" s="76" t="s">
        <v>122</v>
      </c>
    </row>
    <row r="2" spans="1:24">
      <c r="A2" s="132"/>
      <c r="B2" s="132"/>
      <c r="C2" s="132"/>
      <c r="D2" s="132"/>
      <c r="E2" s="23" t="s">
        <v>19</v>
      </c>
      <c r="F2" s="23" t="s">
        <v>68</v>
      </c>
      <c r="G2" s="23" t="s">
        <v>69</v>
      </c>
      <c r="H2" s="23" t="s">
        <v>70</v>
      </c>
      <c r="I2" s="23" t="s">
        <v>19</v>
      </c>
      <c r="J2" s="23" t="s">
        <v>68</v>
      </c>
      <c r="K2" s="23" t="s">
        <v>69</v>
      </c>
      <c r="L2" s="23" t="s">
        <v>70</v>
      </c>
      <c r="M2" s="23" t="s">
        <v>19</v>
      </c>
      <c r="N2" s="23" t="s">
        <v>68</v>
      </c>
      <c r="O2" s="23" t="s">
        <v>69</v>
      </c>
      <c r="P2" s="23" t="s">
        <v>71</v>
      </c>
      <c r="Q2" s="25" t="s">
        <v>70</v>
      </c>
      <c r="R2" s="25" t="s">
        <v>23</v>
      </c>
      <c r="S2" s="25" t="s">
        <v>72</v>
      </c>
      <c r="T2" s="61" t="s">
        <v>139</v>
      </c>
      <c r="U2" s="77" t="s">
        <v>150</v>
      </c>
      <c r="V2" s="77" t="s">
        <v>150</v>
      </c>
      <c r="W2" s="77" t="s">
        <v>150</v>
      </c>
      <c r="X2" s="77" t="s">
        <v>151</v>
      </c>
    </row>
    <row r="3" spans="1:24">
      <c r="A3" s="64" t="s">
        <v>6</v>
      </c>
      <c r="B3" s="65">
        <v>-10</v>
      </c>
      <c r="C3" s="65">
        <v>-10</v>
      </c>
      <c r="D3" s="13">
        <f>C3/60</f>
        <v>-0.16666666666666666</v>
      </c>
      <c r="E3" s="42" t="s">
        <v>101</v>
      </c>
      <c r="F3" s="42" t="s">
        <v>101</v>
      </c>
      <c r="G3" s="42" t="s">
        <v>101</v>
      </c>
      <c r="H3" s="43" t="s">
        <v>101</v>
      </c>
      <c r="I3" s="42" t="s">
        <v>101</v>
      </c>
      <c r="J3" s="42" t="s">
        <v>101</v>
      </c>
      <c r="K3" s="42" t="s">
        <v>101</v>
      </c>
      <c r="L3" s="43" t="s">
        <v>101</v>
      </c>
      <c r="M3" s="42" t="s">
        <v>101</v>
      </c>
      <c r="N3" s="42" t="s">
        <v>101</v>
      </c>
      <c r="O3" s="42" t="s">
        <v>101</v>
      </c>
      <c r="P3" s="43" t="s">
        <v>101</v>
      </c>
      <c r="Q3" s="137" t="s">
        <v>101</v>
      </c>
      <c r="R3" s="138"/>
      <c r="S3" s="139"/>
      <c r="T3" s="75"/>
      <c r="U3" s="43" t="s">
        <v>101</v>
      </c>
      <c r="V3" s="43" t="s">
        <v>101</v>
      </c>
      <c r="W3" s="43" t="s">
        <v>101</v>
      </c>
      <c r="X3" s="43" t="s">
        <v>101</v>
      </c>
    </row>
    <row r="4" spans="1:24">
      <c r="A4" s="67">
        <v>0</v>
      </c>
      <c r="B4" s="68">
        <v>10</v>
      </c>
      <c r="C4" s="68">
        <v>10</v>
      </c>
      <c r="D4" s="13">
        <f t="shared" ref="D4:D18" si="0">C4/60</f>
        <v>0.16666666666666666</v>
      </c>
      <c r="E4" s="31">
        <v>2</v>
      </c>
      <c r="F4" s="31">
        <v>3272</v>
      </c>
      <c r="G4" s="31">
        <v>7</v>
      </c>
      <c r="H4" s="43">
        <f>('Flow cytometer'!F4/'Flow cytometer'!G4)*POWER(10,'Flow cytometer'!E4+2)*10.2</f>
        <v>47677714.285714284</v>
      </c>
      <c r="I4" s="31">
        <v>2</v>
      </c>
      <c r="J4" s="31">
        <v>3478</v>
      </c>
      <c r="K4" s="31">
        <v>7</v>
      </c>
      <c r="L4" s="43">
        <f>('Flow cytometer'!J4/'Flow cytometer'!K4)*POWER(10,'Flow cytometer'!I4+2)*10.2</f>
        <v>50679428.571428567</v>
      </c>
      <c r="M4" s="31">
        <v>2</v>
      </c>
      <c r="N4" s="31">
        <v>3412</v>
      </c>
      <c r="O4" s="31">
        <v>7</v>
      </c>
      <c r="P4" s="43">
        <f>('Flow cytometer'!N4/'Flow cytometer'!O4)*POWER(10,'Flow cytometer'!M4+2)*10.2</f>
        <v>49717714.285714284</v>
      </c>
      <c r="Q4" s="46">
        <f>AVERAGE(H4,L4,P4)*Calculation!I4/Calculation!K3</f>
        <v>49448637.028420098</v>
      </c>
      <c r="R4" s="47">
        <f>STDEV(H4,L4,P4)*Calculation!I4/Calculation!K3</f>
        <v>1535601.8979466979</v>
      </c>
      <c r="S4" s="48">
        <f>LOG(Q4)</f>
        <v>7.6941543254742726</v>
      </c>
      <c r="T4" s="74">
        <f>LN(Q4)</f>
        <v>17.716445053032718</v>
      </c>
      <c r="U4" s="48">
        <f>LOG(H4)</f>
        <v>7.6783154267469458</v>
      </c>
      <c r="V4" s="48">
        <f>LOG(L4)</f>
        <v>7.7048317094143544</v>
      </c>
      <c r="W4" s="48">
        <f>LOG(P4)</f>
        <v>7.6965111542431464</v>
      </c>
      <c r="X4" s="48">
        <f xml:space="preserve"> STDEV(U4:W4)*Calculation!I4/Calculation!K3</f>
        <v>1.3585977941641552E-2</v>
      </c>
    </row>
    <row r="5" spans="1:24">
      <c r="A5" s="67">
        <v>1</v>
      </c>
      <c r="B5" s="68">
        <v>110</v>
      </c>
      <c r="C5" s="68">
        <v>120</v>
      </c>
      <c r="D5" s="13">
        <f t="shared" si="0"/>
        <v>2</v>
      </c>
      <c r="E5" s="31">
        <v>2</v>
      </c>
      <c r="F5" s="31">
        <v>5766</v>
      </c>
      <c r="G5" s="31">
        <v>7</v>
      </c>
      <c r="H5" s="43">
        <f>('Flow cytometer'!F5/'Flow cytometer'!G5)*POWER(10,'Flow cytometer'!E5+2)*10.2</f>
        <v>84018857.142857134</v>
      </c>
      <c r="I5" s="31">
        <v>2</v>
      </c>
      <c r="J5" s="31">
        <v>5760</v>
      </c>
      <c r="K5" s="31">
        <v>7</v>
      </c>
      <c r="L5" s="43">
        <f>('Flow cytometer'!J5/'Flow cytometer'!K5)*POWER(10,'Flow cytometer'!I5+2)*10.2</f>
        <v>83931428.571428567</v>
      </c>
      <c r="M5" s="31">
        <v>2</v>
      </c>
      <c r="N5" s="31">
        <v>6052</v>
      </c>
      <c r="O5" s="31">
        <v>7</v>
      </c>
      <c r="P5" s="43">
        <f>('Flow cytometer'!N5/'Flow cytometer'!O5)*POWER(10,'Flow cytometer'!M5+2)*10.2</f>
        <v>88186285.714285702</v>
      </c>
      <c r="Q5" s="46">
        <f>AVERAGE(H5,L5,P5)*Calculation!I5/Calculation!K4</f>
        <v>85590151.346434996</v>
      </c>
      <c r="R5" s="47">
        <f>STDEV(H5,L5,P5)*Calculation!I5/Calculation!K4</f>
        <v>2437715.3418485946</v>
      </c>
      <c r="S5" s="48">
        <f t="shared" ref="S5:S19" si="1">LOG(Q5)</f>
        <v>7.9324237943270068</v>
      </c>
      <c r="T5" s="48">
        <f t="shared" ref="T5:T19" si="2">LN(Q5)</f>
        <v>18.265080780128631</v>
      </c>
      <c r="U5" s="48">
        <f t="shared" ref="U5:U20" si="3">LOG(H5)</f>
        <v>7.9243767697998493</v>
      </c>
      <c r="V5" s="48">
        <f t="shared" ref="V5:V20" si="4">LOG(L5)</f>
        <v>7.9239246151708729</v>
      </c>
      <c r="W5" s="48">
        <f t="shared" ref="W5:W20" si="5">LOG(P5)</f>
        <v>7.94540105109881</v>
      </c>
      <c r="X5" s="48">
        <f xml:space="preserve"> STDEV(U5:W5)*Calculation!I5/Calculation!K4</f>
        <v>1.230135106538457E-2</v>
      </c>
    </row>
    <row r="6" spans="1:24">
      <c r="A6" s="67">
        <v>2</v>
      </c>
      <c r="B6" s="68">
        <v>80</v>
      </c>
      <c r="C6" s="68">
        <v>200</v>
      </c>
      <c r="D6" s="13">
        <f t="shared" si="0"/>
        <v>3.3333333333333335</v>
      </c>
      <c r="E6" s="31">
        <v>2</v>
      </c>
      <c r="F6" s="31">
        <v>10099</v>
      </c>
      <c r="G6" s="31">
        <v>7</v>
      </c>
      <c r="H6" s="43">
        <f>('Flow cytometer'!F6/'Flow cytometer'!G6)*POWER(10,'Flow cytometer'!E6+2)*10.2</f>
        <v>147156857.14285713</v>
      </c>
      <c r="I6" s="31">
        <v>2</v>
      </c>
      <c r="J6" s="31">
        <v>10675</v>
      </c>
      <c r="K6" s="31">
        <v>7</v>
      </c>
      <c r="L6" s="43">
        <f>('Flow cytometer'!J6/'Flow cytometer'!K6)*POWER(10,'Flow cytometer'!I6+2)*10.2</f>
        <v>155550000</v>
      </c>
      <c r="M6" s="31">
        <v>2</v>
      </c>
      <c r="N6" s="31">
        <v>11579</v>
      </c>
      <c r="O6" s="31">
        <v>7</v>
      </c>
      <c r="P6" s="43">
        <f>('Flow cytometer'!N6/'Flow cytometer'!O6)*POWER(10,'Flow cytometer'!M6+2)*10.2</f>
        <v>168722571.4285714</v>
      </c>
      <c r="Q6" s="46">
        <f>AVERAGE(H6,L6,P6)*Calculation!I6/Calculation!K5</f>
        <v>157636571.68050623</v>
      </c>
      <c r="R6" s="47">
        <f>STDEV(H6,L6,P6)*Calculation!I6/Calculation!K5</f>
        <v>10904901.676696757</v>
      </c>
      <c r="S6" s="48">
        <f t="shared" si="1"/>
        <v>8.1976569811515159</v>
      </c>
      <c r="T6" s="48">
        <f t="shared" si="2"/>
        <v>18.875802762278052</v>
      </c>
      <c r="U6" s="48">
        <f t="shared" si="3"/>
        <v>8.1677805039478226</v>
      </c>
      <c r="V6" s="48">
        <f t="shared" si="4"/>
        <v>8.1918700154447226</v>
      </c>
      <c r="W6" s="48">
        <f t="shared" si="5"/>
        <v>8.2271731856783781</v>
      </c>
      <c r="X6" s="48">
        <f xml:space="preserve"> STDEV(U6:W6)*Calculation!I6/Calculation!K5</f>
        <v>2.9966051863920044E-2</v>
      </c>
    </row>
    <row r="7" spans="1:24">
      <c r="A7" s="67">
        <v>3</v>
      </c>
      <c r="B7" s="68">
        <v>80</v>
      </c>
      <c r="C7" s="68">
        <v>280</v>
      </c>
      <c r="D7" s="13">
        <f t="shared" si="0"/>
        <v>4.666666666666667</v>
      </c>
      <c r="E7" s="31">
        <v>2</v>
      </c>
      <c r="F7" s="31">
        <v>27770</v>
      </c>
      <c r="G7" s="31">
        <v>7</v>
      </c>
      <c r="H7" s="43">
        <f>('Flow cytometer'!F7/'Flow cytometer'!G7)*POWER(10,'Flow cytometer'!E7+2)*10.2</f>
        <v>404648571.42857146</v>
      </c>
      <c r="I7" s="31">
        <v>2</v>
      </c>
      <c r="J7" s="31">
        <v>29312</v>
      </c>
      <c r="K7" s="31">
        <v>7</v>
      </c>
      <c r="L7" s="43">
        <f>('Flow cytometer'!J7/'Flow cytometer'!K7)*POWER(10,'Flow cytometer'!I7+2)*10.2</f>
        <v>427117714.28571427</v>
      </c>
      <c r="M7" s="31">
        <v>2</v>
      </c>
      <c r="N7" s="31">
        <v>28789</v>
      </c>
      <c r="O7" s="31">
        <v>7</v>
      </c>
      <c r="P7" s="43">
        <f>('Flow cytometer'!N7/'Flow cytometer'!O7)*POWER(10,'Flow cytometer'!M7+2)*10.2</f>
        <v>419496857.14285707</v>
      </c>
      <c r="Q7" s="46">
        <f>AVERAGE(H7,L7,P7)*Calculation!I7/Calculation!K6</f>
        <v>419831217.78357911</v>
      </c>
      <c r="R7" s="47">
        <f>STDEV(H7,L7,P7)*Calculation!I7/Calculation!K6</f>
        <v>11501822.434454869</v>
      </c>
      <c r="S7" s="48">
        <f t="shared" si="1"/>
        <v>8.6230747286891436</v>
      </c>
      <c r="T7" s="48">
        <f t="shared" si="2"/>
        <v>19.855363326053297</v>
      </c>
      <c r="U7" s="48">
        <f t="shared" si="3"/>
        <v>8.6070780114979186</v>
      </c>
      <c r="V7" s="48">
        <f t="shared" si="4"/>
        <v>8.6305475837354173</v>
      </c>
      <c r="W7" s="48">
        <f t="shared" si="5"/>
        <v>8.6227287114564302</v>
      </c>
      <c r="X7" s="48">
        <f xml:space="preserve"> STDEV(U7:W7)*Calculation!I7/Calculation!K6</f>
        <v>1.2029200838623912E-2</v>
      </c>
    </row>
    <row r="8" spans="1:24">
      <c r="A8" s="67">
        <v>4</v>
      </c>
      <c r="B8" s="68">
        <v>80</v>
      </c>
      <c r="C8" s="68">
        <v>360</v>
      </c>
      <c r="D8" s="13">
        <f t="shared" si="0"/>
        <v>6</v>
      </c>
      <c r="E8" s="31">
        <v>3</v>
      </c>
      <c r="F8" s="31">
        <v>6242</v>
      </c>
      <c r="G8" s="31">
        <v>7</v>
      </c>
      <c r="H8" s="43">
        <f>('Flow cytometer'!F8/'Flow cytometer'!G8)*POWER(10,'Flow cytometer'!E8+2)*10.2</f>
        <v>909548571.42857134</v>
      </c>
      <c r="I8" s="31">
        <v>3</v>
      </c>
      <c r="J8" s="31">
        <v>6711</v>
      </c>
      <c r="K8" s="31">
        <v>7</v>
      </c>
      <c r="L8" s="43">
        <f>('Flow cytometer'!J8/'Flow cytometer'!K8)*POWER(10,'Flow cytometer'!I8+2)*10.2</f>
        <v>977888571.42857134</v>
      </c>
      <c r="M8" s="31">
        <v>3</v>
      </c>
      <c r="N8" s="31">
        <v>5988</v>
      </c>
      <c r="O8" s="31">
        <v>7</v>
      </c>
      <c r="P8" s="43">
        <f>('Flow cytometer'!N8/'Flow cytometer'!O8)*POWER(10,'Flow cytometer'!M8+2)*10.2</f>
        <v>872537142.85714281</v>
      </c>
      <c r="Q8" s="46">
        <f>AVERAGE(H8,L8,P8)*Calculation!I8/Calculation!K7</f>
        <v>932605938.34987068</v>
      </c>
      <c r="R8" s="47">
        <f>STDEV(H8,L8,P8)*Calculation!I8/Calculation!K7</f>
        <v>54179262.949130453</v>
      </c>
      <c r="S8" s="48">
        <f t="shared" si="1"/>
        <v>8.9696981764888033</v>
      </c>
      <c r="T8" s="48">
        <f t="shared" si="2"/>
        <v>20.653493309838993</v>
      </c>
      <c r="U8" s="48">
        <f t="shared" si="3"/>
        <v>8.9588258960769753</v>
      </c>
      <c r="V8" s="48">
        <f t="shared" si="4"/>
        <v>8.9902893705639535</v>
      </c>
      <c r="W8" s="48">
        <f t="shared" si="5"/>
        <v>8.9407839234186746</v>
      </c>
      <c r="X8" s="48">
        <f xml:space="preserve"> STDEV(U8:W8)*Calculation!I8/Calculation!K7</f>
        <v>2.5397646563787596E-2</v>
      </c>
    </row>
    <row r="9" spans="1:24">
      <c r="A9" s="67">
        <v>5</v>
      </c>
      <c r="B9" s="68">
        <v>80</v>
      </c>
      <c r="C9" s="68">
        <v>440</v>
      </c>
      <c r="D9" s="13">
        <f t="shared" si="0"/>
        <v>7.333333333333333</v>
      </c>
      <c r="E9" s="31">
        <v>3</v>
      </c>
      <c r="F9" s="31">
        <v>25361</v>
      </c>
      <c r="G9" s="31">
        <v>7</v>
      </c>
      <c r="H9" s="43">
        <f>('Flow cytometer'!F9/'Flow cytometer'!G9)*POWER(10,'Flow cytometer'!E9+2)*10.2</f>
        <v>3695459999.9999995</v>
      </c>
      <c r="I9" s="31">
        <v>3</v>
      </c>
      <c r="J9" s="31">
        <v>24716</v>
      </c>
      <c r="K9" s="31">
        <v>7</v>
      </c>
      <c r="L9" s="43">
        <f>('Flow cytometer'!J9/'Flow cytometer'!K9)*POWER(10,'Flow cytometer'!I9+2)*10.2</f>
        <v>3601474285.7142854</v>
      </c>
      <c r="M9" s="31">
        <v>3</v>
      </c>
      <c r="N9" s="31">
        <v>24338</v>
      </c>
      <c r="O9" s="31">
        <v>7</v>
      </c>
      <c r="P9" s="43">
        <f>('Flow cytometer'!N9/'Flow cytometer'!O9)*POWER(10,'Flow cytometer'!M9+2)*10.2</f>
        <v>3546394285.7142854</v>
      </c>
      <c r="Q9" s="46">
        <f>AVERAGE(H9,L9,P9)*Calculation!I9/Calculation!K8</f>
        <v>3696119371.5676045</v>
      </c>
      <c r="R9" s="47">
        <f>STDEV(H9,L9,P9)*Calculation!I9/Calculation!K8</f>
        <v>77077549.982009783</v>
      </c>
      <c r="S9" s="48">
        <f t="shared" si="1"/>
        <v>9.5677459889484844</v>
      </c>
      <c r="T9" s="48">
        <f t="shared" si="2"/>
        <v>22.030549287706354</v>
      </c>
      <c r="U9" s="48">
        <f t="shared" si="3"/>
        <v>9.5676685057964548</v>
      </c>
      <c r="V9" s="48">
        <f t="shared" si="4"/>
        <v>9.5564803182902018</v>
      </c>
      <c r="W9" s="48">
        <f t="shared" si="5"/>
        <v>9.5497870185155183</v>
      </c>
      <c r="X9" s="48">
        <f xml:space="preserve"> STDEV(U9:W9)*Calculation!I9/Calculation!K8</f>
        <v>9.2385629790318266E-3</v>
      </c>
    </row>
    <row r="10" spans="1:24">
      <c r="A10" s="67">
        <v>6</v>
      </c>
      <c r="B10" s="68">
        <v>80</v>
      </c>
      <c r="C10" s="68">
        <v>520</v>
      </c>
      <c r="D10" s="13">
        <f t="shared" si="0"/>
        <v>8.6666666666666661</v>
      </c>
      <c r="E10" s="31">
        <v>3</v>
      </c>
      <c r="F10" s="31">
        <v>16664</v>
      </c>
      <c r="G10" s="31">
        <v>7</v>
      </c>
      <c r="H10" s="43">
        <f>('Flow cytometer'!F10/'Flow cytometer'!G10)*POWER(10,'Flow cytometer'!E10+2)*10.2</f>
        <v>2428182857.1428566</v>
      </c>
      <c r="I10" s="31">
        <v>3</v>
      </c>
      <c r="J10" s="31">
        <v>17395</v>
      </c>
      <c r="K10" s="31">
        <v>7</v>
      </c>
      <c r="L10" s="43">
        <f>('Flow cytometer'!J10/'Flow cytometer'!K10)*POWER(10,'Flow cytometer'!I10+2)*10.2</f>
        <v>2534700000</v>
      </c>
      <c r="M10" s="31">
        <v>3</v>
      </c>
      <c r="N10" s="31">
        <v>17519</v>
      </c>
      <c r="O10" s="31">
        <v>7</v>
      </c>
      <c r="P10" s="43">
        <f>('Flow cytometer'!N10/'Flow cytometer'!O10)*POWER(10,'Flow cytometer'!M10+2)*10.2</f>
        <v>2552768571.4285712</v>
      </c>
      <c r="Q10" s="46">
        <f>AVERAGE(H10,L10,P10)*Calculation!I10/Calculation!K9</f>
        <v>2594573364.9101958</v>
      </c>
      <c r="R10" s="47">
        <f>STDEV(H10,L10,P10)*Calculation!I10/Calculation!K9</f>
        <v>69723841.020303383</v>
      </c>
      <c r="S10" s="48">
        <f t="shared" si="1"/>
        <v>9.4140659554415027</v>
      </c>
      <c r="T10" s="48">
        <f t="shared" si="2"/>
        <v>21.676687933462354</v>
      </c>
      <c r="U10" s="48">
        <f t="shared" si="3"/>
        <v>9.3852813886873498</v>
      </c>
      <c r="V10" s="48">
        <f t="shared" si="4"/>
        <v>9.4039265648312682</v>
      </c>
      <c r="W10" s="48">
        <f t="shared" si="5"/>
        <v>9.4070114443744366</v>
      </c>
      <c r="X10" s="48">
        <f xml:space="preserve"> STDEV(U10:W10)*Calculation!I10/Calculation!K9</f>
        <v>1.2176291336826996E-2</v>
      </c>
    </row>
    <row r="11" spans="1:24">
      <c r="A11" s="67">
        <v>7</v>
      </c>
      <c r="B11" s="68">
        <v>80</v>
      </c>
      <c r="C11" s="68">
        <v>600</v>
      </c>
      <c r="D11" s="13">
        <f t="shared" si="0"/>
        <v>10</v>
      </c>
      <c r="E11" s="31">
        <v>3</v>
      </c>
      <c r="F11" s="31">
        <v>25361</v>
      </c>
      <c r="G11" s="31">
        <v>7</v>
      </c>
      <c r="H11" s="43">
        <f>('Flow cytometer'!F11/'Flow cytometer'!G11)*POWER(10,'Flow cytometer'!E11+2)*10.2</f>
        <v>3695459999.9999995</v>
      </c>
      <c r="I11" s="31">
        <v>3</v>
      </c>
      <c r="J11" s="31">
        <v>24716</v>
      </c>
      <c r="K11" s="31">
        <v>7</v>
      </c>
      <c r="L11" s="43">
        <f>('Flow cytometer'!J11/'Flow cytometer'!K11)*POWER(10,'Flow cytometer'!I11+2)*10.2</f>
        <v>3601474285.7142854</v>
      </c>
      <c r="M11" s="31">
        <v>3</v>
      </c>
      <c r="N11" s="31">
        <v>24338</v>
      </c>
      <c r="O11" s="31">
        <v>7</v>
      </c>
      <c r="P11" s="43">
        <f>('Flow cytometer'!N11/'Flow cytometer'!O11)*POWER(10,'Flow cytometer'!M11+2)*10.2</f>
        <v>3546394285.7142854</v>
      </c>
      <c r="Q11" s="46">
        <f>AVERAGE(H11,L11,P11)*Calculation!I11/Calculation!K10</f>
        <v>3794956060.8619967</v>
      </c>
      <c r="R11" s="47">
        <f>STDEV(H11,L11,P11)*Calculation!I11/Calculation!K10</f>
        <v>79138654.912155449</v>
      </c>
      <c r="S11" s="48">
        <f t="shared" si="1"/>
        <v>9.5792067518690107</v>
      </c>
      <c r="T11" s="48">
        <f t="shared" si="2"/>
        <v>22.056938669561497</v>
      </c>
      <c r="U11" s="48">
        <f t="shared" si="3"/>
        <v>9.5676685057964548</v>
      </c>
      <c r="V11" s="48">
        <f t="shared" si="4"/>
        <v>9.5564803182902018</v>
      </c>
      <c r="W11" s="48">
        <f t="shared" si="5"/>
        <v>9.5497870185155183</v>
      </c>
      <c r="X11" s="48">
        <f xml:space="preserve"> STDEV(U11:W11)*Calculation!I11/Calculation!K10</f>
        <v>9.4856082951840382E-3</v>
      </c>
    </row>
    <row r="12" spans="1:24">
      <c r="A12" s="67">
        <v>8</v>
      </c>
      <c r="B12" s="68">
        <v>80</v>
      </c>
      <c r="C12" s="68">
        <v>680</v>
      </c>
      <c r="D12" s="13">
        <f t="shared" si="0"/>
        <v>11.333333333333334</v>
      </c>
      <c r="E12" s="31">
        <v>3</v>
      </c>
      <c r="F12" s="31">
        <v>25961</v>
      </c>
      <c r="G12" s="31">
        <v>7</v>
      </c>
      <c r="H12" s="43">
        <f>('Flow cytometer'!F12/'Flow cytometer'!G12)*POWER(10,'Flow cytometer'!E12+2)*10.2</f>
        <v>3782888571.4285712</v>
      </c>
      <c r="I12" s="31">
        <v>3</v>
      </c>
      <c r="J12" s="31">
        <v>26639</v>
      </c>
      <c r="K12" s="31">
        <v>7</v>
      </c>
      <c r="L12" s="43">
        <f>('Flow cytometer'!J12/'Flow cytometer'!K12)*POWER(10,'Flow cytometer'!I12+2)*10.2</f>
        <v>3881682857.1428571</v>
      </c>
      <c r="M12" s="31">
        <v>3</v>
      </c>
      <c r="N12" s="31">
        <v>24874</v>
      </c>
      <c r="O12" s="31">
        <v>7</v>
      </c>
      <c r="P12" s="43">
        <f>('Flow cytometer'!N12/'Flow cytometer'!O12)*POWER(10,'Flow cytometer'!M12+2)*10.2</f>
        <v>3624497142.8571424</v>
      </c>
      <c r="Q12" s="46">
        <f>AVERAGE(H12,L12,P12)*Calculation!I12/Calculation!K11</f>
        <v>3978780109.0637288</v>
      </c>
      <c r="R12" s="47">
        <f>STDEV(H12,L12,P12)*Calculation!I12/Calculation!K11</f>
        <v>137177326.52772915</v>
      </c>
      <c r="S12" s="48">
        <f t="shared" si="1"/>
        <v>9.5997499381262656</v>
      </c>
      <c r="T12" s="48">
        <f t="shared" si="2"/>
        <v>22.104241104000049</v>
      </c>
      <c r="U12" s="48">
        <f t="shared" si="3"/>
        <v>9.5778235489252008</v>
      </c>
      <c r="V12" s="48">
        <f t="shared" si="4"/>
        <v>9.5890200495945255</v>
      </c>
      <c r="W12" s="48">
        <f t="shared" si="5"/>
        <v>9.5592477617398295</v>
      </c>
      <c r="X12" s="48">
        <f xml:space="preserve"> STDEV(U12:W12)*Calculation!I12/Calculation!K11</f>
        <v>1.5899998153915969E-2</v>
      </c>
    </row>
    <row r="13" spans="1:24">
      <c r="A13" s="67">
        <v>9</v>
      </c>
      <c r="B13" s="68">
        <v>80</v>
      </c>
      <c r="C13" s="68">
        <v>760</v>
      </c>
      <c r="D13" s="13">
        <f>C13/60</f>
        <v>12.666666666666666</v>
      </c>
      <c r="E13" s="31">
        <v>3</v>
      </c>
      <c r="F13" s="31">
        <v>29760</v>
      </c>
      <c r="G13" s="31">
        <v>7</v>
      </c>
      <c r="H13" s="43">
        <f>('Flow cytometer'!F13/'Flow cytometer'!G13)*POWER(10,'Flow cytometer'!E13+2)*10.2</f>
        <v>4336457142.8571424</v>
      </c>
      <c r="I13" s="31">
        <v>3</v>
      </c>
      <c r="J13" s="31">
        <v>30623</v>
      </c>
      <c r="K13" s="31">
        <v>7</v>
      </c>
      <c r="L13" s="43">
        <f>('Flow cytometer'!J13/'Flow cytometer'!K13)*POWER(10,'Flow cytometer'!I13+2)*10.2</f>
        <v>4462208571.4285707</v>
      </c>
      <c r="M13" s="31">
        <v>3</v>
      </c>
      <c r="N13" s="31">
        <v>31038</v>
      </c>
      <c r="O13" s="31">
        <v>7</v>
      </c>
      <c r="P13" s="43">
        <f>('Flow cytometer'!N13/'Flow cytometer'!O13)*POWER(10,'Flow cytometer'!M13+2)*10.2</f>
        <v>4522680000</v>
      </c>
      <c r="Q13" s="46">
        <f>AVERAGE(H13,L13,P13)*Calculation!I13/Calculation!K12</f>
        <v>4717746469.5685463</v>
      </c>
      <c r="R13" s="47">
        <f>STDEV(H13,L13,P13)*Calculation!I13/Calculation!K12</f>
        <v>100931800.96369967</v>
      </c>
      <c r="S13" s="48">
        <f t="shared" si="1"/>
        <v>9.6737345983075507</v>
      </c>
      <c r="T13" s="48">
        <f t="shared" si="2"/>
        <v>22.274597079643708</v>
      </c>
      <c r="U13" s="48">
        <f t="shared" si="3"/>
        <v>9.6371350586215012</v>
      </c>
      <c r="V13" s="48">
        <f t="shared" si="4"/>
        <v>9.6495498661054864</v>
      </c>
      <c r="W13" s="48">
        <f t="shared" si="5"/>
        <v>9.6553958605403878</v>
      </c>
      <c r="X13" s="48">
        <f xml:space="preserve"> STDEV(U13:W13)*Calculation!I13/Calculation!K12</f>
        <v>9.9075782727940879E-3</v>
      </c>
    </row>
    <row r="14" spans="1:24">
      <c r="A14" s="67">
        <v>10</v>
      </c>
      <c r="B14" s="68">
        <v>80</v>
      </c>
      <c r="C14" s="68">
        <v>840</v>
      </c>
      <c r="D14" s="13">
        <f t="shared" si="0"/>
        <v>14</v>
      </c>
      <c r="E14" s="31">
        <v>3</v>
      </c>
      <c r="F14" s="31">
        <v>26141</v>
      </c>
      <c r="G14" s="31">
        <v>7</v>
      </c>
      <c r="H14" s="43">
        <f>('Flow cytometer'!F14/'Flow cytometer'!G14)*POWER(10,'Flow cytometer'!E14+2)*10.2</f>
        <v>3809117142.8571424</v>
      </c>
      <c r="I14" s="31">
        <v>3</v>
      </c>
      <c r="J14" s="31">
        <v>26129</v>
      </c>
      <c r="K14" s="31">
        <v>7</v>
      </c>
      <c r="L14" s="43">
        <f>('Flow cytometer'!J14/'Flow cytometer'!K14)*POWER(10,'Flow cytometer'!I14+2)*10.2</f>
        <v>3807368571.4285712</v>
      </c>
      <c r="M14" s="31">
        <v>3</v>
      </c>
      <c r="N14" s="31">
        <v>21847</v>
      </c>
      <c r="O14" s="31">
        <v>7</v>
      </c>
      <c r="P14" s="43">
        <f>('Flow cytometer'!N14/'Flow cytometer'!O14)*POWER(10,'Flow cytometer'!M14+2)*10.2</f>
        <v>3183420000</v>
      </c>
      <c r="Q14" s="46">
        <f>AVERAGE(H14,L14,P14)*Calculation!I14/Calculation!K13</f>
        <v>3853561819.1088338</v>
      </c>
      <c r="R14" s="47">
        <f>STDEV(H14,L14,P14)*Calculation!I14/Calculation!K13</f>
        <v>386154568.82621253</v>
      </c>
      <c r="S14" s="48">
        <f t="shared" si="1"/>
        <v>9.5858623303604329</v>
      </c>
      <c r="T14" s="48">
        <f t="shared" si="2"/>
        <v>22.072263705381097</v>
      </c>
      <c r="U14" s="48">
        <f t="shared" si="3"/>
        <v>9.58082432884739</v>
      </c>
      <c r="V14" s="48">
        <f t="shared" si="4"/>
        <v>9.5806249206256791</v>
      </c>
      <c r="W14" s="48">
        <f t="shared" si="5"/>
        <v>9.502893940427251</v>
      </c>
      <c r="X14" s="48">
        <f xml:space="preserve"> STDEV(U14:W14)*Calculation!I14/Calculation!K13</f>
        <v>4.8101089313741262E-2</v>
      </c>
    </row>
    <row r="15" spans="1:24">
      <c r="A15" s="67">
        <v>11</v>
      </c>
      <c r="B15" s="68">
        <v>80</v>
      </c>
      <c r="C15" s="68">
        <v>920</v>
      </c>
      <c r="D15" s="13">
        <f t="shared" si="0"/>
        <v>15.333333333333334</v>
      </c>
      <c r="E15" s="31">
        <v>3</v>
      </c>
      <c r="F15" s="31">
        <v>25515</v>
      </c>
      <c r="G15" s="31">
        <v>7</v>
      </c>
      <c r="H15" s="43">
        <f>('Flow cytometer'!F15/'Flow cytometer'!G15)*POWER(10,'Flow cytometer'!E15+2)*10.2</f>
        <v>3717899999.9999995</v>
      </c>
      <c r="I15" s="31">
        <v>3</v>
      </c>
      <c r="J15" s="31">
        <v>25993</v>
      </c>
      <c r="K15" s="31">
        <v>7</v>
      </c>
      <c r="L15" s="43">
        <f>('Flow cytometer'!J15/'Flow cytometer'!K15)*POWER(10,'Flow cytometer'!I15+2)*10.2</f>
        <v>3787551428.5714278</v>
      </c>
      <c r="M15" s="31">
        <v>3</v>
      </c>
      <c r="N15" s="31">
        <v>24685</v>
      </c>
      <c r="O15" s="31">
        <v>7</v>
      </c>
      <c r="P15" s="43">
        <f>('Flow cytometer'!N15/'Flow cytometer'!O15)*POWER(10,'Flow cytometer'!M15+2)*10.2</f>
        <v>3596957142.8571424</v>
      </c>
      <c r="Q15" s="46">
        <f>AVERAGE(H15,L15,P15)*Calculation!I15/Calculation!K14</f>
        <v>3968335257.1241336</v>
      </c>
      <c r="R15" s="47">
        <f>STDEV(H15,L15,P15)*Calculation!I15/Calculation!K14</f>
        <v>103412272.68672277</v>
      </c>
      <c r="S15" s="48">
        <f t="shared" si="1"/>
        <v>9.5986083555608896</v>
      </c>
      <c r="T15" s="48">
        <f t="shared" si="2"/>
        <v>22.101612513002596</v>
      </c>
      <c r="U15" s="48">
        <f t="shared" si="3"/>
        <v>9.5702977044159105</v>
      </c>
      <c r="V15" s="48">
        <f t="shared" si="4"/>
        <v>9.5783585385382555</v>
      </c>
      <c r="W15" s="48">
        <f t="shared" si="5"/>
        <v>9.5559352633032102</v>
      </c>
      <c r="X15" s="48">
        <f xml:space="preserve"> STDEV(U15:W15)*Calculation!I15/Calculation!K14</f>
        <v>1.217934974423838E-2</v>
      </c>
    </row>
    <row r="16" spans="1:24">
      <c r="A16" s="67">
        <v>12</v>
      </c>
      <c r="B16" s="68">
        <v>80</v>
      </c>
      <c r="C16" s="68">
        <v>1000</v>
      </c>
      <c r="D16" s="13">
        <f t="shared" si="0"/>
        <v>16.666666666666668</v>
      </c>
      <c r="E16" s="31">
        <v>3</v>
      </c>
      <c r="F16" s="31">
        <v>25176</v>
      </c>
      <c r="G16" s="31">
        <v>7</v>
      </c>
      <c r="H16" s="43">
        <f>('Flow cytometer'!F16/'Flow cytometer'!G16)*POWER(10,'Flow cytometer'!E16+2)*10.2</f>
        <v>3668502857.1428571</v>
      </c>
      <c r="I16" s="31">
        <v>3</v>
      </c>
      <c r="J16" s="31">
        <v>25897</v>
      </c>
      <c r="K16" s="31">
        <v>7</v>
      </c>
      <c r="L16" s="43">
        <f>('Flow cytometer'!J16/'Flow cytometer'!K16)*POWER(10,'Flow cytometer'!I16+2)*10.2</f>
        <v>3773562857.1428571</v>
      </c>
      <c r="M16" s="31">
        <v>3</v>
      </c>
      <c r="N16" s="31">
        <v>27558</v>
      </c>
      <c r="O16" s="31">
        <v>7</v>
      </c>
      <c r="P16" s="43">
        <f>('Flow cytometer'!N16/'Flow cytometer'!O16)*POWER(10,'Flow cytometer'!M16+2)*10.2</f>
        <v>4015594285.7142854</v>
      </c>
      <c r="Q16" s="46">
        <f>AVERAGE(H16,L16,P16)*Calculation!I16/Calculation!K15</f>
        <v>4098972615.7796788</v>
      </c>
      <c r="R16" s="47">
        <f>STDEV(H16,L16,P16)*Calculation!I16/Calculation!K15</f>
        <v>191030856.93103439</v>
      </c>
      <c r="S16" s="48">
        <f t="shared" si="1"/>
        <v>9.6126750169123785</v>
      </c>
      <c r="T16" s="48">
        <f t="shared" si="2"/>
        <v>22.134002197738727</v>
      </c>
      <c r="U16" s="48">
        <f t="shared" si="3"/>
        <v>9.5644888616528245</v>
      </c>
      <c r="V16" s="48">
        <f t="shared" si="4"/>
        <v>9.5767515885351635</v>
      </c>
      <c r="W16" s="48">
        <f t="shared" si="5"/>
        <v>9.6037498275492279</v>
      </c>
      <c r="X16" s="48">
        <f xml:space="preserve"> STDEV(U16:W16)*Calculation!I16/Calculation!K15</f>
        <v>2.1557354035112428E-2</v>
      </c>
    </row>
    <row r="17" spans="1:24">
      <c r="A17" s="67">
        <v>13</v>
      </c>
      <c r="B17" s="68">
        <v>80</v>
      </c>
      <c r="C17" s="68">
        <v>1080</v>
      </c>
      <c r="D17" s="13">
        <f t="shared" si="0"/>
        <v>18</v>
      </c>
      <c r="E17" s="31">
        <v>3</v>
      </c>
      <c r="F17" s="31">
        <v>26271</v>
      </c>
      <c r="G17" s="31">
        <v>7</v>
      </c>
      <c r="H17" s="43">
        <f>('Flow cytometer'!F17/'Flow cytometer'!G17)*POWER(10,'Flow cytometer'!E17+2)*10.2</f>
        <v>3828059999.9999995</v>
      </c>
      <c r="I17" s="31">
        <v>3</v>
      </c>
      <c r="J17" s="31">
        <v>26173</v>
      </c>
      <c r="K17" s="31">
        <v>7</v>
      </c>
      <c r="L17" s="43">
        <f>('Flow cytometer'!J17/'Flow cytometer'!K17)*POWER(10,'Flow cytometer'!I17+2)*10.2</f>
        <v>3813779999.9999995</v>
      </c>
      <c r="M17" s="31">
        <v>3</v>
      </c>
      <c r="N17" s="31">
        <v>26651</v>
      </c>
      <c r="O17" s="31">
        <v>7</v>
      </c>
      <c r="P17" s="43">
        <f>('Flow cytometer'!N17/'Flow cytometer'!O17)*POWER(10,'Flow cytometer'!M17+2)*10.2</f>
        <v>3883431428.5714278</v>
      </c>
      <c r="Q17" s="46">
        <f>AVERAGE(H17,L17,P17)*Calculation!I17/Calculation!K16</f>
        <v>4123160573.3755598</v>
      </c>
      <c r="R17" s="47">
        <f>STDEV(H17,L17,P17)*Calculation!I17/Calculation!K16</f>
        <v>39485328.429141939</v>
      </c>
      <c r="S17" s="48">
        <f t="shared" si="1"/>
        <v>9.6152302484014118</v>
      </c>
      <c r="T17" s="48">
        <f t="shared" si="2"/>
        <v>22.139885835674527</v>
      </c>
      <c r="U17" s="48">
        <f t="shared" si="3"/>
        <v>9.5829787361750007</v>
      </c>
      <c r="V17" s="48">
        <f t="shared" si="4"/>
        <v>9.5813556369161379</v>
      </c>
      <c r="W17" s="48">
        <f t="shared" si="5"/>
        <v>9.5892156410327285</v>
      </c>
      <c r="X17" s="48">
        <f xml:space="preserve"> STDEV(U17:W17)*Calculation!I17/Calculation!K16</f>
        <v>4.4535097598654349E-3</v>
      </c>
    </row>
    <row r="18" spans="1:24">
      <c r="A18" s="67">
        <v>14</v>
      </c>
      <c r="B18" s="68">
        <v>360</v>
      </c>
      <c r="C18" s="68">
        <v>1440</v>
      </c>
      <c r="D18" s="13">
        <f t="shared" si="0"/>
        <v>24</v>
      </c>
      <c r="E18" s="31">
        <v>3</v>
      </c>
      <c r="F18" s="31">
        <v>15668</v>
      </c>
      <c r="G18" s="31">
        <v>7</v>
      </c>
      <c r="H18" s="43">
        <f>('Flow cytometer'!F18/'Flow cytometer'!G18)*POWER(10,'Flow cytometer'!E18+2)*10.2</f>
        <v>2283051428.5714283</v>
      </c>
      <c r="I18" s="31">
        <v>3</v>
      </c>
      <c r="J18" s="31">
        <v>11470</v>
      </c>
      <c r="K18" s="31">
        <v>7</v>
      </c>
      <c r="L18" s="43">
        <f>('Flow cytometer'!J18/'Flow cytometer'!K18)*POWER(10,'Flow cytometer'!I18+2)*10.2</f>
        <v>1671342857.1428571</v>
      </c>
      <c r="M18" s="31">
        <v>3</v>
      </c>
      <c r="N18" s="31">
        <v>12792</v>
      </c>
      <c r="O18" s="31">
        <v>7</v>
      </c>
      <c r="P18" s="43">
        <f>('Flow cytometer'!N18/'Flow cytometer'!O18)*POWER(10,'Flow cytometer'!M18+2)*10.2</f>
        <v>1863977142.8571427</v>
      </c>
      <c r="Q18" s="46">
        <f>AVERAGE(H18,L18,P18)*Calculation!I18/Calculation!K17</f>
        <v>2081519712.9386954</v>
      </c>
      <c r="R18" s="47">
        <f>STDEV(H18,L18,P18)*Calculation!I18/Calculation!K17</f>
        <v>335670868.89501327</v>
      </c>
      <c r="S18" s="48">
        <f t="shared" si="1"/>
        <v>9.3183805282086034</v>
      </c>
      <c r="T18" s="48">
        <f t="shared" si="2"/>
        <v>21.456364095099111</v>
      </c>
      <c r="U18" s="48">
        <f t="shared" si="3"/>
        <v>9.3585156946234882</v>
      </c>
      <c r="V18" s="48">
        <f t="shared" si="4"/>
        <v>9.2230655496489291</v>
      </c>
      <c r="W18" s="48">
        <f t="shared" si="5"/>
        <v>9.2704405824858398</v>
      </c>
      <c r="X18" s="48">
        <f xml:space="preserve"> STDEV(U18:W18)*Calculation!I18/Calculation!K17</f>
        <v>7.3771513276916903E-2</v>
      </c>
    </row>
    <row r="19" spans="1:24">
      <c r="A19" s="67">
        <v>15</v>
      </c>
      <c r="B19" s="68">
        <v>375</v>
      </c>
      <c r="C19" s="68">
        <v>1815</v>
      </c>
      <c r="D19" s="13">
        <f>C19/60</f>
        <v>30.25</v>
      </c>
      <c r="E19" s="31">
        <v>3</v>
      </c>
      <c r="F19" s="31">
        <v>7029</v>
      </c>
      <c r="G19" s="31">
        <v>7</v>
      </c>
      <c r="H19" s="43">
        <f>('Flow cytometer'!F19/'Flow cytometer'!G19)*POWER(10,'Flow cytometer'!E19+2)*10.2</f>
        <v>1024225714.2857143</v>
      </c>
      <c r="I19" s="31">
        <v>3</v>
      </c>
      <c r="J19" s="31">
        <v>5289</v>
      </c>
      <c r="K19" s="31">
        <v>7</v>
      </c>
      <c r="L19" s="43">
        <f>('Flow cytometer'!J19/'Flow cytometer'!K19)*POWER(10,'Flow cytometer'!I19+2)*10.2</f>
        <v>770682857.14285707</v>
      </c>
      <c r="M19" s="31">
        <v>3</v>
      </c>
      <c r="N19" s="31">
        <v>5007</v>
      </c>
      <c r="O19" s="31">
        <v>7</v>
      </c>
      <c r="P19" s="43">
        <f>('Flow cytometer'!N19/'Flow cytometer'!O19)*POWER(10,'Flow cytometer'!M19+2)*10.2</f>
        <v>729591428.57142854</v>
      </c>
      <c r="Q19" s="46">
        <f>AVERAGE(H19,L19,P19)*Calculation!I19/Calculation!K18</f>
        <v>903138718.4238143</v>
      </c>
      <c r="R19" s="47">
        <f>STDEV(H19,L19,P19)*Calculation!I19/Calculation!K18</f>
        <v>171261835.99648842</v>
      </c>
      <c r="S19" s="48">
        <f t="shared" si="1"/>
        <v>8.9557544612981097</v>
      </c>
      <c r="T19" s="48">
        <f t="shared" si="2"/>
        <v>20.621386719099949</v>
      </c>
      <c r="U19" s="48">
        <f t="shared" si="3"/>
        <v>9.0103956750642862</v>
      </c>
      <c r="V19" s="48">
        <f t="shared" si="4"/>
        <v>8.8868756987666444</v>
      </c>
      <c r="W19" s="48">
        <f t="shared" si="5"/>
        <v>8.8630797231465692</v>
      </c>
      <c r="X19" s="48">
        <f xml:space="preserve"> STDEV(U19:W19)*Calculation!I19/Calculation!K18</f>
        <v>8.4876509713826417E-2</v>
      </c>
    </row>
    <row r="20" spans="1:24">
      <c r="A20" s="67">
        <v>16</v>
      </c>
      <c r="B20" s="68">
        <v>1065</v>
      </c>
      <c r="C20" s="68">
        <v>2880</v>
      </c>
      <c r="D20" s="13">
        <f t="shared" ref="D20" si="6">C20/60</f>
        <v>48</v>
      </c>
      <c r="E20" s="31">
        <v>3</v>
      </c>
      <c r="F20" s="31">
        <v>5623</v>
      </c>
      <c r="G20" s="31">
        <v>7</v>
      </c>
      <c r="H20" s="43">
        <f>('Flow cytometer'!F20/'Flow cytometer'!G20)*POWER(10,'Flow cytometer'!E20+2)*10.2</f>
        <v>819351428.57142854</v>
      </c>
      <c r="I20" s="31">
        <v>3</v>
      </c>
      <c r="J20" s="31">
        <v>5811</v>
      </c>
      <c r="K20" s="31">
        <v>7</v>
      </c>
      <c r="L20" s="43">
        <f>('Flow cytometer'!J20/'Flow cytometer'!K20)*POWER(10,'Flow cytometer'!I20+2)*10.2</f>
        <v>846745714.28571427</v>
      </c>
      <c r="M20" s="31">
        <v>3</v>
      </c>
      <c r="N20" s="31">
        <v>5391</v>
      </c>
      <c r="O20" s="31">
        <v>7</v>
      </c>
      <c r="P20" s="43">
        <f>('Flow cytometer'!N20/'Flow cytometer'!O20)*POWER(10,'Flow cytometer'!M20+2)*10.2</f>
        <v>785545714.28571427</v>
      </c>
      <c r="Q20" s="46">
        <f>AVERAGE(H20,L20,P20)*Calculation!I20/Calculation!K19</f>
        <v>877074108.94549358</v>
      </c>
      <c r="R20" s="47">
        <f>STDEV(H20,L20,P20)*Calculation!I20/Calculation!K19</f>
        <v>32901425.820149932</v>
      </c>
      <c r="S20" s="48">
        <f t="shared" ref="S20" si="7">LOG(Q20)</f>
        <v>8.9430362909102801</v>
      </c>
      <c r="T20" s="48">
        <f t="shared" ref="T20" si="8">LN(Q20)</f>
        <v>20.592102049554775</v>
      </c>
      <c r="U20" s="48">
        <f t="shared" si="3"/>
        <v>8.913470215257064</v>
      </c>
      <c r="V20" s="48">
        <f t="shared" si="4"/>
        <v>8.9277530071864337</v>
      </c>
      <c r="W20" s="48">
        <f t="shared" si="5"/>
        <v>8.8951714635762968</v>
      </c>
      <c r="X20" s="48">
        <f xml:space="preserve"> STDEV(U20:W20)*Calculation!I20/Calculation!K19</f>
        <v>1.7528264234487657E-2</v>
      </c>
    </row>
  </sheetData>
  <mergeCells count="8">
    <mergeCell ref="Q3:S3"/>
    <mergeCell ref="A1:A2"/>
    <mergeCell ref="E1:H1"/>
    <mergeCell ref="I1:L1"/>
    <mergeCell ref="M1:P1"/>
    <mergeCell ref="B1:B2"/>
    <mergeCell ref="C1:C2"/>
    <mergeCell ref="D1:D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topLeftCell="A18" workbookViewId="0">
      <selection activeCell="H34" sqref="H34"/>
    </sheetView>
  </sheetViews>
  <sheetFormatPr baseColWidth="10" defaultRowHeight="14" x14ac:dyDescent="0"/>
  <sheetData>
    <row r="1" spans="1:21">
      <c r="A1" s="84"/>
      <c r="B1" s="145" t="s">
        <v>4</v>
      </c>
      <c r="C1" s="147" t="s">
        <v>182</v>
      </c>
      <c r="D1" s="148" t="s">
        <v>18</v>
      </c>
      <c r="E1" s="148"/>
      <c r="F1" s="148"/>
      <c r="G1" s="148"/>
      <c r="H1" s="148" t="s">
        <v>20</v>
      </c>
      <c r="I1" s="148"/>
      <c r="J1" s="148"/>
      <c r="K1" s="148"/>
      <c r="L1" s="148" t="s">
        <v>21</v>
      </c>
      <c r="M1" s="148"/>
      <c r="N1" s="148"/>
      <c r="O1" s="148"/>
      <c r="P1" s="85" t="s">
        <v>22</v>
      </c>
      <c r="Q1" s="85" t="s">
        <v>22</v>
      </c>
      <c r="R1" s="85" t="s">
        <v>22</v>
      </c>
      <c r="S1" s="140" t="s">
        <v>183</v>
      </c>
      <c r="T1" s="84"/>
      <c r="U1" s="84"/>
    </row>
    <row r="2" spans="1:21">
      <c r="A2" s="84"/>
      <c r="B2" s="146"/>
      <c r="C2" s="146"/>
      <c r="D2" s="86" t="s">
        <v>19</v>
      </c>
      <c r="E2" s="86" t="s">
        <v>68</v>
      </c>
      <c r="F2" s="86" t="s">
        <v>69</v>
      </c>
      <c r="G2" s="86" t="s">
        <v>70</v>
      </c>
      <c r="H2" s="86" t="s">
        <v>19</v>
      </c>
      <c r="I2" s="86" t="s">
        <v>68</v>
      </c>
      <c r="J2" s="86" t="s">
        <v>69</v>
      </c>
      <c r="K2" s="86" t="s">
        <v>70</v>
      </c>
      <c r="L2" s="86" t="s">
        <v>19</v>
      </c>
      <c r="M2" s="86" t="s">
        <v>68</v>
      </c>
      <c r="N2" s="86" t="s">
        <v>69</v>
      </c>
      <c r="O2" s="86" t="s">
        <v>71</v>
      </c>
      <c r="P2" s="87" t="s">
        <v>70</v>
      </c>
      <c r="Q2" s="87" t="s">
        <v>23</v>
      </c>
      <c r="R2" s="87" t="s">
        <v>72</v>
      </c>
      <c r="S2" s="141"/>
      <c r="T2" s="84"/>
      <c r="U2" s="84"/>
    </row>
    <row r="3" spans="1:21">
      <c r="A3" s="84"/>
      <c r="B3" s="88"/>
      <c r="C3" s="88"/>
      <c r="D3" s="89"/>
      <c r="E3" s="89"/>
      <c r="F3" s="89"/>
      <c r="G3" s="90"/>
      <c r="H3" s="89"/>
      <c r="I3" s="89"/>
      <c r="J3" s="89"/>
      <c r="K3" s="90"/>
      <c r="L3" s="89"/>
      <c r="M3" s="89"/>
      <c r="N3" s="89"/>
      <c r="O3" s="90"/>
      <c r="P3" s="142"/>
      <c r="Q3" s="143"/>
      <c r="R3" s="144"/>
      <c r="S3" s="84"/>
      <c r="T3" s="84"/>
      <c r="U3" s="84"/>
    </row>
    <row r="4" spans="1:21">
      <c r="A4" s="84"/>
      <c r="B4" s="91" t="s">
        <v>184</v>
      </c>
      <c r="C4" s="92">
        <v>500</v>
      </c>
      <c r="D4" s="92">
        <v>2</v>
      </c>
      <c r="E4" s="92">
        <v>26960</v>
      </c>
      <c r="F4" s="92">
        <v>7</v>
      </c>
      <c r="G4" s="90">
        <f t="shared" ref="G4:G19" si="0">(E4/F4)*(10.2)*POWER(10,D4+2)</f>
        <v>392845714.28571427</v>
      </c>
      <c r="H4" s="92">
        <v>2</v>
      </c>
      <c r="I4" s="92">
        <v>28998</v>
      </c>
      <c r="J4" s="92">
        <v>7</v>
      </c>
      <c r="K4" s="90">
        <f t="shared" ref="K4:K19" si="1">(I4/J4)*(10.2)*POWER(10,H4+2)</f>
        <v>422542285.71428567</v>
      </c>
      <c r="L4" s="92">
        <v>2</v>
      </c>
      <c r="M4" s="92">
        <v>29053</v>
      </c>
      <c r="N4" s="92">
        <v>7</v>
      </c>
      <c r="O4" s="90">
        <f t="shared" ref="O4:O19" si="2">(M4/N4)*(10.2)*POWER(10,L4+2)</f>
        <v>423343714.28571433</v>
      </c>
      <c r="P4" s="93">
        <f t="shared" ref="P4:P19" si="3">AVERAGE(O4,K4,G4)</f>
        <v>412910571.4285714</v>
      </c>
      <c r="Q4" s="93">
        <f t="shared" ref="Q4:Q19" si="4">STDEV(O4,K4,G4)</f>
        <v>17381295.724462688</v>
      </c>
      <c r="R4" s="94">
        <f>LOG(P4)</f>
        <v>8.6158560019212569</v>
      </c>
      <c r="S4" s="84"/>
      <c r="T4" s="84"/>
      <c r="U4" s="84"/>
    </row>
    <row r="5" spans="1:21">
      <c r="A5" s="84"/>
      <c r="B5" s="91" t="s">
        <v>185</v>
      </c>
      <c r="C5" s="92">
        <v>500</v>
      </c>
      <c r="D5" s="92">
        <v>1</v>
      </c>
      <c r="E5" s="92">
        <v>25770</v>
      </c>
      <c r="F5" s="92">
        <v>7</v>
      </c>
      <c r="G5" s="90">
        <f t="shared" si="0"/>
        <v>37550571.428571425</v>
      </c>
      <c r="H5" s="92">
        <v>1</v>
      </c>
      <c r="I5" s="92">
        <v>24760</v>
      </c>
      <c r="J5" s="92">
        <v>7</v>
      </c>
      <c r="K5" s="90">
        <f t="shared" si="1"/>
        <v>36078857.142857142</v>
      </c>
      <c r="L5" s="92">
        <v>1</v>
      </c>
      <c r="M5" s="92">
        <v>27526</v>
      </c>
      <c r="N5" s="92">
        <v>7</v>
      </c>
      <c r="O5" s="90">
        <f t="shared" si="2"/>
        <v>40109314.285714284</v>
      </c>
      <c r="P5" s="93">
        <f t="shared" si="3"/>
        <v>37912914.285714291</v>
      </c>
      <c r="Q5" s="93">
        <f t="shared" si="4"/>
        <v>2039513.5338344474</v>
      </c>
      <c r="R5" s="94">
        <f t="shared" ref="R5:R19" si="5">LOG(P5)</f>
        <v>7.5787871690098934</v>
      </c>
      <c r="S5" s="84"/>
      <c r="T5" s="84"/>
      <c r="U5" s="84"/>
    </row>
    <row r="6" spans="1:21">
      <c r="A6" s="84"/>
      <c r="B6" s="91" t="s">
        <v>186</v>
      </c>
      <c r="C6" s="92">
        <v>500</v>
      </c>
      <c r="D6" s="92">
        <v>0</v>
      </c>
      <c r="E6" s="92">
        <v>2493</v>
      </c>
      <c r="F6" s="92">
        <v>7</v>
      </c>
      <c r="G6" s="90">
        <f t="shared" si="0"/>
        <v>363265.71428571426</v>
      </c>
      <c r="H6" s="92">
        <v>0</v>
      </c>
      <c r="I6" s="92">
        <v>2459</v>
      </c>
      <c r="J6" s="92">
        <v>7</v>
      </c>
      <c r="K6" s="90">
        <f t="shared" si="1"/>
        <v>358311.42857142852</v>
      </c>
      <c r="L6" s="92">
        <v>0</v>
      </c>
      <c r="M6" s="92">
        <v>2550</v>
      </c>
      <c r="N6" s="92">
        <v>7</v>
      </c>
      <c r="O6" s="90">
        <f t="shared" si="2"/>
        <v>371571.42857142852</v>
      </c>
      <c r="P6" s="93">
        <f t="shared" si="3"/>
        <v>364382.8571428571</v>
      </c>
      <c r="Q6" s="93">
        <f t="shared" si="4"/>
        <v>6700.2168712996863</v>
      </c>
      <c r="R6" s="94">
        <f t="shared" si="5"/>
        <v>5.5615579368427026</v>
      </c>
      <c r="S6" s="95" t="s">
        <v>129</v>
      </c>
      <c r="T6" s="84"/>
      <c r="U6" s="84"/>
    </row>
    <row r="7" spans="1:21">
      <c r="A7" s="84"/>
      <c r="B7" s="91" t="s">
        <v>187</v>
      </c>
      <c r="C7" s="92">
        <v>500</v>
      </c>
      <c r="D7" s="92">
        <f>LOG(705/250)</f>
        <v>0.45024910831936105</v>
      </c>
      <c r="E7" s="92">
        <v>946</v>
      </c>
      <c r="F7" s="92">
        <v>7</v>
      </c>
      <c r="G7" s="90">
        <f>(E7/F7)*(1)*POWER(10,D7+2)</f>
        <v>38110.285714285717</v>
      </c>
      <c r="H7" s="92">
        <f>LOG(705/250)</f>
        <v>0.45024910831936105</v>
      </c>
      <c r="I7" s="92">
        <v>885</v>
      </c>
      <c r="J7" s="92">
        <v>7</v>
      </c>
      <c r="K7" s="90">
        <f t="shared" si="1"/>
        <v>363659.1428571429</v>
      </c>
      <c r="L7" s="92">
        <f>LOG(705/250)</f>
        <v>0.45024910831936105</v>
      </c>
      <c r="M7" s="92">
        <v>947</v>
      </c>
      <c r="N7" s="92">
        <v>7</v>
      </c>
      <c r="O7" s="90">
        <f>(M7/N7)*(1)*POWER(10,L7+2)</f>
        <v>38150.571428571435</v>
      </c>
      <c r="P7" s="93">
        <f t="shared" si="3"/>
        <v>146640.00000000003</v>
      </c>
      <c r="Q7" s="93">
        <f t="shared" si="4"/>
        <v>187944.09190121258</v>
      </c>
      <c r="R7" s="94">
        <f t="shared" si="5"/>
        <v>5.1662524519541604</v>
      </c>
      <c r="S7" s="84"/>
      <c r="T7" s="84"/>
      <c r="U7" s="84"/>
    </row>
    <row r="8" spans="1:21">
      <c r="A8" s="84"/>
      <c r="B8" s="91" t="s">
        <v>188</v>
      </c>
      <c r="C8" s="92">
        <v>500</v>
      </c>
      <c r="D8" s="92">
        <f>LOG(705/250)</f>
        <v>0.45024910831936105</v>
      </c>
      <c r="E8" s="92">
        <v>1248</v>
      </c>
      <c r="F8" s="92">
        <v>70</v>
      </c>
      <c r="G8" s="90">
        <f>(E8/F8)*(1)*POWER(10,D8+2)</f>
        <v>5027.6571428571442</v>
      </c>
      <c r="H8" s="92">
        <f>LOG(705/250)</f>
        <v>0.45024910831936105</v>
      </c>
      <c r="I8" s="92">
        <v>1303</v>
      </c>
      <c r="J8" s="92">
        <v>70</v>
      </c>
      <c r="K8" s="90">
        <f t="shared" si="1"/>
        <v>53542.131428571432</v>
      </c>
      <c r="L8" s="92">
        <f>LOG(705/250)</f>
        <v>0.45024910831936105</v>
      </c>
      <c r="M8" s="92">
        <v>1278</v>
      </c>
      <c r="N8" s="92">
        <v>70</v>
      </c>
      <c r="O8" s="90">
        <f>(M8/N8)*(1)*POWER(10,L8+2)</f>
        <v>5148.5142857142864</v>
      </c>
      <c r="P8" s="93">
        <f t="shared" si="3"/>
        <v>21239.434285714287</v>
      </c>
      <c r="Q8" s="93">
        <f t="shared" si="4"/>
        <v>27975.021602129429</v>
      </c>
      <c r="R8" s="94">
        <f t="shared" si="5"/>
        <v>4.3271429450900092</v>
      </c>
      <c r="S8" s="84"/>
      <c r="T8" s="84"/>
      <c r="U8" s="84"/>
    </row>
    <row r="9" spans="1:21">
      <c r="A9" s="84"/>
      <c r="B9" s="91" t="s">
        <v>189</v>
      </c>
      <c r="C9" s="92">
        <v>900</v>
      </c>
      <c r="D9" s="92">
        <v>2</v>
      </c>
      <c r="E9" s="92">
        <v>26822</v>
      </c>
      <c r="F9" s="92">
        <v>7</v>
      </c>
      <c r="G9" s="90">
        <f t="shared" si="0"/>
        <v>390834857.14285713</v>
      </c>
      <c r="H9" s="92">
        <v>2</v>
      </c>
      <c r="I9" s="92">
        <v>25452</v>
      </c>
      <c r="J9" s="92">
        <v>7</v>
      </c>
      <c r="K9" s="90">
        <f t="shared" si="1"/>
        <v>370872000</v>
      </c>
      <c r="L9" s="92">
        <v>2</v>
      </c>
      <c r="M9" s="92">
        <v>29126</v>
      </c>
      <c r="N9" s="92">
        <v>7</v>
      </c>
      <c r="O9" s="90">
        <f t="shared" si="2"/>
        <v>424407428.57142854</v>
      </c>
      <c r="P9" s="93">
        <f t="shared" si="3"/>
        <v>395371428.57142854</v>
      </c>
      <c r="Q9" s="93">
        <f t="shared" si="4"/>
        <v>27054498.485954784</v>
      </c>
      <c r="R9" s="94">
        <f t="shared" si="5"/>
        <v>8.5970052819172</v>
      </c>
      <c r="S9" s="84"/>
      <c r="T9" s="84"/>
      <c r="U9" s="84"/>
    </row>
    <row r="10" spans="1:21">
      <c r="A10" s="84"/>
      <c r="B10" s="91" t="s">
        <v>190</v>
      </c>
      <c r="C10" s="92">
        <v>900</v>
      </c>
      <c r="D10" s="92">
        <v>1</v>
      </c>
      <c r="E10" s="92">
        <v>11669</v>
      </c>
      <c r="F10" s="92">
        <v>7</v>
      </c>
      <c r="G10" s="90">
        <f t="shared" si="0"/>
        <v>17003399.999999996</v>
      </c>
      <c r="H10" s="92">
        <v>1</v>
      </c>
      <c r="I10" s="92">
        <v>13970</v>
      </c>
      <c r="J10" s="92">
        <v>20</v>
      </c>
      <c r="K10" s="90">
        <f t="shared" si="1"/>
        <v>7124700</v>
      </c>
      <c r="L10" s="92">
        <v>1</v>
      </c>
      <c r="M10" s="92">
        <v>12995</v>
      </c>
      <c r="N10" s="92">
        <v>7</v>
      </c>
      <c r="O10" s="90">
        <f t="shared" si="2"/>
        <v>18935571.428571429</v>
      </c>
      <c r="P10" s="93">
        <f t="shared" si="3"/>
        <v>14354557.142857142</v>
      </c>
      <c r="Q10" s="93">
        <f t="shared" si="4"/>
        <v>6335333.2459262749</v>
      </c>
      <c r="R10" s="94">
        <f t="shared" si="5"/>
        <v>7.1569897984779303</v>
      </c>
      <c r="S10" s="95" t="s">
        <v>129</v>
      </c>
      <c r="T10" s="84"/>
      <c r="U10" s="84"/>
    </row>
    <row r="11" spans="1:21">
      <c r="A11" s="84"/>
      <c r="B11" s="91" t="s">
        <v>191</v>
      </c>
      <c r="C11" s="92">
        <v>900</v>
      </c>
      <c r="D11" s="92">
        <v>1</v>
      </c>
      <c r="E11" s="92">
        <v>6123</v>
      </c>
      <c r="F11" s="92">
        <v>7</v>
      </c>
      <c r="G11" s="90">
        <f t="shared" si="0"/>
        <v>8922085.7142857127</v>
      </c>
      <c r="H11" s="92">
        <v>1</v>
      </c>
      <c r="I11" s="92">
        <v>6639</v>
      </c>
      <c r="J11" s="92">
        <v>7</v>
      </c>
      <c r="K11" s="90">
        <f t="shared" si="1"/>
        <v>9673971.4285714272</v>
      </c>
      <c r="L11" s="92">
        <v>1</v>
      </c>
      <c r="M11" s="92">
        <v>7021</v>
      </c>
      <c r="N11" s="92">
        <v>7</v>
      </c>
      <c r="O11" s="90">
        <f t="shared" si="2"/>
        <v>10230599.999999998</v>
      </c>
      <c r="P11" s="93">
        <f t="shared" si="3"/>
        <v>9608885.7142857127</v>
      </c>
      <c r="Q11" s="93">
        <f t="shared" si="4"/>
        <v>656680.68468065432</v>
      </c>
      <c r="R11" s="94">
        <f t="shared" si="5"/>
        <v>6.9826730280228597</v>
      </c>
      <c r="S11" s="95" t="s">
        <v>129</v>
      </c>
      <c r="T11" s="84"/>
      <c r="U11" s="84"/>
    </row>
    <row r="12" spans="1:21">
      <c r="A12" s="84"/>
      <c r="B12" s="91" t="s">
        <v>192</v>
      </c>
      <c r="C12" s="92">
        <v>900</v>
      </c>
      <c r="D12" s="92">
        <v>1</v>
      </c>
      <c r="E12" s="92">
        <v>29009</v>
      </c>
      <c r="F12" s="92">
        <v>7</v>
      </c>
      <c r="G12" s="90">
        <f t="shared" si="0"/>
        <v>42270257.142857142</v>
      </c>
      <c r="H12" s="92">
        <v>1</v>
      </c>
      <c r="I12" s="92">
        <v>29016</v>
      </c>
      <c r="J12" s="92">
        <v>7</v>
      </c>
      <c r="K12" s="90">
        <f t="shared" si="1"/>
        <v>42280457.142857134</v>
      </c>
      <c r="L12" s="92">
        <v>1</v>
      </c>
      <c r="M12" s="92">
        <v>31568</v>
      </c>
      <c r="N12" s="92">
        <v>7</v>
      </c>
      <c r="O12" s="90">
        <f t="shared" si="2"/>
        <v>45999085.714285709</v>
      </c>
      <c r="P12" s="93">
        <f t="shared" si="3"/>
        <v>43516599.999999993</v>
      </c>
      <c r="Q12" s="93">
        <f t="shared" si="4"/>
        <v>2149901.7422255576</v>
      </c>
      <c r="R12" s="94">
        <f t="shared" si="5"/>
        <v>7.6386549561082937</v>
      </c>
      <c r="S12" s="84"/>
      <c r="T12" s="84"/>
      <c r="U12" s="84"/>
    </row>
    <row r="13" spans="1:21">
      <c r="A13" s="84"/>
      <c r="B13" s="91" t="s">
        <v>193</v>
      </c>
      <c r="C13" s="92">
        <v>900</v>
      </c>
      <c r="D13" s="92">
        <v>1</v>
      </c>
      <c r="E13" s="92">
        <v>13542</v>
      </c>
      <c r="F13" s="92">
        <v>7</v>
      </c>
      <c r="G13" s="90">
        <f t="shared" si="0"/>
        <v>19732628.571428571</v>
      </c>
      <c r="H13" s="92">
        <v>1</v>
      </c>
      <c r="I13" s="92">
        <v>14070</v>
      </c>
      <c r="J13" s="92">
        <v>7</v>
      </c>
      <c r="K13" s="90">
        <f t="shared" si="1"/>
        <v>20502000</v>
      </c>
      <c r="L13" s="92">
        <v>1</v>
      </c>
      <c r="M13" s="92">
        <v>15197</v>
      </c>
      <c r="N13" s="92">
        <v>7</v>
      </c>
      <c r="O13" s="90">
        <f t="shared" si="2"/>
        <v>22144199.999999996</v>
      </c>
      <c r="P13" s="93">
        <f t="shared" si="3"/>
        <v>20792942.857142854</v>
      </c>
      <c r="Q13" s="93">
        <f t="shared" si="4"/>
        <v>1231829.938898768</v>
      </c>
      <c r="R13" s="94">
        <f t="shared" si="5"/>
        <v>7.3179159600467427</v>
      </c>
      <c r="S13" s="84"/>
      <c r="T13" s="84"/>
      <c r="U13" s="84"/>
    </row>
    <row r="14" spans="1:21">
      <c r="A14" s="84"/>
      <c r="B14" s="91" t="s">
        <v>194</v>
      </c>
      <c r="C14" s="92">
        <v>900</v>
      </c>
      <c r="D14" s="92">
        <v>1</v>
      </c>
      <c r="E14" s="92">
        <v>6282</v>
      </c>
      <c r="F14" s="92">
        <v>7</v>
      </c>
      <c r="G14" s="90">
        <f t="shared" si="0"/>
        <v>9153771.4285714291</v>
      </c>
      <c r="H14" s="92">
        <v>1</v>
      </c>
      <c r="I14" s="92">
        <v>6343</v>
      </c>
      <c r="J14" s="92">
        <v>7</v>
      </c>
      <c r="K14" s="90">
        <f t="shared" si="1"/>
        <v>9242657.1428571418</v>
      </c>
      <c r="L14" s="92">
        <v>1</v>
      </c>
      <c r="M14" s="92">
        <v>7014</v>
      </c>
      <c r="N14" s="92">
        <v>7</v>
      </c>
      <c r="O14" s="90">
        <f t="shared" si="2"/>
        <v>10220400</v>
      </c>
      <c r="P14" s="93">
        <f t="shared" si="3"/>
        <v>9538942.8571428563</v>
      </c>
      <c r="Q14" s="93">
        <f t="shared" si="4"/>
        <v>591830.25075969705</v>
      </c>
      <c r="R14" s="94">
        <f t="shared" si="5"/>
        <v>6.9795002471622967</v>
      </c>
      <c r="S14" s="84"/>
      <c r="T14" s="84"/>
      <c r="U14" s="84"/>
    </row>
    <row r="15" spans="1:21">
      <c r="A15" s="84"/>
      <c r="B15" s="91" t="s">
        <v>195</v>
      </c>
      <c r="C15" s="92">
        <v>900</v>
      </c>
      <c r="D15" s="92">
        <v>1</v>
      </c>
      <c r="E15" s="92">
        <v>3249</v>
      </c>
      <c r="F15" s="92">
        <v>7</v>
      </c>
      <c r="G15" s="90">
        <f t="shared" si="0"/>
        <v>4734257.1428571427</v>
      </c>
      <c r="H15" s="92">
        <v>1</v>
      </c>
      <c r="I15" s="92">
        <v>3902</v>
      </c>
      <c r="J15" s="92">
        <v>7</v>
      </c>
      <c r="K15" s="90">
        <f t="shared" si="1"/>
        <v>5685771.4285714282</v>
      </c>
      <c r="L15" s="92">
        <v>1</v>
      </c>
      <c r="M15" s="92">
        <v>3833</v>
      </c>
      <c r="N15" s="92">
        <v>7</v>
      </c>
      <c r="O15" s="90">
        <f t="shared" si="2"/>
        <v>5585228.5714285709</v>
      </c>
      <c r="P15" s="93">
        <f t="shared" si="3"/>
        <v>5335085.7142857136</v>
      </c>
      <c r="Q15" s="93">
        <f t="shared" si="4"/>
        <v>522755.62714741344</v>
      </c>
      <c r="R15" s="94">
        <f t="shared" si="5"/>
        <v>6.7271414012566968</v>
      </c>
      <c r="S15" s="84"/>
      <c r="T15" s="84"/>
      <c r="U15" s="84"/>
    </row>
    <row r="16" spans="1:21">
      <c r="A16" s="84"/>
      <c r="B16" s="91" t="s">
        <v>196</v>
      </c>
      <c r="C16" s="92">
        <v>900</v>
      </c>
      <c r="D16" s="92">
        <v>0</v>
      </c>
      <c r="E16" s="92">
        <v>12331</v>
      </c>
      <c r="F16" s="92">
        <v>7</v>
      </c>
      <c r="G16" s="90">
        <f t="shared" si="0"/>
        <v>1796802.857142857</v>
      </c>
      <c r="H16" s="92">
        <v>0</v>
      </c>
      <c r="I16" s="92">
        <v>13246</v>
      </c>
      <c r="J16" s="92">
        <v>7</v>
      </c>
      <c r="K16" s="90">
        <f t="shared" si="1"/>
        <v>1930131.4285714284</v>
      </c>
      <c r="L16" s="92">
        <v>0</v>
      </c>
      <c r="M16" s="92">
        <v>11745</v>
      </c>
      <c r="N16" s="92">
        <v>7</v>
      </c>
      <c r="O16" s="90">
        <f t="shared" si="2"/>
        <v>1711414.2857142854</v>
      </c>
      <c r="P16" s="93">
        <f t="shared" si="3"/>
        <v>1812782.857142857</v>
      </c>
      <c r="Q16" s="93">
        <f t="shared" si="4"/>
        <v>110230.74636823416</v>
      </c>
      <c r="R16" s="94">
        <f t="shared" si="5"/>
        <v>6.2583457855668376</v>
      </c>
      <c r="S16" s="84"/>
      <c r="T16" s="84"/>
      <c r="U16" s="84"/>
    </row>
    <row r="17" spans="1:21">
      <c r="A17" s="84"/>
      <c r="B17" s="91" t="s">
        <v>197</v>
      </c>
      <c r="C17" s="92">
        <v>900</v>
      </c>
      <c r="D17" s="92">
        <v>0</v>
      </c>
      <c r="E17" s="92">
        <v>6389</v>
      </c>
      <c r="F17" s="92">
        <v>7</v>
      </c>
      <c r="G17" s="90">
        <f t="shared" si="0"/>
        <v>930968.57142857136</v>
      </c>
      <c r="H17" s="92">
        <v>0</v>
      </c>
      <c r="I17" s="92">
        <v>4586</v>
      </c>
      <c r="J17" s="92">
        <v>7</v>
      </c>
      <c r="K17" s="90">
        <f t="shared" si="1"/>
        <v>668245.7142857142</v>
      </c>
      <c r="L17" s="92">
        <v>0</v>
      </c>
      <c r="M17" s="92">
        <v>5332</v>
      </c>
      <c r="N17" s="92">
        <v>7</v>
      </c>
      <c r="O17" s="90">
        <f t="shared" si="2"/>
        <v>776948.57142857136</v>
      </c>
      <c r="P17" s="93">
        <f t="shared" si="3"/>
        <v>792054.28571428556</v>
      </c>
      <c r="Q17" s="93">
        <f t="shared" si="4"/>
        <v>132011.21872548491</v>
      </c>
      <c r="R17" s="94">
        <f t="shared" si="5"/>
        <v>5.8987549482286576</v>
      </c>
      <c r="S17" s="84"/>
      <c r="T17" s="84"/>
      <c r="U17" s="84"/>
    </row>
    <row r="18" spans="1:21">
      <c r="A18" s="84"/>
      <c r="B18" s="91" t="s">
        <v>198</v>
      </c>
      <c r="C18" s="92">
        <v>900</v>
      </c>
      <c r="D18" s="92">
        <v>0</v>
      </c>
      <c r="E18" s="92">
        <v>2453</v>
      </c>
      <c r="F18" s="92">
        <v>7</v>
      </c>
      <c r="G18" s="90">
        <f t="shared" si="0"/>
        <v>357437.14285714284</v>
      </c>
      <c r="H18" s="92">
        <v>0</v>
      </c>
      <c r="I18" s="92">
        <v>2433</v>
      </c>
      <c r="J18" s="92">
        <v>7</v>
      </c>
      <c r="K18" s="90">
        <f t="shared" si="1"/>
        <v>354522.8571428571</v>
      </c>
      <c r="L18" s="92">
        <v>0</v>
      </c>
      <c r="M18" s="92">
        <v>1833</v>
      </c>
      <c r="N18" s="92">
        <v>7</v>
      </c>
      <c r="O18" s="90">
        <f t="shared" si="2"/>
        <v>267094.28571428568</v>
      </c>
      <c r="P18" s="93">
        <f t="shared" si="3"/>
        <v>326351.42857142852</v>
      </c>
      <c r="Q18" s="93">
        <f t="shared" si="4"/>
        <v>51338.874159841398</v>
      </c>
      <c r="R18" s="94">
        <f t="shared" si="5"/>
        <v>5.5136855181177333</v>
      </c>
      <c r="S18" s="84"/>
      <c r="T18" s="84"/>
      <c r="U18" s="84"/>
    </row>
    <row r="19" spans="1:21">
      <c r="A19" s="84"/>
      <c r="B19" s="91" t="s">
        <v>199</v>
      </c>
      <c r="C19" s="92">
        <v>900</v>
      </c>
      <c r="D19" s="92">
        <v>0</v>
      </c>
      <c r="E19" s="92">
        <v>2574</v>
      </c>
      <c r="F19" s="92">
        <v>14</v>
      </c>
      <c r="G19" s="90">
        <f t="shared" si="0"/>
        <v>187534.28571428571</v>
      </c>
      <c r="H19" s="92">
        <v>0</v>
      </c>
      <c r="I19" s="92">
        <v>1997</v>
      </c>
      <c r="J19" s="92">
        <v>14</v>
      </c>
      <c r="K19" s="90">
        <f t="shared" si="1"/>
        <v>145495.71428571429</v>
      </c>
      <c r="L19" s="92">
        <v>0</v>
      </c>
      <c r="M19" s="92">
        <v>1974</v>
      </c>
      <c r="N19" s="92">
        <v>14</v>
      </c>
      <c r="O19" s="90">
        <f t="shared" si="2"/>
        <v>143819.99999999997</v>
      </c>
      <c r="P19" s="93">
        <f t="shared" si="3"/>
        <v>158950</v>
      </c>
      <c r="Q19" s="93">
        <f t="shared" si="4"/>
        <v>24768.892727345858</v>
      </c>
      <c r="R19" s="94">
        <f t="shared" si="5"/>
        <v>5.2012605322507914</v>
      </c>
      <c r="S19" s="84"/>
      <c r="T19" s="84"/>
      <c r="U19" s="84"/>
    </row>
    <row r="20" spans="1:21" ht="15" thickBot="1">
      <c r="A20" s="84"/>
      <c r="B20" s="84"/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</row>
    <row r="21" spans="1:21" ht="43" thickBot="1">
      <c r="A21" s="84"/>
      <c r="B21" s="96" t="s">
        <v>4</v>
      </c>
      <c r="C21" s="96" t="s">
        <v>200</v>
      </c>
      <c r="D21" s="96" t="s">
        <v>201</v>
      </c>
      <c r="E21" s="96" t="s">
        <v>202</v>
      </c>
      <c r="F21" s="96" t="s">
        <v>203</v>
      </c>
      <c r="G21" s="97" t="s">
        <v>204</v>
      </c>
      <c r="H21" s="98" t="s">
        <v>205</v>
      </c>
      <c r="I21" s="98" t="s">
        <v>206</v>
      </c>
      <c r="J21" s="98" t="s">
        <v>207</v>
      </c>
      <c r="K21" s="98" t="s">
        <v>208</v>
      </c>
      <c r="L21" s="98" t="s">
        <v>209</v>
      </c>
      <c r="M21" s="95" t="s">
        <v>210</v>
      </c>
      <c r="N21" s="84"/>
      <c r="O21" s="84"/>
      <c r="P21" s="84"/>
      <c r="Q21" s="84"/>
      <c r="R21" s="84"/>
      <c r="S21" s="84"/>
      <c r="T21" s="84"/>
      <c r="U21" s="84"/>
    </row>
    <row r="22" spans="1:21">
      <c r="A22" s="84"/>
      <c r="B22" s="84"/>
      <c r="C22" s="84"/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</row>
    <row r="23" spans="1:21">
      <c r="A23" s="84"/>
      <c r="B23" s="91" t="s">
        <v>184</v>
      </c>
      <c r="C23" s="99">
        <v>13.733217239379883</v>
      </c>
      <c r="D23" s="99">
        <v>13.964070320129395</v>
      </c>
      <c r="E23" s="99">
        <v>13.836982727050781</v>
      </c>
      <c r="F23" s="100">
        <f>AVERAGE(C23:E23)</f>
        <v>13.844756762186686</v>
      </c>
      <c r="G23" s="84">
        <f>150/100*180/4*1000/900</f>
        <v>75</v>
      </c>
      <c r="H23" s="101">
        <f>LOG(G23)/LOG(2)</f>
        <v>6.2288186904958813</v>
      </c>
      <c r="I23" s="99">
        <f>C23-H23</f>
        <v>7.5043985488840015</v>
      </c>
      <c r="J23" s="99">
        <f>D23-H23</f>
        <v>7.7352516296335132</v>
      </c>
      <c r="K23" s="99">
        <f>E23-H23</f>
        <v>7.6081640365548999</v>
      </c>
      <c r="L23" s="100">
        <f>AVERAGE(I23:K23)</f>
        <v>7.6159380716908052</v>
      </c>
      <c r="M23" s="84"/>
      <c r="N23" s="84"/>
      <c r="O23" s="84"/>
      <c r="P23" s="84"/>
      <c r="Q23" s="84"/>
      <c r="R23" s="84"/>
      <c r="S23" s="84"/>
      <c r="T23" s="84"/>
      <c r="U23" s="84"/>
    </row>
    <row r="24" spans="1:21">
      <c r="A24" s="84"/>
      <c r="B24" s="91" t="s">
        <v>185</v>
      </c>
      <c r="C24" s="99">
        <v>17.19072151184082</v>
      </c>
      <c r="D24" s="99">
        <v>17.22271728515625</v>
      </c>
      <c r="E24" s="99">
        <v>17.264667510986328</v>
      </c>
      <c r="F24" s="100">
        <f t="shared" ref="F24:F38" si="6">AVERAGE(C24:E24)</f>
        <v>17.226035435994465</v>
      </c>
      <c r="G24" s="84">
        <f t="shared" ref="G24:G27" si="7">150/100*180/4*1000/900</f>
        <v>75</v>
      </c>
      <c r="H24" s="101">
        <f t="shared" ref="H24:H37" si="8">LOG(G24)/LOG(2)</f>
        <v>6.2288186904958813</v>
      </c>
      <c r="I24" s="99">
        <f t="shared" ref="I24:I38" si="9">C24-H24</f>
        <v>10.961902821344939</v>
      </c>
      <c r="J24" s="99">
        <f t="shared" ref="J24:J38" si="10">D24-H24</f>
        <v>10.993898594660369</v>
      </c>
      <c r="K24" s="99">
        <f t="shared" ref="K24:K38" si="11">E24-H24</f>
        <v>11.035848820490447</v>
      </c>
      <c r="L24" s="100">
        <f t="shared" ref="L24:L38" si="12">AVERAGE(I24:K24)</f>
        <v>10.997216745498585</v>
      </c>
      <c r="M24" s="84"/>
      <c r="N24" s="84"/>
      <c r="O24" s="84"/>
      <c r="P24" s="84"/>
      <c r="Q24" s="84"/>
      <c r="R24" s="84"/>
      <c r="S24" s="84"/>
      <c r="T24" s="84"/>
      <c r="U24" s="84"/>
    </row>
    <row r="25" spans="1:21">
      <c r="A25" s="84"/>
      <c r="B25" s="91" t="s">
        <v>186</v>
      </c>
      <c r="C25" s="99">
        <v>20.897546768188477</v>
      </c>
      <c r="D25" s="99">
        <v>20.622665405273438</v>
      </c>
      <c r="E25" s="99">
        <v>20.75037956237793</v>
      </c>
      <c r="F25" s="100">
        <f t="shared" si="6"/>
        <v>20.756863911946613</v>
      </c>
      <c r="G25" s="84">
        <f t="shared" si="7"/>
        <v>75</v>
      </c>
      <c r="H25" s="101">
        <f t="shared" si="8"/>
        <v>6.2288186904958813</v>
      </c>
      <c r="I25" s="99">
        <f t="shared" si="9"/>
        <v>14.668728077692595</v>
      </c>
      <c r="J25" s="99">
        <f t="shared" si="10"/>
        <v>14.393846714777556</v>
      </c>
      <c r="K25" s="99">
        <f t="shared" si="11"/>
        <v>14.521560871882048</v>
      </c>
      <c r="L25" s="100">
        <f t="shared" si="12"/>
        <v>14.528045221450734</v>
      </c>
      <c r="M25" s="95" t="s">
        <v>129</v>
      </c>
      <c r="N25" s="84"/>
      <c r="O25" s="84"/>
      <c r="P25" s="84"/>
      <c r="Q25" s="84"/>
      <c r="R25" s="84"/>
      <c r="S25" s="84"/>
      <c r="T25" s="84"/>
      <c r="U25" s="84"/>
    </row>
    <row r="26" spans="1:21">
      <c r="A26" s="84"/>
      <c r="B26" s="91" t="s">
        <v>187</v>
      </c>
      <c r="C26" s="99">
        <v>25.132444381713867</v>
      </c>
      <c r="D26" s="99">
        <v>25.147838592529297</v>
      </c>
      <c r="E26" s="99">
        <v>25.181661605834961</v>
      </c>
      <c r="F26" s="100">
        <f t="shared" si="6"/>
        <v>25.153981526692707</v>
      </c>
      <c r="G26" s="84">
        <f t="shared" si="7"/>
        <v>75</v>
      </c>
      <c r="H26" s="101">
        <f t="shared" si="8"/>
        <v>6.2288186904958813</v>
      </c>
      <c r="I26" s="99">
        <f t="shared" si="9"/>
        <v>18.903625691217986</v>
      </c>
      <c r="J26" s="99">
        <f t="shared" si="10"/>
        <v>18.919019902033416</v>
      </c>
      <c r="K26" s="99">
        <f t="shared" si="11"/>
        <v>18.95284291533908</v>
      </c>
      <c r="L26" s="100">
        <f t="shared" si="12"/>
        <v>18.925162836196829</v>
      </c>
      <c r="M26" s="84"/>
      <c r="N26" s="84"/>
      <c r="O26" s="84"/>
      <c r="P26" s="84"/>
      <c r="Q26" s="84"/>
      <c r="R26" s="84"/>
      <c r="S26" s="84"/>
      <c r="T26" s="84"/>
      <c r="U26" s="84"/>
    </row>
    <row r="27" spans="1:21">
      <c r="A27" s="84"/>
      <c r="B27" s="91" t="s">
        <v>188</v>
      </c>
      <c r="C27" s="99">
        <v>28.415132522583008</v>
      </c>
      <c r="D27" s="99">
        <v>28.359806060791016</v>
      </c>
      <c r="E27" s="99">
        <v>28.363668441772461</v>
      </c>
      <c r="F27" s="100">
        <f t="shared" si="6"/>
        <v>28.379535675048828</v>
      </c>
      <c r="G27" s="84">
        <f t="shared" si="7"/>
        <v>75</v>
      </c>
      <c r="H27" s="101">
        <f t="shared" si="8"/>
        <v>6.2288186904958813</v>
      </c>
      <c r="I27" s="99">
        <f t="shared" si="9"/>
        <v>22.186313832087126</v>
      </c>
      <c r="J27" s="99">
        <f t="shared" si="10"/>
        <v>22.130987370295134</v>
      </c>
      <c r="K27" s="99">
        <f t="shared" si="11"/>
        <v>22.13484975127658</v>
      </c>
      <c r="L27" s="100">
        <f t="shared" si="12"/>
        <v>22.150716984552947</v>
      </c>
      <c r="M27" s="84"/>
      <c r="N27" s="84"/>
      <c r="O27" s="84"/>
      <c r="P27" s="84"/>
      <c r="Q27" s="84"/>
      <c r="R27" s="84"/>
      <c r="S27" s="84"/>
      <c r="T27" s="84"/>
      <c r="U27" s="84"/>
    </row>
    <row r="28" spans="1:21">
      <c r="A28" s="84"/>
      <c r="B28" s="91" t="s">
        <v>189</v>
      </c>
      <c r="C28" s="99">
        <v>14.936457633972168</v>
      </c>
      <c r="D28" s="99">
        <v>14.999619483947754</v>
      </c>
      <c r="E28" s="99">
        <v>15.074687957763672</v>
      </c>
      <c r="F28" s="100">
        <f t="shared" si="6"/>
        <v>15.003588358561197</v>
      </c>
      <c r="G28" s="84">
        <f>150/100*180/4*1000/500</f>
        <v>135</v>
      </c>
      <c r="H28" s="101">
        <f t="shared" si="8"/>
        <v>7.0768155970508309</v>
      </c>
      <c r="I28" s="99">
        <f t="shared" si="9"/>
        <v>7.8596420369213371</v>
      </c>
      <c r="J28" s="99">
        <f t="shared" si="10"/>
        <v>7.9228038868969231</v>
      </c>
      <c r="K28" s="99">
        <f t="shared" si="11"/>
        <v>7.997872360712841</v>
      </c>
      <c r="L28" s="100">
        <f t="shared" si="12"/>
        <v>7.9267727615103674</v>
      </c>
      <c r="M28" s="84"/>
      <c r="N28" s="84"/>
      <c r="O28" s="84"/>
      <c r="P28" s="84"/>
      <c r="Q28" s="84"/>
      <c r="R28" s="84"/>
      <c r="S28" s="84"/>
      <c r="T28" s="84"/>
      <c r="U28" s="84"/>
    </row>
    <row r="29" spans="1:21">
      <c r="A29" s="84"/>
      <c r="B29" s="91" t="s">
        <v>190</v>
      </c>
      <c r="C29" s="99">
        <v>16.18989372253418</v>
      </c>
      <c r="D29" s="99">
        <v>15.8782958984375</v>
      </c>
      <c r="E29" s="99">
        <v>15.960098266601562</v>
      </c>
      <c r="F29" s="100">
        <f t="shared" si="6"/>
        <v>16.009429295857746</v>
      </c>
      <c r="G29" s="84">
        <f t="shared" ref="G29:G37" si="13">150/100*180/4*1000/500</f>
        <v>135</v>
      </c>
      <c r="H29" s="101">
        <f t="shared" si="8"/>
        <v>7.0768155970508309</v>
      </c>
      <c r="I29" s="99">
        <f t="shared" si="9"/>
        <v>9.1130781254833479</v>
      </c>
      <c r="J29" s="99">
        <f t="shared" si="10"/>
        <v>8.8014803013866683</v>
      </c>
      <c r="K29" s="99">
        <f t="shared" si="11"/>
        <v>8.8832826695507308</v>
      </c>
      <c r="L29" s="100">
        <f t="shared" si="12"/>
        <v>8.9326136988069162</v>
      </c>
      <c r="M29" s="95" t="s">
        <v>129</v>
      </c>
      <c r="N29" s="84"/>
      <c r="O29" s="84"/>
      <c r="P29" s="84"/>
      <c r="Q29" s="84"/>
      <c r="R29" s="84"/>
      <c r="S29" s="84"/>
      <c r="T29" s="84"/>
      <c r="U29" s="84"/>
    </row>
    <row r="30" spans="1:21">
      <c r="A30" s="84"/>
      <c r="B30" s="91" t="s">
        <v>191</v>
      </c>
      <c r="C30" s="99">
        <v>16.854721069335938</v>
      </c>
      <c r="D30" s="99">
        <v>16.93126106262207</v>
      </c>
      <c r="E30" s="99">
        <v>17.05010986328125</v>
      </c>
      <c r="F30" s="100">
        <f t="shared" si="6"/>
        <v>16.945363998413086</v>
      </c>
      <c r="G30" s="84">
        <f t="shared" si="13"/>
        <v>135</v>
      </c>
      <c r="H30" s="101">
        <f t="shared" si="8"/>
        <v>7.0768155970508309</v>
      </c>
      <c r="I30" s="99">
        <f t="shared" si="9"/>
        <v>9.7779054722851058</v>
      </c>
      <c r="J30" s="99">
        <f t="shared" si="10"/>
        <v>9.8544454655712386</v>
      </c>
      <c r="K30" s="99">
        <f t="shared" si="11"/>
        <v>9.9732942662304183</v>
      </c>
      <c r="L30" s="100">
        <f t="shared" si="12"/>
        <v>9.8685484013622542</v>
      </c>
      <c r="M30" s="95" t="s">
        <v>129</v>
      </c>
      <c r="N30" s="84"/>
      <c r="O30" s="84"/>
      <c r="P30" s="84"/>
      <c r="Q30" s="84"/>
      <c r="R30" s="84"/>
      <c r="S30" s="84"/>
      <c r="T30" s="84"/>
      <c r="U30" s="84"/>
    </row>
    <row r="31" spans="1:21">
      <c r="A31" s="84"/>
      <c r="B31" s="91" t="s">
        <v>192</v>
      </c>
      <c r="C31" s="99">
        <v>18.072385787963867</v>
      </c>
      <c r="D31" s="99">
        <v>18.182058334350586</v>
      </c>
      <c r="E31" s="99">
        <v>18.225353240966797</v>
      </c>
      <c r="F31" s="100">
        <f t="shared" si="6"/>
        <v>18.159932454427082</v>
      </c>
      <c r="G31" s="84">
        <f t="shared" si="13"/>
        <v>135</v>
      </c>
      <c r="H31" s="101">
        <f t="shared" si="8"/>
        <v>7.0768155970508309</v>
      </c>
      <c r="I31" s="99">
        <f t="shared" si="9"/>
        <v>10.995570190913035</v>
      </c>
      <c r="J31" s="99">
        <f t="shared" si="10"/>
        <v>11.105242737299754</v>
      </c>
      <c r="K31" s="99">
        <f t="shared" si="11"/>
        <v>11.148537643915965</v>
      </c>
      <c r="L31" s="100">
        <f t="shared" si="12"/>
        <v>11.083116857376252</v>
      </c>
      <c r="M31" s="84"/>
      <c r="N31" s="84"/>
      <c r="O31" s="84"/>
      <c r="P31" s="84"/>
      <c r="Q31" s="84"/>
      <c r="R31" s="84"/>
      <c r="S31" s="84"/>
      <c r="T31" s="84"/>
      <c r="U31" s="84"/>
    </row>
    <row r="32" spans="1:21">
      <c r="A32" s="84"/>
      <c r="B32" s="91" t="s">
        <v>193</v>
      </c>
      <c r="C32" s="99">
        <v>20.280126571655273</v>
      </c>
      <c r="D32" s="99">
        <v>20.968669891357422</v>
      </c>
      <c r="E32" s="99">
        <v>20.306863784790039</v>
      </c>
      <c r="F32" s="100">
        <f t="shared" si="6"/>
        <v>20.518553415934246</v>
      </c>
      <c r="G32" s="84">
        <f t="shared" si="13"/>
        <v>135</v>
      </c>
      <c r="H32" s="101">
        <f t="shared" si="8"/>
        <v>7.0768155970508309</v>
      </c>
      <c r="I32" s="99">
        <f t="shared" si="9"/>
        <v>13.203310974604442</v>
      </c>
      <c r="J32" s="99">
        <f t="shared" si="10"/>
        <v>13.89185429430659</v>
      </c>
      <c r="K32" s="99">
        <f t="shared" si="11"/>
        <v>13.230048187739207</v>
      </c>
      <c r="L32" s="100">
        <f t="shared" si="12"/>
        <v>13.441737818883412</v>
      </c>
      <c r="M32" s="84"/>
      <c r="N32" s="84"/>
      <c r="O32" s="84"/>
      <c r="P32" s="84"/>
      <c r="Q32" s="84"/>
      <c r="R32" s="84"/>
      <c r="S32" s="84"/>
      <c r="T32" s="84"/>
      <c r="U32" s="84"/>
    </row>
    <row r="33" spans="1:21">
      <c r="A33" s="84"/>
      <c r="B33" s="91" t="s">
        <v>194</v>
      </c>
      <c r="C33" s="99">
        <v>21.049312591552734</v>
      </c>
      <c r="D33" s="99">
        <v>21.128349304199219</v>
      </c>
      <c r="E33" s="99">
        <v>21.15723991394043</v>
      </c>
      <c r="F33" s="100">
        <f t="shared" si="6"/>
        <v>21.111633936564129</v>
      </c>
      <c r="G33" s="84">
        <f t="shared" si="13"/>
        <v>135</v>
      </c>
      <c r="H33" s="101">
        <f>LOG(G33)/LOG(2)</f>
        <v>7.0768155970508309</v>
      </c>
      <c r="I33" s="99">
        <f t="shared" si="9"/>
        <v>13.972496994501903</v>
      </c>
      <c r="J33" s="99">
        <f t="shared" si="10"/>
        <v>14.051533707148387</v>
      </c>
      <c r="K33" s="99">
        <f t="shared" si="11"/>
        <v>14.080424316889598</v>
      </c>
      <c r="L33" s="100">
        <f t="shared" si="12"/>
        <v>14.034818339513295</v>
      </c>
      <c r="M33" s="84"/>
      <c r="N33" s="84"/>
      <c r="O33" s="84"/>
      <c r="P33" s="84"/>
      <c r="Q33" s="84"/>
      <c r="R33" s="84"/>
      <c r="S33" s="84"/>
      <c r="T33" s="84"/>
      <c r="U33" s="84"/>
    </row>
    <row r="34" spans="1:21">
      <c r="A34" s="84"/>
      <c r="B34" s="91" t="s">
        <v>195</v>
      </c>
      <c r="C34" s="99">
        <v>21.142179489135742</v>
      </c>
      <c r="D34" s="99">
        <v>21.006193161010742</v>
      </c>
      <c r="E34" s="99">
        <v>21.079441070556641</v>
      </c>
      <c r="F34" s="100">
        <f t="shared" si="6"/>
        <v>21.075937906901043</v>
      </c>
      <c r="G34" s="84">
        <f t="shared" si="13"/>
        <v>135</v>
      </c>
      <c r="H34" s="101">
        <f t="shared" si="8"/>
        <v>7.0768155970508309</v>
      </c>
      <c r="I34" s="99">
        <f t="shared" si="9"/>
        <v>14.06536389208491</v>
      </c>
      <c r="J34" s="99">
        <f t="shared" si="10"/>
        <v>13.92937756395991</v>
      </c>
      <c r="K34" s="99">
        <f t="shared" si="11"/>
        <v>14.002625473505809</v>
      </c>
      <c r="L34" s="100">
        <f t="shared" si="12"/>
        <v>13.999122309850209</v>
      </c>
      <c r="M34" s="84"/>
      <c r="N34" s="84"/>
      <c r="O34" s="84"/>
      <c r="P34" s="84"/>
      <c r="Q34" s="84"/>
      <c r="R34" s="84"/>
      <c r="S34" s="84"/>
      <c r="T34" s="84"/>
      <c r="U34" s="84"/>
    </row>
    <row r="35" spans="1:21">
      <c r="A35" s="84"/>
      <c r="B35" s="91" t="s">
        <v>196</v>
      </c>
      <c r="C35" s="99">
        <v>22.919816970825195</v>
      </c>
      <c r="D35" s="99">
        <v>22.845848083496094</v>
      </c>
      <c r="E35" s="99">
        <v>22.840835571289062</v>
      </c>
      <c r="F35" s="100">
        <f t="shared" si="6"/>
        <v>22.868833541870117</v>
      </c>
      <c r="G35" s="84">
        <f t="shared" si="13"/>
        <v>135</v>
      </c>
      <c r="H35" s="101">
        <f t="shared" si="8"/>
        <v>7.0768155970508309</v>
      </c>
      <c r="I35" s="99">
        <f t="shared" si="9"/>
        <v>15.843001373774364</v>
      </c>
      <c r="J35" s="99">
        <f t="shared" si="10"/>
        <v>15.769032486445262</v>
      </c>
      <c r="K35" s="99">
        <f t="shared" si="11"/>
        <v>15.764019974238231</v>
      </c>
      <c r="L35" s="100">
        <f t="shared" si="12"/>
        <v>15.792017944819285</v>
      </c>
      <c r="M35" s="84"/>
      <c r="N35" s="84"/>
      <c r="O35" s="84"/>
      <c r="P35" s="84"/>
      <c r="Q35" s="84"/>
      <c r="R35" s="84"/>
      <c r="S35" s="84"/>
      <c r="T35" s="84"/>
      <c r="U35" s="84"/>
    </row>
    <row r="36" spans="1:21">
      <c r="A36" s="84"/>
      <c r="B36" s="91" t="s">
        <v>197</v>
      </c>
      <c r="C36" s="99">
        <v>23.948450088500977</v>
      </c>
      <c r="D36" s="99">
        <v>24.184415817260742</v>
      </c>
      <c r="E36" s="99">
        <v>24.005857467651367</v>
      </c>
      <c r="F36" s="100">
        <f t="shared" si="6"/>
        <v>24.046241124471027</v>
      </c>
      <c r="G36" s="84">
        <f t="shared" si="13"/>
        <v>135</v>
      </c>
      <c r="H36" s="101">
        <f t="shared" si="8"/>
        <v>7.0768155970508309</v>
      </c>
      <c r="I36" s="99">
        <f t="shared" si="9"/>
        <v>16.871634491450145</v>
      </c>
      <c r="J36" s="99">
        <f t="shared" si="10"/>
        <v>17.10760022020991</v>
      </c>
      <c r="K36" s="99">
        <f t="shared" si="11"/>
        <v>16.929041870600535</v>
      </c>
      <c r="L36" s="100">
        <f t="shared" si="12"/>
        <v>16.969425527420196</v>
      </c>
      <c r="M36" s="84"/>
      <c r="N36" s="84"/>
      <c r="O36" s="84"/>
      <c r="P36" s="84"/>
      <c r="Q36" s="84"/>
      <c r="R36" s="84"/>
      <c r="S36" s="84"/>
      <c r="T36" s="84"/>
      <c r="U36" s="84"/>
    </row>
    <row r="37" spans="1:21">
      <c r="A37" s="84"/>
      <c r="B37" s="91" t="s">
        <v>198</v>
      </c>
      <c r="C37" s="99">
        <v>24.632528305053711</v>
      </c>
      <c r="D37" s="99">
        <v>24.451812744140625</v>
      </c>
      <c r="E37" s="99">
        <v>24.549453735351562</v>
      </c>
      <c r="F37" s="100">
        <f t="shared" si="6"/>
        <v>24.544598261515301</v>
      </c>
      <c r="G37" s="84">
        <f t="shared" si="13"/>
        <v>135</v>
      </c>
      <c r="H37" s="101">
        <f t="shared" si="8"/>
        <v>7.0768155970508309</v>
      </c>
      <c r="I37" s="99">
        <f t="shared" si="9"/>
        <v>17.555712708002879</v>
      </c>
      <c r="J37" s="99">
        <f t="shared" si="10"/>
        <v>17.374997147089793</v>
      </c>
      <c r="K37" s="99">
        <f t="shared" si="11"/>
        <v>17.472638138300731</v>
      </c>
      <c r="L37" s="100">
        <f t="shared" si="12"/>
        <v>17.467782664464469</v>
      </c>
      <c r="M37" s="84"/>
      <c r="N37" s="84"/>
      <c r="O37" s="84"/>
      <c r="P37" s="84"/>
      <c r="Q37" s="84"/>
      <c r="R37" s="84"/>
      <c r="S37" s="84"/>
      <c r="T37" s="84"/>
      <c r="U37" s="84"/>
    </row>
    <row r="38" spans="1:21">
      <c r="A38" s="84"/>
      <c r="B38" s="91" t="s">
        <v>199</v>
      </c>
      <c r="C38" s="92"/>
      <c r="D38" s="92"/>
      <c r="E38" s="92"/>
      <c r="F38" s="100" t="e">
        <f t="shared" si="6"/>
        <v>#DIV/0!</v>
      </c>
      <c r="G38" s="84">
        <v>0</v>
      </c>
      <c r="H38" s="101">
        <v>0</v>
      </c>
      <c r="I38" s="99">
        <f t="shared" si="9"/>
        <v>0</v>
      </c>
      <c r="J38" s="99">
        <f t="shared" si="10"/>
        <v>0</v>
      </c>
      <c r="K38" s="99">
        <f t="shared" si="11"/>
        <v>0</v>
      </c>
      <c r="L38" s="100">
        <f t="shared" si="12"/>
        <v>0</v>
      </c>
      <c r="M38" s="84"/>
      <c r="N38" s="84"/>
      <c r="O38" s="84"/>
      <c r="P38" s="84"/>
      <c r="Q38" s="84"/>
      <c r="R38" s="84"/>
      <c r="S38" s="84"/>
      <c r="T38" s="84"/>
      <c r="U38" s="84"/>
    </row>
    <row r="39" spans="1:21">
      <c r="A39" s="84"/>
      <c r="B39" s="84"/>
      <c r="C39" s="84"/>
      <c r="D39" s="84"/>
      <c r="E39" s="84"/>
      <c r="F39" s="101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</row>
    <row r="40" spans="1:21">
      <c r="A40" s="84"/>
      <c r="B40" s="91" t="s">
        <v>211</v>
      </c>
      <c r="C40" s="99">
        <v>14.390941619873047</v>
      </c>
      <c r="D40" s="99">
        <v>14.411395072937012</v>
      </c>
      <c r="E40" s="99">
        <v>14.301624298095703</v>
      </c>
      <c r="F40" s="100">
        <f>AVERAGE(C40:E40)</f>
        <v>14.367986996968588</v>
      </c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</row>
    <row r="41" spans="1:21">
      <c r="A41" s="84"/>
      <c r="B41" s="84"/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</row>
    <row r="42" spans="1:21">
      <c r="A42" s="84"/>
      <c r="B42" s="95" t="s">
        <v>212</v>
      </c>
      <c r="C42" s="84" t="s">
        <v>213</v>
      </c>
      <c r="D42" s="84"/>
      <c r="E42" s="84"/>
      <c r="F42" t="s">
        <v>214</v>
      </c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</row>
    <row r="43" spans="1:21">
      <c r="A43" s="84"/>
      <c r="B43" s="84" t="s">
        <v>215</v>
      </c>
      <c r="C43" s="84" t="s">
        <v>213</v>
      </c>
      <c r="D43" s="84"/>
      <c r="E43" s="84"/>
      <c r="F43">
        <v>0.35990572856564834</v>
      </c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</row>
    <row r="44" spans="1:21">
      <c r="A44" s="84"/>
      <c r="B44" s="84"/>
      <c r="C44" s="102" t="s">
        <v>216</v>
      </c>
      <c r="D44" s="103">
        <v>-3.2483</v>
      </c>
      <c r="E44" s="84"/>
      <c r="F44" s="84">
        <v>-3.1970000000000001</v>
      </c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</row>
    <row r="45" spans="1:21">
      <c r="A45" s="84"/>
      <c r="B45" s="84"/>
      <c r="C45" s="102" t="s">
        <v>217</v>
      </c>
      <c r="D45" s="104">
        <v>36.023000000000003</v>
      </c>
      <c r="E45" s="84"/>
      <c r="F45" s="84">
        <v>42.472999999999999</v>
      </c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</row>
    <row r="46" spans="1:21">
      <c r="A46" s="84"/>
      <c r="B46" s="84"/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</row>
    <row r="47" spans="1:21">
      <c r="A47" s="84"/>
      <c r="B47" s="84"/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</row>
    <row r="48" spans="1:21">
      <c r="A48" s="84"/>
      <c r="B48" s="95" t="s">
        <v>218</v>
      </c>
      <c r="C48" s="84"/>
      <c r="D48" s="84">
        <f>-1+ POWER(10,-(1/D44))</f>
        <v>1.0316707994539165</v>
      </c>
      <c r="E48" s="84"/>
      <c r="F48" s="84">
        <f>-1+ POWER(10,-(1/F44))</f>
        <v>1.0549120727594521</v>
      </c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</row>
    <row r="49" spans="1:21">
      <c r="A49" s="84"/>
      <c r="B49" s="84"/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</row>
    <row r="50" spans="1:21">
      <c r="A50" s="84"/>
      <c r="B50" s="84"/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</row>
    <row r="51" spans="1:21">
      <c r="A51" s="84"/>
      <c r="B51" s="84"/>
      <c r="C51" s="84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</row>
    <row r="52" spans="1:21">
      <c r="A52" s="84"/>
      <c r="B52" s="84"/>
      <c r="C52" s="84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</row>
    <row r="53" spans="1:21">
      <c r="A53" s="84"/>
      <c r="B53" s="84"/>
      <c r="C53" s="84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</row>
  </sheetData>
  <mergeCells count="7">
    <mergeCell ref="S1:S2"/>
    <mergeCell ref="P3:R3"/>
    <mergeCell ref="B1:B2"/>
    <mergeCell ref="C1:C2"/>
    <mergeCell ref="D1:G1"/>
    <mergeCell ref="H1:K1"/>
    <mergeCell ref="L1:O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8"/>
  <sheetViews>
    <sheetView topLeftCell="A50" workbookViewId="0">
      <selection activeCell="P86" sqref="P86"/>
    </sheetView>
  </sheetViews>
  <sheetFormatPr baseColWidth="10" defaultRowHeight="14" x14ac:dyDescent="0"/>
  <cols>
    <col min="16" max="16" width="13.5" customWidth="1"/>
    <col min="17" max="17" width="11.33203125" customWidth="1"/>
    <col min="19" max="19" width="15.33203125" customWidth="1"/>
  </cols>
  <sheetData>
    <row r="1" spans="1:19">
      <c r="A1" s="105" t="s">
        <v>219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</row>
    <row r="2" spans="1:19">
      <c r="A2" s="131" t="s">
        <v>4</v>
      </c>
      <c r="B2" s="131" t="s">
        <v>117</v>
      </c>
      <c r="C2" s="131" t="s">
        <v>117</v>
      </c>
      <c r="D2" s="131" t="s">
        <v>5</v>
      </c>
      <c r="E2" s="145" t="s">
        <v>220</v>
      </c>
      <c r="F2" s="145" t="s">
        <v>221</v>
      </c>
      <c r="G2" s="145" t="s">
        <v>222</v>
      </c>
      <c r="H2" s="147" t="s">
        <v>223</v>
      </c>
      <c r="I2" s="147" t="s">
        <v>224</v>
      </c>
      <c r="J2" s="147" t="s">
        <v>225</v>
      </c>
      <c r="K2" s="145" t="s">
        <v>226</v>
      </c>
      <c r="L2" s="145" t="s">
        <v>227</v>
      </c>
      <c r="M2" s="145" t="s">
        <v>228</v>
      </c>
      <c r="N2" s="145" t="s">
        <v>229</v>
      </c>
      <c r="O2" s="145" t="s">
        <v>230</v>
      </c>
      <c r="P2" s="147" t="s">
        <v>231</v>
      </c>
      <c r="Q2" s="147" t="s">
        <v>232</v>
      </c>
      <c r="R2" s="147" t="s">
        <v>233</v>
      </c>
      <c r="S2" s="147" t="s">
        <v>234</v>
      </c>
    </row>
    <row r="3" spans="1:19">
      <c r="A3" s="132"/>
      <c r="B3" s="132"/>
      <c r="C3" s="132"/>
      <c r="D3" s="132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</row>
    <row r="4" spans="1:19">
      <c r="A4" s="39">
        <v>0</v>
      </c>
      <c r="B4" s="31">
        <v>10</v>
      </c>
      <c r="C4" s="31">
        <f>B4</f>
        <v>10</v>
      </c>
      <c r="D4" s="13">
        <f t="shared" ref="D4:D18" si="0">C4/60</f>
        <v>0.16666666666666666</v>
      </c>
      <c r="E4" s="99">
        <v>26.398012161254883</v>
      </c>
      <c r="F4" s="99">
        <v>26.495515823364258</v>
      </c>
      <c r="G4" s="100">
        <v>25.85003662109375</v>
      </c>
      <c r="H4" s="106">
        <f t="shared" ref="H4:H20" si="1">E4-$H$74+$H$78</f>
        <v>25.781518345984857</v>
      </c>
      <c r="I4" s="106">
        <f t="shared" ref="I4:I20" si="2">F4-$H$74+$H$78</f>
        <v>25.879022008094232</v>
      </c>
      <c r="J4" s="106">
        <f t="shared" ref="J4:J20" si="3">G4-$H$74+$H$78</f>
        <v>25.233542805823724</v>
      </c>
      <c r="K4" s="100">
        <f>((H4-'Calibration F. prausnitzii'!$D$45)/'Calibration F. prausnitzii'!$D$44)+$B$27</f>
        <v>6.8060868338859084</v>
      </c>
      <c r="L4" s="100">
        <f>((I4-'Calibration F. prausnitzii'!$D$45)/'Calibration F. prausnitzii'!$D$44)+$B$27</f>
        <v>6.7760700059730379</v>
      </c>
      <c r="M4" s="100">
        <f>((J4-'Calibration F. prausnitzii'!$D$45)/'Calibration F. prausnitzii'!$D$44)+$B$27</f>
        <v>6.9747829334337119</v>
      </c>
      <c r="N4" s="107">
        <f>AVERAGE(K4:M4)</f>
        <v>6.8523132577642194</v>
      </c>
      <c r="O4" s="107">
        <f>STDEV(K4:M4)</f>
        <v>0.10711847918744336</v>
      </c>
      <c r="P4" s="108">
        <f>(AVERAGE(POWER(10,K4),POWER(10,L4),POWER(10,M4)))*Calculation!$I4/Calculation!$K3</f>
        <v>7281916.7723395033</v>
      </c>
      <c r="Q4" s="108">
        <f>(STDEV(POWER(10,K4),POWER(10,L4),POWER(10,M4))*Calculation!$I4/Calculation!$K3)</f>
        <v>1892498.8852764538</v>
      </c>
      <c r="R4" s="107">
        <f>LOG(P4)</f>
        <v>6.8622457109175823</v>
      </c>
      <c r="S4" s="107">
        <f>O4*Calculation!$I4/Calculation!$K3</f>
        <v>0.10731456167334423</v>
      </c>
    </row>
    <row r="5" spans="1:19">
      <c r="A5" s="39">
        <v>1</v>
      </c>
      <c r="B5" s="31">
        <v>110</v>
      </c>
      <c r="C5" s="31">
        <f>C4+B5</f>
        <v>120</v>
      </c>
      <c r="D5" s="13">
        <f t="shared" si="0"/>
        <v>2</v>
      </c>
      <c r="E5" s="99">
        <v>24.488969802856445</v>
      </c>
      <c r="F5" s="99">
        <v>24.700315475463867</v>
      </c>
      <c r="G5" s="100">
        <v>24.347578048706055</v>
      </c>
      <c r="H5" s="106">
        <f t="shared" si="1"/>
        <v>23.872475987586419</v>
      </c>
      <c r="I5" s="106">
        <f t="shared" si="2"/>
        <v>24.083821660193841</v>
      </c>
      <c r="J5" s="106">
        <f t="shared" si="3"/>
        <v>23.731084233436029</v>
      </c>
      <c r="K5" s="100">
        <f>((H5-'Calibration F. prausnitzii'!$D$45)/'Calibration F. prausnitzii'!$D$44)+$B$27</f>
        <v>7.3937918975802823</v>
      </c>
      <c r="L5" s="100">
        <f>((I5-'Calibration F. prausnitzii'!$D$45)/'Calibration F. prausnitzii'!$D$44)+$B$27</f>
        <v>7.3287284266547452</v>
      </c>
      <c r="M5" s="100">
        <f>((J5-'Calibration F. prausnitzii'!$D$45)/'Calibration F. prausnitzii'!$D$44)+$B$27</f>
        <v>7.4373198211558122</v>
      </c>
      <c r="N5" s="107">
        <f t="shared" ref="N5:N20" si="4">AVERAGE(K5:M5)</f>
        <v>7.3866133817969457</v>
      </c>
      <c r="O5" s="107">
        <f t="shared" ref="O5:O20" si="5">STDEV(K5:M5)</f>
        <v>5.4650444248517255E-2</v>
      </c>
      <c r="P5" s="108">
        <f>(AVERAGE(POWER(10,K5),POWER(10,L5),POWER(10,M5)))*Calculation!$I5/Calculation!$K4</f>
        <v>24544694.462338567</v>
      </c>
      <c r="Q5" s="108">
        <f>(STDEV(POWER(10,K5),POWER(10,L5),POWER(10,M5))*Calculation!$I5/Calculation!$K4)</f>
        <v>3044952.0820525833</v>
      </c>
      <c r="R5" s="107">
        <f t="shared" ref="R5:R20" si="6">LOG(P5)</f>
        <v>7.389957630277963</v>
      </c>
      <c r="S5" s="107">
        <f>O5*Calculation!$I5/Calculation!$K4</f>
        <v>5.4785692276882708E-2</v>
      </c>
    </row>
    <row r="6" spans="1:19">
      <c r="A6" s="39">
        <v>2</v>
      </c>
      <c r="B6" s="31">
        <v>80</v>
      </c>
      <c r="C6" s="31">
        <f>C5+B6</f>
        <v>200</v>
      </c>
      <c r="D6" s="13">
        <f t="shared" si="0"/>
        <v>3.3333333333333335</v>
      </c>
      <c r="E6" s="99">
        <v>22.745553970336914</v>
      </c>
      <c r="F6" s="99">
        <v>22.586610794067383</v>
      </c>
      <c r="G6" s="100">
        <v>22.410243988037109</v>
      </c>
      <c r="H6" s="106">
        <f t="shared" si="1"/>
        <v>22.129060155066888</v>
      </c>
      <c r="I6" s="106">
        <f t="shared" si="2"/>
        <v>21.970116978797357</v>
      </c>
      <c r="J6" s="106">
        <f t="shared" si="3"/>
        <v>21.793750172767083</v>
      </c>
      <c r="K6" s="100">
        <f>((H6-'Calibration F. prausnitzii'!$D$45)/'Calibration F. prausnitzii'!$D$44)+$B$27</f>
        <v>7.9305082823106137</v>
      </c>
      <c r="L6" s="100">
        <f>((I6-'Calibration F. prausnitzii'!$D$45)/'Calibration F. prausnitzii'!$D$44)+$B$27</f>
        <v>7.9794394697839159</v>
      </c>
      <c r="M6" s="100">
        <f>((J6-'Calibration F. prausnitzii'!$D$45)/'Calibration F. prausnitzii'!$D$44)+$B$27</f>
        <v>8.0337345798508046</v>
      </c>
      <c r="N6" s="107">
        <f t="shared" si="4"/>
        <v>7.9812274439817772</v>
      </c>
      <c r="O6" s="107">
        <f t="shared" si="5"/>
        <v>5.1636370561486747E-2</v>
      </c>
      <c r="P6" s="108">
        <f>(AVERAGE(POWER(10,K6),POWER(10,L6),POWER(10,M6)))*Calculation!$I6/Calculation!$K5</f>
        <v>96524430.821213186</v>
      </c>
      <c r="Q6" s="108">
        <f>(STDEV(POWER(10,K6),POWER(10,L6),POWER(10,M6))*Calculation!$I6/Calculation!$K5)</f>
        <v>11491358.66574092</v>
      </c>
      <c r="R6" s="107">
        <f t="shared" si="6"/>
        <v>7.9846372493850781</v>
      </c>
      <c r="S6" s="107">
        <f>O6*Calculation!$I6/Calculation!$K5</f>
        <v>5.1798508553038011E-2</v>
      </c>
    </row>
    <row r="7" spans="1:19">
      <c r="A7" s="39">
        <v>3</v>
      </c>
      <c r="B7" s="31">
        <v>80</v>
      </c>
      <c r="C7" s="31">
        <f>C6+B7</f>
        <v>280</v>
      </c>
      <c r="D7" s="13">
        <f t="shared" si="0"/>
        <v>4.666666666666667</v>
      </c>
      <c r="E7" s="99">
        <v>20.947689056396484</v>
      </c>
      <c r="F7" s="99">
        <v>21.074728012084961</v>
      </c>
      <c r="G7" s="100">
        <v>21.270053863525391</v>
      </c>
      <c r="H7" s="106">
        <f t="shared" si="1"/>
        <v>20.331195241126458</v>
      </c>
      <c r="I7" s="106">
        <f t="shared" si="2"/>
        <v>20.458234196814935</v>
      </c>
      <c r="J7" s="106">
        <f t="shared" si="3"/>
        <v>20.653560048255365</v>
      </c>
      <c r="K7" s="100">
        <f>((H7-'Calibration F. prausnitzii'!$D$45)/'Calibration F. prausnitzii'!$D$44)+$B$27</f>
        <v>8.4839869985438519</v>
      </c>
      <c r="L7" s="100">
        <f>((I7-'Calibration F. prausnitzii'!$D$45)/'Calibration F. prausnitzii'!$D$44)+$B$27</f>
        <v>8.444877631894073</v>
      </c>
      <c r="M7" s="100">
        <f>((J7-'Calibration F. prausnitzii'!$D$45)/'Calibration F. prausnitzii'!$D$44)+$B$27</f>
        <v>8.384745916399682</v>
      </c>
      <c r="N7" s="107">
        <f t="shared" si="4"/>
        <v>8.4378701822792035</v>
      </c>
      <c r="O7" s="107">
        <f t="shared" si="5"/>
        <v>4.9990262640490092E-2</v>
      </c>
      <c r="P7" s="108">
        <f>(AVERAGE(POWER(10,K7),POWER(10,L7),POWER(10,M7)))*Calculation!$I7/Calculation!$K6</f>
        <v>277088405.14162761</v>
      </c>
      <c r="Q7" s="108">
        <f>(STDEV(POWER(10,K7),POWER(10,L7),POWER(10,M7))*Calculation!$I7/Calculation!$K6)</f>
        <v>31463694.273660112</v>
      </c>
      <c r="R7" s="107">
        <f t="shared" si="6"/>
        <v>8.4426183529624339</v>
      </c>
      <c r="S7" s="107">
        <f>O7*Calculation!$I7/Calculation!$K6</f>
        <v>5.0319086664108809E-2</v>
      </c>
    </row>
    <row r="8" spans="1:19">
      <c r="A8" s="39">
        <v>4</v>
      </c>
      <c r="B8" s="31">
        <v>80</v>
      </c>
      <c r="C8" s="31">
        <f t="shared" ref="C8:C18" si="7">C7+B8</f>
        <v>360</v>
      </c>
      <c r="D8" s="13">
        <f t="shared" si="0"/>
        <v>6</v>
      </c>
      <c r="E8" s="99">
        <v>19.434112548828125</v>
      </c>
      <c r="F8" s="99">
        <v>19.129655838012695</v>
      </c>
      <c r="G8" s="100">
        <v>18.973520278930664</v>
      </c>
      <c r="H8" s="106">
        <f t="shared" si="1"/>
        <v>18.817618733558099</v>
      </c>
      <c r="I8" s="106">
        <f t="shared" si="2"/>
        <v>18.513162022742669</v>
      </c>
      <c r="J8" s="106">
        <f t="shared" si="3"/>
        <v>18.357026463660638</v>
      </c>
      <c r="K8" s="100">
        <f>((H8-'Calibration F. prausnitzii'!$D$45)/'Calibration F. prausnitzii'!$D$44)+$B$27</f>
        <v>8.9499465797304296</v>
      </c>
      <c r="L8" s="100">
        <f>((I8-'Calibration F. prausnitzii'!$D$45)/'Calibration F. prausnitzii'!$D$44)+$B$27</f>
        <v>9.0436745946352808</v>
      </c>
      <c r="M8" s="100">
        <f>((J8-'Calibration F. prausnitzii'!$D$45)/'Calibration F. prausnitzii'!$D$44)+$B$27</f>
        <v>9.091741447783706</v>
      </c>
      <c r="N8" s="107">
        <f t="shared" si="4"/>
        <v>9.02845420738314</v>
      </c>
      <c r="O8" s="107">
        <f t="shared" si="5"/>
        <v>7.2112351872896135E-2</v>
      </c>
      <c r="P8" s="108">
        <f>(AVERAGE(POWER(10,K8),POWER(10,L8),POWER(10,M8)))*Calculation!$I8/Calculation!$K7</f>
        <v>1092155285.8510303</v>
      </c>
      <c r="Q8" s="108">
        <f>(STDEV(POWER(10,K8),POWER(10,L8),POWER(10,M8))*Calculation!$I8/Calculation!$K7)</f>
        <v>176168874.5026747</v>
      </c>
      <c r="R8" s="107">
        <f t="shared" si="6"/>
        <v>9.0382843920258598</v>
      </c>
      <c r="S8" s="107">
        <f>O8*Calculation!$I8/Calculation!$K7</f>
        <v>7.3101124093589154E-2</v>
      </c>
    </row>
    <row r="9" spans="1:19">
      <c r="A9" s="39">
        <v>5</v>
      </c>
      <c r="B9" s="31">
        <v>80</v>
      </c>
      <c r="C9" s="31">
        <f t="shared" si="7"/>
        <v>440</v>
      </c>
      <c r="D9" s="13">
        <f t="shared" si="0"/>
        <v>7.333333333333333</v>
      </c>
      <c r="E9" s="99">
        <v>18.514926910400391</v>
      </c>
      <c r="F9" s="99">
        <v>18.326940536499023</v>
      </c>
      <c r="G9" s="100">
        <v>18.121109008789062</v>
      </c>
      <c r="H9" s="106">
        <f t="shared" si="1"/>
        <v>17.898433095130365</v>
      </c>
      <c r="I9" s="106">
        <f t="shared" si="2"/>
        <v>17.710446721228998</v>
      </c>
      <c r="J9" s="106">
        <f t="shared" si="3"/>
        <v>17.504615193519037</v>
      </c>
      <c r="K9" s="100">
        <f>((H9-'Calibration F. prausnitzii'!$D$45)/'Calibration F. prausnitzii'!$D$44)+$B$27</f>
        <v>9.2329209473774245</v>
      </c>
      <c r="L9" s="100">
        <f>((I9-'Calibration F. prausnitzii'!$D$45)/'Calibration F. prausnitzii'!$D$44)+$B$27</f>
        <v>9.2907931802073254</v>
      </c>
      <c r="M9" s="100">
        <f>((J9-'Calibration F. prausnitzii'!$D$45)/'Calibration F. prausnitzii'!$D$44)+$B$27</f>
        <v>9.3541591032162721</v>
      </c>
      <c r="N9" s="107">
        <f t="shared" si="4"/>
        <v>9.2926244102670079</v>
      </c>
      <c r="O9" s="107">
        <f t="shared" si="5"/>
        <v>6.0639819099744877E-2</v>
      </c>
      <c r="P9" s="108">
        <f>(AVERAGE(POWER(10,K9),POWER(10,L9),POWER(10,M9)))*Calculation!$I9/Calculation!$K8</f>
        <v>2019076273.7351258</v>
      </c>
      <c r="Q9" s="108">
        <f>(STDEV(POWER(10,K9),POWER(10,L9),POWER(10,M9))*Calculation!$I9/Calculation!$K8)</f>
        <v>282116939.79305875</v>
      </c>
      <c r="R9" s="107">
        <f t="shared" si="6"/>
        <v>9.3051527254005943</v>
      </c>
      <c r="S9" s="107">
        <f>O9*Calculation!$I9/Calculation!$K8</f>
        <v>6.201011301644814E-2</v>
      </c>
    </row>
    <row r="10" spans="1:19">
      <c r="A10" s="39">
        <v>6</v>
      </c>
      <c r="B10" s="31">
        <v>80</v>
      </c>
      <c r="C10" s="31">
        <f t="shared" si="7"/>
        <v>520</v>
      </c>
      <c r="D10" s="13">
        <f t="shared" si="0"/>
        <v>8.6666666666666661</v>
      </c>
      <c r="E10" s="99">
        <v>17.665428161621094</v>
      </c>
      <c r="F10" s="99">
        <v>17.749988555908203</v>
      </c>
      <c r="G10" s="100">
        <v>17.65351676940918</v>
      </c>
      <c r="H10" s="106">
        <f t="shared" si="1"/>
        <v>17.048934346351068</v>
      </c>
      <c r="I10" s="106">
        <f t="shared" si="2"/>
        <v>17.133494740638177</v>
      </c>
      <c r="J10" s="106">
        <f t="shared" si="3"/>
        <v>17.037022954139154</v>
      </c>
      <c r="K10" s="100">
        <f>((H10-'Calibration F. prausnitzii'!$D$45)/'Calibration F. prausnitzii'!$D$44)+$B$27</f>
        <v>9.4944419733846583</v>
      </c>
      <c r="L10" s="100">
        <f>((I10-'Calibration F. prausnitzii'!$D$45)/'Calibration F. prausnitzii'!$D$44)+$B$27</f>
        <v>9.468409773684165</v>
      </c>
      <c r="M10" s="100">
        <f>((J10-'Calibration F. prausnitzii'!$D$45)/'Calibration F. prausnitzii'!$D$44)+$B$27</f>
        <v>9.4981089352452965</v>
      </c>
      <c r="N10" s="107">
        <f t="shared" si="4"/>
        <v>9.4869868941047084</v>
      </c>
      <c r="O10" s="107">
        <f t="shared" si="5"/>
        <v>1.6192396507661293E-2</v>
      </c>
      <c r="P10" s="108">
        <f>(AVERAGE(POWER(10,K10),POWER(10,L10),POWER(10,M10)))*Calculation!$I10/Calculation!$K9</f>
        <v>3179855110.1507249</v>
      </c>
      <c r="Q10" s="108">
        <f>(STDEV(POWER(10,K10),POWER(10,L10),POWER(10,M10))*Calculation!$I10/Calculation!$K9)</f>
        <v>117330073.46605778</v>
      </c>
      <c r="R10" s="107">
        <f t="shared" si="6"/>
        <v>9.5024073318411677</v>
      </c>
      <c r="S10" s="107">
        <f>O10*Calculation!$I10/Calculation!$K9</f>
        <v>1.6769947791802482E-2</v>
      </c>
    </row>
    <row r="11" spans="1:19">
      <c r="A11" s="39">
        <v>7</v>
      </c>
      <c r="B11" s="31">
        <v>80</v>
      </c>
      <c r="C11" s="31">
        <f t="shared" si="7"/>
        <v>600</v>
      </c>
      <c r="D11" s="13">
        <f t="shared" si="0"/>
        <v>10</v>
      </c>
      <c r="E11" s="99">
        <v>17.625186920166016</v>
      </c>
      <c r="F11" s="99">
        <v>17.418376922607422</v>
      </c>
      <c r="G11" s="100">
        <v>17.559207916259766</v>
      </c>
      <c r="H11" s="106">
        <f t="shared" si="1"/>
        <v>17.00869310489599</v>
      </c>
      <c r="I11" s="106">
        <f t="shared" si="2"/>
        <v>16.801883107337396</v>
      </c>
      <c r="J11" s="106">
        <f t="shared" si="3"/>
        <v>16.94271410098974</v>
      </c>
      <c r="K11" s="100">
        <f>((H11-'Calibration F. prausnitzii'!$D$45)/'Calibration F. prausnitzii'!$D$44)+$B$27</f>
        <v>9.5068303739188078</v>
      </c>
      <c r="L11" s="100">
        <f>((I11-'Calibration F. prausnitzii'!$D$45)/'Calibration F. prausnitzii'!$D$44)+$B$27</f>
        <v>9.5704975221374422</v>
      </c>
      <c r="M11" s="100">
        <f>((J11-'Calibration F. prausnitzii'!$D$45)/'Calibration F. prausnitzii'!$D$44)+$B$27</f>
        <v>9.5271422305534319</v>
      </c>
      <c r="N11" s="107">
        <f t="shared" si="4"/>
        <v>9.5348233755365612</v>
      </c>
      <c r="O11" s="107">
        <f t="shared" si="5"/>
        <v>3.2521168979024614E-2</v>
      </c>
      <c r="P11" s="108">
        <f>(AVERAGE(POWER(10,K11),POWER(10,L11),POWER(10,M11)))*Calculation!$I11/Calculation!$K10</f>
        <v>3604183649.4364257</v>
      </c>
      <c r="Q11" s="108">
        <f>(STDEV(POWER(10,K11),POWER(10,L11),POWER(10,M11))*Calculation!$I11/Calculation!$K10)</f>
        <v>273053003.76398748</v>
      </c>
      <c r="R11" s="107">
        <f t="shared" si="6"/>
        <v>9.5568069121363255</v>
      </c>
      <c r="S11" s="107">
        <f>O11*Calculation!$I11/Calculation!$K10</f>
        <v>3.4145347485400483E-2</v>
      </c>
    </row>
    <row r="12" spans="1:19">
      <c r="A12" s="39">
        <v>8</v>
      </c>
      <c r="B12" s="31">
        <v>80</v>
      </c>
      <c r="C12" s="31">
        <f t="shared" si="7"/>
        <v>680</v>
      </c>
      <c r="D12" s="13">
        <f t="shared" si="0"/>
        <v>11.333333333333334</v>
      </c>
      <c r="E12" s="99">
        <v>17.885608673095703</v>
      </c>
      <c r="F12" s="99">
        <v>17.679603576660156</v>
      </c>
      <c r="G12" s="100">
        <v>18.239643096923828</v>
      </c>
      <c r="H12" s="106">
        <f t="shared" si="1"/>
        <v>17.269114857825677</v>
      </c>
      <c r="I12" s="106">
        <f t="shared" si="2"/>
        <v>17.06310976139013</v>
      </c>
      <c r="J12" s="106">
        <f t="shared" si="3"/>
        <v>17.623149281653802</v>
      </c>
      <c r="K12" s="100">
        <f>((H12-'Calibration F. prausnitzii'!$D$45)/'Calibration F. prausnitzii'!$D$44)+$B$27</f>
        <v>9.4266586678172501</v>
      </c>
      <c r="L12" s="100">
        <f>((I12-'Calibration F. prausnitzii'!$D$45)/'Calibration F. prausnitzii'!$D$44)+$B$27</f>
        <v>9.4900780245378566</v>
      </c>
      <c r="M12" s="100">
        <f>((J12-'Calibration F. prausnitzii'!$D$45)/'Calibration F. prausnitzii'!$D$44)+$B$27</f>
        <v>9.3176679884378437</v>
      </c>
      <c r="N12" s="107">
        <f t="shared" si="4"/>
        <v>9.4114682269309835</v>
      </c>
      <c r="O12" s="107">
        <f t="shared" si="5"/>
        <v>8.7203023214458067E-2</v>
      </c>
      <c r="P12" s="108">
        <f>(AVERAGE(POWER(10,K12),POWER(10,L12),POWER(10,M12)))*Calculation!$I12/Calculation!$K11</f>
        <v>2763124045.1041784</v>
      </c>
      <c r="Q12" s="108">
        <f>(STDEV(POWER(10,K12),POWER(10,L12),POWER(10,M12))*Calculation!$I12/Calculation!$K11)</f>
        <v>537998292.28967965</v>
      </c>
      <c r="R12" s="107">
        <f t="shared" si="6"/>
        <v>9.4414003821640655</v>
      </c>
      <c r="S12" s="107">
        <f>O12*Calculation!$I12/Calculation!$K11</f>
        <v>9.2202909040883491E-2</v>
      </c>
    </row>
    <row r="13" spans="1:19">
      <c r="A13" s="39">
        <v>9</v>
      </c>
      <c r="B13" s="31">
        <v>80</v>
      </c>
      <c r="C13" s="31">
        <f t="shared" si="7"/>
        <v>760</v>
      </c>
      <c r="D13" s="13">
        <f>C13/60</f>
        <v>12.666666666666666</v>
      </c>
      <c r="E13" s="99">
        <v>17.576641082763672</v>
      </c>
      <c r="F13" s="99">
        <v>17.47076416015625</v>
      </c>
      <c r="G13" s="100">
        <v>17.488641738891602</v>
      </c>
      <c r="H13" s="106">
        <f t="shared" si="1"/>
        <v>16.960147267493646</v>
      </c>
      <c r="I13" s="106">
        <f t="shared" si="2"/>
        <v>16.854270344886224</v>
      </c>
      <c r="J13" s="106">
        <f t="shared" si="3"/>
        <v>16.872147923621576</v>
      </c>
      <c r="K13" s="100">
        <f>((H13-'Calibration F. prausnitzii'!$D$45)/'Calibration F. prausnitzii'!$D$44)+$B$27</f>
        <v>9.5217753720416241</v>
      </c>
      <c r="L13" s="100">
        <f>((I13-'Calibration F. prausnitzii'!$D$45)/'Calibration F. prausnitzii'!$D$44)+$B$27</f>
        <v>9.5543699361543659</v>
      </c>
      <c r="M13" s="100">
        <f>((J13-'Calibration F. prausnitzii'!$D$45)/'Calibration F. prausnitzii'!$D$44)+$B$27</f>
        <v>9.5488662638533626</v>
      </c>
      <c r="N13" s="107">
        <f t="shared" si="4"/>
        <v>9.5416705240164514</v>
      </c>
      <c r="O13" s="107">
        <f t="shared" si="5"/>
        <v>1.7448077437795223E-2</v>
      </c>
      <c r="P13" s="108">
        <f>(AVERAGE(POWER(10,K13),POWER(10,L13),POWER(10,M13)))*Calculation!$I13/Calculation!$K12</f>
        <v>3700073092.3861837</v>
      </c>
      <c r="Q13" s="108">
        <f>(STDEV(POWER(10,K13),POWER(10,L13),POWER(10,M13))*Calculation!$I13/Calculation!$K12)</f>
        <v>147083057.07933015</v>
      </c>
      <c r="R13" s="107">
        <f t="shared" si="6"/>
        <v>9.5682103033390078</v>
      </c>
      <c r="S13" s="107">
        <f>O13*Calculation!$I13/Calculation!$K12</f>
        <v>1.8537677986536084E-2</v>
      </c>
    </row>
    <row r="14" spans="1:19">
      <c r="A14" s="39">
        <v>10</v>
      </c>
      <c r="B14" s="31">
        <v>80</v>
      </c>
      <c r="C14" s="31">
        <f t="shared" si="7"/>
        <v>840</v>
      </c>
      <c r="D14" s="13">
        <f t="shared" si="0"/>
        <v>14</v>
      </c>
      <c r="E14" s="99">
        <v>17.698116302490234</v>
      </c>
      <c r="F14" s="99">
        <v>17.750814437866211</v>
      </c>
      <c r="G14" s="100">
        <v>17.60675048828125</v>
      </c>
      <c r="H14" s="106">
        <f t="shared" si="1"/>
        <v>17.081622487220208</v>
      </c>
      <c r="I14" s="106">
        <f t="shared" si="2"/>
        <v>17.134320622596185</v>
      </c>
      <c r="J14" s="106">
        <f t="shared" si="3"/>
        <v>16.990256673011224</v>
      </c>
      <c r="K14" s="100">
        <f>((H14-'Calibration F. prausnitzii'!$D$45)/'Calibration F. prausnitzii'!$D$44)+$B$27</f>
        <v>9.4843788200831955</v>
      </c>
      <c r="L14" s="100">
        <f>((I14-'Calibration F. prausnitzii'!$D$45)/'Calibration F. prausnitzii'!$D$44)+$B$27</f>
        <v>9.468155523166045</v>
      </c>
      <c r="M14" s="100">
        <f>((J14-'Calibration F. prausnitzii'!$D$45)/'Calibration F. prausnitzii'!$D$44)+$B$27</f>
        <v>9.5125060910276851</v>
      </c>
      <c r="N14" s="107">
        <f t="shared" si="4"/>
        <v>9.4883468114256413</v>
      </c>
      <c r="O14" s="107">
        <f t="shared" si="5"/>
        <v>2.2439962876145352E-2</v>
      </c>
      <c r="P14" s="108">
        <f>(AVERAGE(POWER(10,K14),POWER(10,L14),POWER(10,M14)))*Calculation!$I14/Calculation!$K13</f>
        <v>3298363730.2551203</v>
      </c>
      <c r="Q14" s="108">
        <f>(STDEV(POWER(10,K14),POWER(10,L14),POWER(10,M14))*Calculation!$I14/Calculation!$K13)</f>
        <v>171495567.28103355</v>
      </c>
      <c r="R14" s="107">
        <f t="shared" si="6"/>
        <v>9.5182985461940213</v>
      </c>
      <c r="S14" s="107">
        <f>O14*Calculation!$I14/Calculation!$K13</f>
        <v>2.4020705305051619E-2</v>
      </c>
    </row>
    <row r="15" spans="1:19">
      <c r="A15" s="39">
        <v>11</v>
      </c>
      <c r="B15" s="31">
        <v>80</v>
      </c>
      <c r="C15" s="31">
        <f t="shared" si="7"/>
        <v>920</v>
      </c>
      <c r="D15" s="13">
        <f t="shared" si="0"/>
        <v>15.333333333333334</v>
      </c>
      <c r="E15" s="99">
        <v>18.718332290649414</v>
      </c>
      <c r="F15" s="99">
        <v>18.729196548461914</v>
      </c>
      <c r="G15" s="100">
        <v>19.429088592529297</v>
      </c>
      <c r="H15" s="106">
        <f t="shared" si="1"/>
        <v>18.101838475379388</v>
      </c>
      <c r="I15" s="106">
        <f t="shared" si="2"/>
        <v>18.112702733191888</v>
      </c>
      <c r="J15" s="106">
        <f t="shared" si="3"/>
        <v>18.812594777259271</v>
      </c>
      <c r="K15" s="100">
        <f>((H15-'Calibration F. prausnitzii'!$D$45)/'Calibration F. prausnitzii'!$D$44)+$C$27</f>
        <v>9.4713319176284134</v>
      </c>
      <c r="L15" s="100">
        <f>((I15-'Calibration F. prausnitzii'!$D$45)/'Calibration F. prausnitzii'!$D$44)+$C$27</f>
        <v>9.4679873195886692</v>
      </c>
      <c r="M15" s="100">
        <f>((J15-'Calibration F. prausnitzii'!$D$45)/'Calibration F. prausnitzii'!$D$44)+$C$27</f>
        <v>9.2525232171143337</v>
      </c>
      <c r="N15" s="107">
        <f t="shared" si="4"/>
        <v>9.3972808181104721</v>
      </c>
      <c r="O15" s="107">
        <f t="shared" si="5"/>
        <v>0.12537491323478464</v>
      </c>
      <c r="P15" s="108">
        <f>(AVERAGE(POWER(10,K15),POWER(10,L15),POWER(10,M15)))*Calculation!$I15/Calculation!$K14</f>
        <v>2747379157.7604356</v>
      </c>
      <c r="Q15" s="108">
        <f>(STDEV(POWER(10,K15),POWER(10,L15),POWER(10,M15))*Calculation!$I15/Calculation!$K14)</f>
        <v>718416255.23019588</v>
      </c>
      <c r="R15" s="107">
        <f t="shared" si="6"/>
        <v>9.4389185992676889</v>
      </c>
      <c r="S15" s="107">
        <f>O15*Calculation!$I15/Calculation!$K14</f>
        <v>0.13443831183501209</v>
      </c>
    </row>
    <row r="16" spans="1:19">
      <c r="A16" s="39">
        <v>12</v>
      </c>
      <c r="B16" s="31">
        <v>80</v>
      </c>
      <c r="C16" s="31">
        <f t="shared" si="7"/>
        <v>1000</v>
      </c>
      <c r="D16" s="13">
        <f t="shared" si="0"/>
        <v>16.666666666666668</v>
      </c>
      <c r="E16" s="99">
        <v>17.75916862487793</v>
      </c>
      <c r="F16" s="99">
        <v>17.763843536376953</v>
      </c>
      <c r="G16" s="100">
        <v>17.745635986328125</v>
      </c>
      <c r="H16" s="106">
        <f t="shared" si="1"/>
        <v>17.142674809607904</v>
      </c>
      <c r="I16" s="106">
        <f t="shared" si="2"/>
        <v>17.147349721106927</v>
      </c>
      <c r="J16" s="106">
        <f t="shared" si="3"/>
        <v>17.129142171058099</v>
      </c>
      <c r="K16" s="100">
        <f>((H16-'Calibration F. prausnitzii'!$D$45)/'Calibration F. prausnitzii'!$D$44)+$B$27</f>
        <v>9.4655836588026183</v>
      </c>
      <c r="L16" s="100">
        <f>((I16-'Calibration F. prausnitzii'!$D$45)/'Calibration F. prausnitzii'!$D$44)+$B$27</f>
        <v>9.4641444716896608</v>
      </c>
      <c r="M16" s="100">
        <f>((J16-'Calibration F. prausnitzii'!$D$45)/'Calibration F. prausnitzii'!$D$44)+$B$27</f>
        <v>9.469749726761183</v>
      </c>
      <c r="N16" s="107">
        <f t="shared" si="4"/>
        <v>9.4664926190844874</v>
      </c>
      <c r="O16" s="107">
        <f t="shared" si="5"/>
        <v>2.9110784427283896E-3</v>
      </c>
      <c r="P16" s="108">
        <f>(AVERAGE(POWER(10,K16),POWER(10,L16),POWER(10,M16)))*Calculation!$I16/Calculation!$K15</f>
        <v>3141951454.0181789</v>
      </c>
      <c r="Q16" s="108">
        <f>(STDEV(POWER(10,K16),POWER(10,L16),POWER(10,M16))*Calculation!$I16/Calculation!$K15)</f>
        <v>21090214.902961835</v>
      </c>
      <c r="R16" s="107">
        <f t="shared" si="6"/>
        <v>9.4971994705146159</v>
      </c>
      <c r="S16" s="107">
        <f>O16*Calculation!$I16/Calculation!$K15</f>
        <v>3.124310937607737E-3</v>
      </c>
    </row>
    <row r="17" spans="1:19">
      <c r="A17" s="39">
        <v>13</v>
      </c>
      <c r="B17" s="31">
        <v>80</v>
      </c>
      <c r="C17" s="31">
        <f t="shared" si="7"/>
        <v>1080</v>
      </c>
      <c r="D17" s="13">
        <f t="shared" si="0"/>
        <v>18</v>
      </c>
      <c r="E17" s="99">
        <v>18.126991271972656</v>
      </c>
      <c r="F17" s="99">
        <v>17.883064270019531</v>
      </c>
      <c r="G17" s="100">
        <v>17.798748016357422</v>
      </c>
      <c r="H17" s="106">
        <f t="shared" si="1"/>
        <v>17.51049745670263</v>
      </c>
      <c r="I17" s="106">
        <f t="shared" si="2"/>
        <v>17.266570454749505</v>
      </c>
      <c r="J17" s="106">
        <f t="shared" si="3"/>
        <v>17.182254201087396</v>
      </c>
      <c r="K17" s="100">
        <f>((H17-'Calibration F. prausnitzii'!$D$45)/'Calibration F. prausnitzii'!$D$44)+$B$27</f>
        <v>9.35234822885627</v>
      </c>
      <c r="L17" s="100">
        <f>((I17-'Calibration F. prausnitzii'!$D$45)/'Calibration F. prausnitzii'!$D$44)+$B$27</f>
        <v>9.4274419707991708</v>
      </c>
      <c r="M17" s="100">
        <f>((J17-'Calibration F. prausnitzii'!$D$45)/'Calibration F. prausnitzii'!$D$44)+$B$27</f>
        <v>9.4533990109931523</v>
      </c>
      <c r="N17" s="107">
        <f t="shared" si="4"/>
        <v>9.4110630702161977</v>
      </c>
      <c r="O17" s="107">
        <f t="shared" si="5"/>
        <v>5.2478723601561583E-2</v>
      </c>
      <c r="P17" s="108">
        <f>(AVERAGE(POWER(10,K17),POWER(10,L17),POWER(10,M17)))*Calculation!$I17/Calculation!$K16</f>
        <v>2778681586.2353687</v>
      </c>
      <c r="Q17" s="108">
        <f>(STDEV(POWER(10,K17),POWER(10,L17),POWER(10,M17))*Calculation!$I17/Calculation!$K16)</f>
        <v>326528223.51209575</v>
      </c>
      <c r="R17" s="107">
        <f t="shared" si="6"/>
        <v>9.4438387830984176</v>
      </c>
      <c r="S17" s="107">
        <f>O17*Calculation!$I17/Calculation!$K16</f>
        <v>5.6322717977459177E-2</v>
      </c>
    </row>
    <row r="18" spans="1:19">
      <c r="A18" s="39">
        <v>14</v>
      </c>
      <c r="B18" s="31">
        <v>360</v>
      </c>
      <c r="C18" s="31">
        <f t="shared" si="7"/>
        <v>1440</v>
      </c>
      <c r="D18" s="13">
        <f t="shared" si="0"/>
        <v>24</v>
      </c>
      <c r="E18" s="99">
        <v>18.640115737915039</v>
      </c>
      <c r="F18" s="99">
        <v>18.602031707763672</v>
      </c>
      <c r="G18" s="100">
        <v>18.759166717529297</v>
      </c>
      <c r="H18" s="106">
        <f t="shared" si="1"/>
        <v>18.023621922645013</v>
      </c>
      <c r="I18" s="106">
        <f t="shared" si="2"/>
        <v>17.985537892493646</v>
      </c>
      <c r="J18" s="106">
        <f t="shared" si="3"/>
        <v>18.142672902259271</v>
      </c>
      <c r="K18" s="100">
        <f>((H18-'Calibration F. prausnitzii'!$D$45)/'Calibration F. prausnitzii'!$D$44)+$B$27</f>
        <v>9.1943811488629255</v>
      </c>
      <c r="L18" s="100">
        <f>((I18-'Calibration F. prausnitzii'!$D$45)/'Calibration F. prausnitzii'!$D$44)+$B$27</f>
        <v>9.2061054446950124</v>
      </c>
      <c r="M18" s="100">
        <f>((J18-'Calibration F. prausnitzii'!$D$45)/'Calibration F. prausnitzii'!$D$44)+$B$27</f>
        <v>9.1577309073168056</v>
      </c>
      <c r="N18" s="107">
        <f t="shared" si="4"/>
        <v>9.18607250029158</v>
      </c>
      <c r="O18" s="107">
        <f t="shared" si="5"/>
        <v>2.523488057135315E-2</v>
      </c>
      <c r="P18" s="108">
        <f>(AVERAGE(POWER(10,K18),POWER(10,L18),POWER(10,M18)))*Calculation!$I18/Calculation!$K17</f>
        <v>1649139144.1755238</v>
      </c>
      <c r="Q18" s="108">
        <f>(STDEV(POWER(10,K18),POWER(10,L18),POWER(10,M18))*Calculation!$I18/Calculation!$K17)</f>
        <v>94551643.810735777</v>
      </c>
      <c r="R18" s="107">
        <f t="shared" si="6"/>
        <v>9.217257300276545</v>
      </c>
      <c r="S18" s="107">
        <f>O18*Calculation!$I18/Calculation!$K17</f>
        <v>2.7083300889827563E-2</v>
      </c>
    </row>
    <row r="19" spans="1:19">
      <c r="A19" s="39">
        <v>15</v>
      </c>
      <c r="B19" s="31">
        <v>375</v>
      </c>
      <c r="C19" s="31">
        <f>C18+B19</f>
        <v>1815</v>
      </c>
      <c r="D19" s="13">
        <f>C19/60</f>
        <v>30.25</v>
      </c>
      <c r="E19" s="99">
        <v>18.875921249389648</v>
      </c>
      <c r="F19" s="99">
        <v>18.953220367431641</v>
      </c>
      <c r="G19" s="100">
        <v>18.851104736328125</v>
      </c>
      <c r="H19" s="106">
        <f t="shared" si="1"/>
        <v>18.259427434119623</v>
      </c>
      <c r="I19" s="106">
        <f t="shared" si="2"/>
        <v>18.336726552161615</v>
      </c>
      <c r="J19" s="106">
        <f t="shared" si="3"/>
        <v>18.234610921058099</v>
      </c>
      <c r="K19" s="100">
        <f>((H19-'Calibration F. prausnitzii'!$D$45)/'Calibration F. prausnitzii'!$D$44)+$B$27</f>
        <v>9.1217876348788067</v>
      </c>
      <c r="L19" s="100">
        <f>((I19-'Calibration F. prausnitzii'!$D$45)/'Calibration F. prausnitzii'!$D$44)+$B$27</f>
        <v>9.0979908433133758</v>
      </c>
      <c r="M19" s="100">
        <f>((J19-'Calibration F. prausnitzii'!$D$45)/'Calibration F. prausnitzii'!$D$44)+$B$27</f>
        <v>9.1294274812789311</v>
      </c>
      <c r="N19" s="107">
        <f t="shared" si="4"/>
        <v>9.1164019864903718</v>
      </c>
      <c r="O19" s="107">
        <f t="shared" si="5"/>
        <v>1.6395714625085472E-2</v>
      </c>
      <c r="P19" s="108">
        <f>(AVERAGE(POWER(10,K19),POWER(10,L19),POWER(10,M19)))*Calculation!$I19/Calculation!$K18</f>
        <v>1403807274.7289605</v>
      </c>
      <c r="Q19" s="108">
        <f>(STDEV(POWER(10,K19),POWER(10,L19),POWER(10,M19))*Calculation!$I19/Calculation!$K18)</f>
        <v>52546555.165334284</v>
      </c>
      <c r="R19" s="107">
        <f t="shared" si="6"/>
        <v>9.1473074886578001</v>
      </c>
      <c r="S19" s="107">
        <f>O19*Calculation!$I19/Calculation!$K18</f>
        <v>1.7596678186740679E-2</v>
      </c>
    </row>
    <row r="20" spans="1:19">
      <c r="A20" s="39">
        <v>16</v>
      </c>
      <c r="B20" s="31">
        <v>1065</v>
      </c>
      <c r="C20" s="31">
        <f>C19+B20</f>
        <v>2880</v>
      </c>
      <c r="D20" s="13">
        <f t="shared" ref="D20" si="8">C20/60</f>
        <v>48</v>
      </c>
      <c r="E20" s="99">
        <v>20.065267562866211</v>
      </c>
      <c r="F20" s="99">
        <v>20.200782775878906</v>
      </c>
      <c r="G20" s="100">
        <v>20.433156967163086</v>
      </c>
      <c r="H20" s="106">
        <f t="shared" si="1"/>
        <v>19.448773747596185</v>
      </c>
      <c r="I20" s="106">
        <f t="shared" si="2"/>
        <v>19.58428896060888</v>
      </c>
      <c r="J20" s="106">
        <f t="shared" si="3"/>
        <v>19.81666315189306</v>
      </c>
      <c r="K20" s="100">
        <f>((H20-'Calibration F. prausnitzii'!$D$45)/'Calibration F. prausnitzii'!$D$44)+$B$27</f>
        <v>8.7556434014408353</v>
      </c>
      <c r="L20" s="100">
        <f>((I20-'Calibration F. prausnitzii'!$D$45)/'Calibration F. prausnitzii'!$D$44)+$B$27</f>
        <v>8.7139245906743739</v>
      </c>
      <c r="M20" s="100">
        <f>((J20-'Calibration F. prausnitzii'!$D$45)/'Calibration F. prausnitzii'!$D$44)+$B$27</f>
        <v>8.6423874200669246</v>
      </c>
      <c r="N20" s="107">
        <f t="shared" si="4"/>
        <v>8.703985137394044</v>
      </c>
      <c r="O20" s="107">
        <f t="shared" si="5"/>
        <v>5.7278476567344104E-2</v>
      </c>
      <c r="P20" s="108">
        <f>(AVERAGE(POWER(10,K20),POWER(10,L20),POWER(10,M20)))*Calculation!$I20/Calculation!$K19</f>
        <v>545974218.38984537</v>
      </c>
      <c r="Q20" s="108">
        <f>(STDEV(POWER(10,K20),POWER(10,L20),POWER(10,M20))*Calculation!$I20/Calculation!$K19)</f>
        <v>70652238.232804865</v>
      </c>
      <c r="R20" s="107">
        <f t="shared" si="6"/>
        <v>8.7371721352406624</v>
      </c>
      <c r="S20" s="107">
        <f>O20*Calculation!$I20/Calculation!$K19</f>
        <v>6.1474046251098792E-2</v>
      </c>
    </row>
    <row r="21" spans="1:19">
      <c r="A21" s="10"/>
      <c r="B21" s="10"/>
      <c r="C21" s="10"/>
      <c r="D21" s="109"/>
      <c r="E21" s="110"/>
      <c r="F21" s="110"/>
      <c r="G21" s="111"/>
      <c r="H21" s="112"/>
      <c r="I21" s="112"/>
      <c r="J21" s="112"/>
      <c r="K21" s="111"/>
      <c r="L21" s="111"/>
      <c r="M21" s="111"/>
      <c r="N21" s="113"/>
      <c r="O21" s="113"/>
      <c r="P21" s="114"/>
      <c r="Q21" s="114"/>
      <c r="R21" s="113"/>
      <c r="S21" s="113"/>
    </row>
    <row r="22" spans="1:19"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</row>
    <row r="23" spans="1:19"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</row>
    <row r="24" spans="1:19"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</row>
    <row r="25" spans="1:19"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</row>
    <row r="26" spans="1:19">
      <c r="A26" s="84"/>
      <c r="B26" s="84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</row>
    <row r="27" spans="1:19">
      <c r="A27" s="102" t="s">
        <v>235</v>
      </c>
      <c r="B27" s="115">
        <f>LOG(B28)</f>
        <v>3.6532125137753435</v>
      </c>
      <c r="C27" s="95">
        <f>LOG(C28)</f>
        <v>3.9542425094393248</v>
      </c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</row>
    <row r="28" spans="1:19">
      <c r="A28" s="84" t="s">
        <v>236</v>
      </c>
      <c r="B28" s="84">
        <f>20*1800/4/2</f>
        <v>4500</v>
      </c>
      <c r="C28" s="84">
        <f>2*B28</f>
        <v>9000</v>
      </c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</row>
    <row r="29" spans="1:19">
      <c r="A29" s="84"/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</row>
    <row r="30" spans="1:19">
      <c r="A30" s="95" t="s">
        <v>237</v>
      </c>
      <c r="B30" s="84"/>
      <c r="C30" s="84"/>
      <c r="D30" s="84"/>
      <c r="E30" s="116">
        <v>14.390941619873047</v>
      </c>
      <c r="F30" s="106">
        <v>14.411395072937012</v>
      </c>
      <c r="G30" s="106">
        <v>14.301624298095703</v>
      </c>
      <c r="H30" s="106">
        <f>AVERAGE(E30:G30)</f>
        <v>14.367986996968588</v>
      </c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</row>
    <row r="31" spans="1:19">
      <c r="A31" s="117" t="s">
        <v>238</v>
      </c>
      <c r="C31" s="84"/>
      <c r="D31" s="84"/>
      <c r="E31" s="116">
        <v>13.95859432220459</v>
      </c>
      <c r="F31" s="106">
        <v>13.837825775146484</v>
      </c>
      <c r="G31" s="106">
        <v>14.070391654968262</v>
      </c>
      <c r="H31" s="106">
        <f t="shared" ref="H31:H74" si="9">AVERAGE(E31:G31)</f>
        <v>13.955603917439779</v>
      </c>
    </row>
    <row r="32" spans="1:19">
      <c r="A32" s="117" t="s">
        <v>239</v>
      </c>
      <c r="E32" s="116">
        <v>14.085451126098633</v>
      </c>
      <c r="F32" s="106">
        <v>14.111333847045898</v>
      </c>
      <c r="G32" s="106">
        <v>14.077548980712891</v>
      </c>
      <c r="H32" s="106">
        <f t="shared" si="9"/>
        <v>14.091444651285807</v>
      </c>
    </row>
    <row r="33" spans="1:8">
      <c r="A33" s="117" t="s">
        <v>240</v>
      </c>
      <c r="E33" s="116">
        <v>13.838394165039062</v>
      </c>
      <c r="F33" s="106">
        <v>14.03663444519043</v>
      </c>
      <c r="G33" s="106">
        <v>13.97320556640625</v>
      </c>
      <c r="H33" s="106">
        <f t="shared" si="9"/>
        <v>13.949411392211914</v>
      </c>
    </row>
    <row r="34" spans="1:8">
      <c r="A34" s="117" t="s">
        <v>241</v>
      </c>
      <c r="E34" s="116">
        <v>11.618982315063477</v>
      </c>
      <c r="F34" s="106">
        <v>11.485271453857422</v>
      </c>
      <c r="G34" s="106">
        <v>11.470490455627441</v>
      </c>
      <c r="H34" s="106">
        <f t="shared" si="9"/>
        <v>11.524914741516113</v>
      </c>
    </row>
    <row r="35" spans="1:8">
      <c r="A35" s="117" t="s">
        <v>242</v>
      </c>
      <c r="E35" s="116">
        <v>14.489413261413574</v>
      </c>
      <c r="F35" s="106">
        <v>14.78773021697998</v>
      </c>
      <c r="G35" s="106">
        <v>14.708776473999023</v>
      </c>
      <c r="H35" s="106">
        <f t="shared" si="9"/>
        <v>14.661973317464193</v>
      </c>
    </row>
    <row r="36" spans="1:8">
      <c r="A36" s="117" t="s">
        <v>243</v>
      </c>
      <c r="E36" s="116">
        <v>14.322483062744141</v>
      </c>
      <c r="F36" s="106">
        <v>14.812288284301758</v>
      </c>
      <c r="G36" s="106">
        <v>14.651363372802734</v>
      </c>
      <c r="H36" s="106">
        <f t="shared" si="9"/>
        <v>14.595378239949545</v>
      </c>
    </row>
    <row r="37" spans="1:8">
      <c r="A37" s="117" t="s">
        <v>244</v>
      </c>
      <c r="E37" s="116">
        <v>13.079689025878906</v>
      </c>
      <c r="F37" s="106">
        <v>13.297797203063965</v>
      </c>
      <c r="G37" s="106">
        <v>14.48363208770752</v>
      </c>
      <c r="H37" s="106">
        <f t="shared" si="9"/>
        <v>13.620372772216797</v>
      </c>
    </row>
    <row r="38" spans="1:8">
      <c r="A38" s="117" t="s">
        <v>245</v>
      </c>
      <c r="B38" s="84"/>
      <c r="C38" s="84"/>
      <c r="D38" s="84"/>
      <c r="E38" s="116">
        <v>14.77447509765625</v>
      </c>
      <c r="F38" s="106">
        <v>15.046281814575195</v>
      </c>
      <c r="G38" s="106">
        <v>14.986320495605469</v>
      </c>
      <c r="H38" s="106">
        <f t="shared" si="9"/>
        <v>14.935692469278971</v>
      </c>
    </row>
    <row r="39" spans="1:8">
      <c r="A39" s="117" t="s">
        <v>245</v>
      </c>
      <c r="C39" s="84"/>
      <c r="D39" s="84"/>
      <c r="E39" s="116">
        <v>13.851560592651367</v>
      </c>
      <c r="F39" s="106">
        <v>14.262241363525391</v>
      </c>
      <c r="G39" s="106">
        <v>14.016228675842285</v>
      </c>
      <c r="H39" s="106">
        <f t="shared" si="9"/>
        <v>14.043343544006348</v>
      </c>
    </row>
    <row r="40" spans="1:8">
      <c r="A40" s="117" t="s">
        <v>246</v>
      </c>
      <c r="E40" s="116">
        <v>14.028319358825684</v>
      </c>
      <c r="F40" s="106">
        <v>14.285782814025879</v>
      </c>
      <c r="G40" s="106">
        <v>14.480982780456543</v>
      </c>
      <c r="H40" s="106">
        <f t="shared" si="9"/>
        <v>14.265028317769369</v>
      </c>
    </row>
    <row r="41" spans="1:8">
      <c r="A41" s="117" t="s">
        <v>246</v>
      </c>
      <c r="E41" s="116">
        <v>14.83289909362793</v>
      </c>
      <c r="F41" s="106">
        <v>14.839167594909668</v>
      </c>
      <c r="G41" s="106">
        <v>14.813106536865234</v>
      </c>
      <c r="H41" s="106">
        <f t="shared" si="9"/>
        <v>14.828391075134277</v>
      </c>
    </row>
    <row r="42" spans="1:8">
      <c r="A42" s="117" t="s">
        <v>247</v>
      </c>
      <c r="E42" s="116">
        <v>15.412906646728516</v>
      </c>
      <c r="F42" s="106">
        <v>15.433472633361816</v>
      </c>
      <c r="G42" s="106">
        <v>15.37113094329834</v>
      </c>
      <c r="H42" s="106">
        <f t="shared" si="9"/>
        <v>15.405836741129557</v>
      </c>
    </row>
    <row r="43" spans="1:8">
      <c r="A43" s="117" t="s">
        <v>247</v>
      </c>
      <c r="E43" s="116">
        <v>15.125240325927734</v>
      </c>
      <c r="F43" s="106">
        <v>15.287156105041504</v>
      </c>
      <c r="G43" s="106">
        <v>15.169957160949707</v>
      </c>
      <c r="H43" s="106">
        <f t="shared" si="9"/>
        <v>15.194117863972982</v>
      </c>
    </row>
    <row r="44" spans="1:8">
      <c r="A44" s="117" t="s">
        <v>248</v>
      </c>
      <c r="E44" s="116">
        <v>14.932897567749023</v>
      </c>
      <c r="F44" s="106">
        <v>14.934226036071777</v>
      </c>
      <c r="G44" s="106">
        <v>14.918047904968262</v>
      </c>
      <c r="H44" s="106">
        <f t="shared" si="9"/>
        <v>14.928390502929688</v>
      </c>
    </row>
    <row r="45" spans="1:8">
      <c r="A45" s="117" t="s">
        <v>248</v>
      </c>
      <c r="E45" s="116">
        <v>14.112751960754395</v>
      </c>
      <c r="F45" s="106">
        <v>14.298762321472168</v>
      </c>
      <c r="G45" s="106">
        <v>14.374398231506348</v>
      </c>
      <c r="H45" s="106">
        <f t="shared" si="9"/>
        <v>14.261970837910971</v>
      </c>
    </row>
    <row r="46" spans="1:8">
      <c r="A46" s="117" t="s">
        <v>249</v>
      </c>
      <c r="E46" s="116">
        <v>14.954710960388184</v>
      </c>
      <c r="F46" s="106">
        <v>14.841438293457031</v>
      </c>
      <c r="G46" s="106">
        <v>15.281417846679688</v>
      </c>
      <c r="H46" s="106">
        <f t="shared" si="9"/>
        <v>15.025855700174967</v>
      </c>
    </row>
    <row r="47" spans="1:8">
      <c r="A47" s="117" t="s">
        <v>250</v>
      </c>
      <c r="E47" s="116">
        <v>14.948505401611328</v>
      </c>
      <c r="F47" s="106">
        <v>15.147294044494629</v>
      </c>
      <c r="G47" s="106">
        <v>14.959335327148438</v>
      </c>
      <c r="H47" s="106">
        <f t="shared" si="9"/>
        <v>15.018378257751465</v>
      </c>
    </row>
    <row r="48" spans="1:8">
      <c r="A48" s="95" t="s">
        <v>251</v>
      </c>
      <c r="B48" s="84"/>
      <c r="C48" s="84"/>
      <c r="D48" s="84"/>
      <c r="E48" s="116">
        <v>15.064580917358398</v>
      </c>
      <c r="F48" s="106">
        <v>15.123675346374512</v>
      </c>
      <c r="G48" s="106">
        <v>15.059396743774414</v>
      </c>
      <c r="H48" s="106">
        <f t="shared" si="9"/>
        <v>15.082551002502441</v>
      </c>
    </row>
    <row r="49" spans="1:8">
      <c r="A49" s="95" t="s">
        <v>252</v>
      </c>
      <c r="B49" s="84"/>
      <c r="C49" s="84"/>
      <c r="D49" s="84"/>
      <c r="E49" s="116">
        <v>14.438828468322754</v>
      </c>
      <c r="F49" s="106">
        <v>14.371813774108887</v>
      </c>
      <c r="G49" s="106">
        <v>15.339963912963867</v>
      </c>
      <c r="H49" s="106">
        <f t="shared" si="9"/>
        <v>14.71686871846517</v>
      </c>
    </row>
    <row r="50" spans="1:8">
      <c r="A50" s="95" t="s">
        <v>253</v>
      </c>
      <c r="B50" s="84"/>
      <c r="C50" s="84"/>
      <c r="D50" s="84"/>
      <c r="E50" s="116">
        <v>14.56031322479248</v>
      </c>
      <c r="F50" s="106">
        <v>14.785432815551758</v>
      </c>
      <c r="G50" s="106">
        <v>14.991518974304199</v>
      </c>
      <c r="H50" s="106">
        <f t="shared" si="9"/>
        <v>14.779088338216146</v>
      </c>
    </row>
    <row r="51" spans="1:8">
      <c r="A51" s="95" t="s">
        <v>254</v>
      </c>
      <c r="B51" s="84"/>
      <c r="C51" s="84"/>
      <c r="D51" s="84"/>
      <c r="E51" s="116">
        <v>15.04175853729248</v>
      </c>
      <c r="F51" s="106">
        <v>15.037652969360352</v>
      </c>
      <c r="G51" s="106">
        <v>14.94129753112793</v>
      </c>
      <c r="H51" s="106">
        <f t="shared" si="9"/>
        <v>15.006903012593588</v>
      </c>
    </row>
    <row r="52" spans="1:8">
      <c r="A52" s="95" t="s">
        <v>255</v>
      </c>
      <c r="B52" s="84"/>
      <c r="C52" s="84"/>
      <c r="D52" s="84"/>
      <c r="E52" s="116">
        <v>15.191975593566895</v>
      </c>
      <c r="F52" s="106">
        <v>15.268773078918457</v>
      </c>
      <c r="G52" s="106">
        <v>15.282587051391602</v>
      </c>
      <c r="H52" s="106">
        <f t="shared" si="9"/>
        <v>15.24777857462565</v>
      </c>
    </row>
    <row r="53" spans="1:8">
      <c r="A53" s="95" t="s">
        <v>274</v>
      </c>
      <c r="B53" s="84"/>
      <c r="C53" s="84"/>
      <c r="D53" s="84"/>
      <c r="E53" s="116">
        <v>15.494284629821777</v>
      </c>
      <c r="F53" s="106">
        <v>15.500131607055664</v>
      </c>
      <c r="G53" s="106">
        <v>15.308513641357422</v>
      </c>
      <c r="H53" s="106">
        <f t="shared" si="9"/>
        <v>15.434309959411621</v>
      </c>
    </row>
    <row r="54" spans="1:8">
      <c r="A54" s="95" t="s">
        <v>276</v>
      </c>
      <c r="B54" s="84"/>
      <c r="C54" s="84"/>
      <c r="D54" s="84"/>
      <c r="E54" s="116">
        <v>15.209195137023926</v>
      </c>
      <c r="F54" s="106">
        <v>15.267397880554199</v>
      </c>
      <c r="G54" s="106">
        <v>15.118107795715332</v>
      </c>
      <c r="H54" s="106">
        <f t="shared" si="9"/>
        <v>15.198233604431152</v>
      </c>
    </row>
    <row r="55" spans="1:8">
      <c r="A55" s="95" t="s">
        <v>277</v>
      </c>
      <c r="B55" s="84"/>
      <c r="C55" s="84"/>
      <c r="D55" s="84"/>
      <c r="E55" s="116">
        <v>15.095216751098633</v>
      </c>
      <c r="F55" s="106">
        <v>15.058335304260254</v>
      </c>
      <c r="G55" s="106">
        <v>15.188286781311035</v>
      </c>
      <c r="H55" s="106">
        <f t="shared" si="9"/>
        <v>15.113946278889975</v>
      </c>
    </row>
    <row r="56" spans="1:8">
      <c r="A56" s="95" t="s">
        <v>278</v>
      </c>
      <c r="B56" s="84"/>
      <c r="C56" s="84"/>
      <c r="D56" s="84"/>
      <c r="E56" s="116">
        <v>14.974048614501953</v>
      </c>
      <c r="F56" s="106">
        <v>15.016510009765625</v>
      </c>
      <c r="G56" s="106">
        <v>14.949863433837891</v>
      </c>
      <c r="H56" s="106">
        <f t="shared" si="9"/>
        <v>14.980140686035156</v>
      </c>
    </row>
    <row r="57" spans="1:8">
      <c r="A57" s="95" t="s">
        <v>288</v>
      </c>
      <c r="E57" s="116">
        <v>15.325250625610352</v>
      </c>
      <c r="F57" s="106">
        <v>15.371528625488281</v>
      </c>
      <c r="G57" s="106">
        <v>15.399141311645508</v>
      </c>
      <c r="H57" s="106">
        <f t="shared" si="9"/>
        <v>15.365306854248047</v>
      </c>
    </row>
    <row r="58" spans="1:8">
      <c r="A58" s="95" t="s">
        <v>288</v>
      </c>
      <c r="E58" s="116">
        <v>15.129462242126465</v>
      </c>
      <c r="F58" s="106">
        <v>15.041775703430176</v>
      </c>
      <c r="G58" s="106">
        <v>15.221658706665039</v>
      </c>
      <c r="H58" s="106">
        <f t="shared" si="9"/>
        <v>15.13096555074056</v>
      </c>
    </row>
    <row r="59" spans="1:8">
      <c r="A59" s="95" t="s">
        <v>289</v>
      </c>
      <c r="E59" s="116">
        <v>15.064123153686523</v>
      </c>
      <c r="F59" s="106">
        <v>15.073297500610352</v>
      </c>
      <c r="G59" s="106">
        <v>15.109650611877441</v>
      </c>
      <c r="H59" s="106">
        <f t="shared" si="9"/>
        <v>15.082357088724772</v>
      </c>
    </row>
    <row r="60" spans="1:8">
      <c r="A60" s="95" t="s">
        <v>290</v>
      </c>
      <c r="E60" s="116">
        <v>15.271329879760742</v>
      </c>
      <c r="F60" s="106">
        <v>15.260854721069336</v>
      </c>
      <c r="G60" s="106">
        <v>15.188329696655273</v>
      </c>
      <c r="H60" s="106">
        <f t="shared" si="9"/>
        <v>15.240171432495117</v>
      </c>
    </row>
    <row r="61" spans="1:8">
      <c r="A61" s="95" t="s">
        <v>291</v>
      </c>
      <c r="E61" s="116">
        <v>14.958261489868164</v>
      </c>
      <c r="F61" s="106">
        <v>14.991987228393555</v>
      </c>
      <c r="G61" s="106">
        <v>15.025043487548828</v>
      </c>
      <c r="H61" s="106">
        <f t="shared" si="9"/>
        <v>14.991764068603516</v>
      </c>
    </row>
    <row r="62" spans="1:8">
      <c r="A62" s="95" t="s">
        <v>292</v>
      </c>
      <c r="E62" s="116">
        <v>15.201624870300293</v>
      </c>
      <c r="F62" s="106">
        <v>15.184474945068359</v>
      </c>
      <c r="G62" s="106">
        <v>15.128211975097656</v>
      </c>
      <c r="H62" s="106">
        <f t="shared" si="9"/>
        <v>15.17143726348877</v>
      </c>
    </row>
    <row r="63" spans="1:8">
      <c r="A63" s="95" t="s">
        <v>292</v>
      </c>
      <c r="E63" s="116">
        <v>15.056846618652344</v>
      </c>
      <c r="F63" s="106">
        <v>15.079096794128418</v>
      </c>
      <c r="G63" s="106">
        <v>14.947562217712402</v>
      </c>
      <c r="H63" s="106">
        <f t="shared" si="9"/>
        <v>15.027835210164389</v>
      </c>
    </row>
    <row r="64" spans="1:8">
      <c r="A64" s="95" t="s">
        <v>293</v>
      </c>
      <c r="E64" s="116">
        <v>15.4</v>
      </c>
      <c r="F64" s="106">
        <v>14.7</v>
      </c>
      <c r="G64" s="106">
        <v>14.2</v>
      </c>
      <c r="H64" s="106">
        <f t="shared" si="9"/>
        <v>14.766666666666666</v>
      </c>
    </row>
    <row r="65" spans="1:8">
      <c r="A65" s="95" t="s">
        <v>293</v>
      </c>
      <c r="E65" s="124">
        <v>14.4</v>
      </c>
      <c r="F65" s="125">
        <v>14.4</v>
      </c>
      <c r="G65" s="125">
        <v>14.5</v>
      </c>
      <c r="H65" s="106">
        <f t="shared" si="9"/>
        <v>14.433333333333332</v>
      </c>
    </row>
    <row r="66" spans="1:8">
      <c r="A66" s="95" t="s">
        <v>294</v>
      </c>
      <c r="E66" s="124">
        <v>15.11392879486084</v>
      </c>
      <c r="F66" s="125">
        <v>15.182292938232422</v>
      </c>
      <c r="G66" s="125">
        <v>15.373931884765625</v>
      </c>
      <c r="H66" s="106">
        <f t="shared" si="9"/>
        <v>15.223384539286295</v>
      </c>
    </row>
    <row r="67" spans="1:8">
      <c r="A67" s="95" t="s">
        <v>295</v>
      </c>
      <c r="B67" s="84"/>
      <c r="C67" s="84"/>
      <c r="D67" s="84"/>
      <c r="E67" s="124">
        <v>14.613919258117676</v>
      </c>
      <c r="F67" s="125">
        <v>14.544337272644043</v>
      </c>
      <c r="G67" s="125">
        <v>14.610519409179688</v>
      </c>
      <c r="H67" s="106">
        <f t="shared" si="9"/>
        <v>14.589591979980469</v>
      </c>
    </row>
    <row r="68" spans="1:8">
      <c r="A68" s="95" t="s">
        <v>296</v>
      </c>
      <c r="B68" s="84"/>
      <c r="C68" s="84"/>
      <c r="D68" s="84"/>
      <c r="E68" s="124">
        <v>14.970376014709473</v>
      </c>
      <c r="F68" s="125">
        <v>14.902167320251465</v>
      </c>
      <c r="G68" s="125">
        <v>14.964475631713867</v>
      </c>
      <c r="H68" s="106">
        <f t="shared" si="9"/>
        <v>14.945672988891602</v>
      </c>
    </row>
    <row r="69" spans="1:8">
      <c r="A69" s="95" t="s">
        <v>297</v>
      </c>
      <c r="B69" s="84"/>
      <c r="C69" s="84"/>
      <c r="D69" s="84"/>
      <c r="E69" s="124">
        <v>15.184457778930664</v>
      </c>
      <c r="F69" s="125">
        <v>15.273150444030762</v>
      </c>
      <c r="G69" s="125">
        <v>15.250771522521973</v>
      </c>
      <c r="H69" s="106">
        <f t="shared" si="9"/>
        <v>15.236126581827799</v>
      </c>
    </row>
    <row r="70" spans="1:8">
      <c r="A70" s="95" t="s">
        <v>298</v>
      </c>
      <c r="B70" s="84"/>
      <c r="C70" s="84"/>
      <c r="D70" s="84"/>
      <c r="E70" s="124">
        <v>15.047176361083984</v>
      </c>
      <c r="F70" s="125">
        <v>15.114773750305176</v>
      </c>
      <c r="G70" s="125">
        <v>15.180623054504395</v>
      </c>
      <c r="H70" s="106">
        <f t="shared" si="9"/>
        <v>15.114191055297852</v>
      </c>
    </row>
    <row r="71" spans="1:8">
      <c r="A71" s="95" t="s">
        <v>299</v>
      </c>
      <c r="B71" s="84"/>
      <c r="E71" s="124">
        <v>14.840383529663086</v>
      </c>
      <c r="F71" s="125">
        <v>14.916571617126465</v>
      </c>
      <c r="G71" s="125">
        <v>14.954231262207031</v>
      </c>
      <c r="H71" s="106">
        <f t="shared" si="9"/>
        <v>14.903728802998861</v>
      </c>
    </row>
    <row r="72" spans="1:8">
      <c r="A72" s="95" t="s">
        <v>300</v>
      </c>
      <c r="E72" s="124">
        <v>15.199845314025879</v>
      </c>
      <c r="F72" s="125">
        <v>15.533450126647949</v>
      </c>
      <c r="G72" s="125">
        <v>15.423110961914062</v>
      </c>
      <c r="H72" s="106">
        <f>AVERAGE(E72:G72)</f>
        <v>15.385468800862631</v>
      </c>
    </row>
    <row r="73" spans="1:8">
      <c r="A73" s="95" t="s">
        <v>301</v>
      </c>
      <c r="B73" s="84"/>
      <c r="E73" s="124">
        <v>15.120054244995117</v>
      </c>
      <c r="F73" s="125">
        <v>15.144433975219727</v>
      </c>
      <c r="G73" s="125">
        <v>15.071084976196289</v>
      </c>
      <c r="H73" s="106">
        <f t="shared" si="9"/>
        <v>15.111857732137045</v>
      </c>
    </row>
    <row r="74" spans="1:8">
      <c r="A74" s="95" t="s">
        <v>301</v>
      </c>
      <c r="E74" s="124">
        <v>15.292695999145508</v>
      </c>
      <c r="F74" s="125">
        <v>15.627285957336426</v>
      </c>
      <c r="G74" s="125">
        <v>15.304715156555176</v>
      </c>
      <c r="H74" s="106">
        <f t="shared" si="9"/>
        <v>15.408232371012369</v>
      </c>
    </row>
    <row r="75" spans="1:8">
      <c r="A75" s="95" t="s">
        <v>307</v>
      </c>
      <c r="E75" s="124">
        <v>15.044212341308594</v>
      </c>
      <c r="F75" s="125">
        <v>15.046442985534668</v>
      </c>
      <c r="G75" s="125">
        <v>15.083253860473633</v>
      </c>
      <c r="H75" s="106">
        <f>AVERAGE(E75:G75)</f>
        <v>15.057969729105631</v>
      </c>
    </row>
    <row r="76" spans="1:8">
      <c r="A76" s="95"/>
      <c r="E76" s="112"/>
      <c r="F76" s="112"/>
      <c r="G76" s="112"/>
      <c r="H76" s="112"/>
    </row>
    <row r="77" spans="1:8">
      <c r="A77" s="117"/>
    </row>
    <row r="78" spans="1:8">
      <c r="G78" t="s">
        <v>256</v>
      </c>
      <c r="H78" s="80">
        <f>AVERAGE(H30:H75)</f>
        <v>14.791738555742343</v>
      </c>
    </row>
  </sheetData>
  <mergeCells count="19">
    <mergeCell ref="S2:S3"/>
    <mergeCell ref="M2:M3"/>
    <mergeCell ref="N2:N3"/>
    <mergeCell ref="O2:O3"/>
    <mergeCell ref="P2:P3"/>
    <mergeCell ref="Q2:Q3"/>
    <mergeCell ref="R2:R3"/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topLeftCell="A12" workbookViewId="0">
      <selection activeCell="I47" sqref="I47"/>
    </sheetView>
  </sheetViews>
  <sheetFormatPr baseColWidth="10" defaultRowHeight="14" x14ac:dyDescent="0"/>
  <cols>
    <col min="7" max="7" width="11" bestFit="1" customWidth="1"/>
  </cols>
  <sheetData>
    <row r="1" spans="1:22">
      <c r="A1" s="84"/>
      <c r="B1" s="145" t="s">
        <v>4</v>
      </c>
      <c r="C1" s="147" t="s">
        <v>182</v>
      </c>
      <c r="D1" s="148" t="s">
        <v>18</v>
      </c>
      <c r="E1" s="148"/>
      <c r="F1" s="148"/>
      <c r="G1" s="148"/>
      <c r="H1" s="148" t="s">
        <v>20</v>
      </c>
      <c r="I1" s="148"/>
      <c r="J1" s="148"/>
      <c r="K1" s="148"/>
      <c r="L1" s="148" t="s">
        <v>21</v>
      </c>
      <c r="M1" s="148"/>
      <c r="N1" s="148"/>
      <c r="O1" s="148"/>
      <c r="P1" s="85" t="s">
        <v>22</v>
      </c>
      <c r="Q1" s="85" t="s">
        <v>22</v>
      </c>
      <c r="R1" s="85" t="s">
        <v>22</v>
      </c>
      <c r="S1" s="140" t="s">
        <v>183</v>
      </c>
      <c r="T1" s="84"/>
      <c r="U1" s="84"/>
      <c r="V1" s="84"/>
    </row>
    <row r="2" spans="1:22">
      <c r="A2" s="84"/>
      <c r="B2" s="146"/>
      <c r="C2" s="146"/>
      <c r="D2" s="86" t="s">
        <v>19</v>
      </c>
      <c r="E2" s="86" t="s">
        <v>68</v>
      </c>
      <c r="F2" s="86" t="s">
        <v>69</v>
      </c>
      <c r="G2" s="86" t="s">
        <v>70</v>
      </c>
      <c r="H2" s="86" t="s">
        <v>19</v>
      </c>
      <c r="I2" s="86" t="s">
        <v>68</v>
      </c>
      <c r="J2" s="86" t="s">
        <v>69</v>
      </c>
      <c r="K2" s="86" t="s">
        <v>70</v>
      </c>
      <c r="L2" s="86" t="s">
        <v>19</v>
      </c>
      <c r="M2" s="86" t="s">
        <v>68</v>
      </c>
      <c r="N2" s="86" t="s">
        <v>69</v>
      </c>
      <c r="O2" s="86" t="s">
        <v>71</v>
      </c>
      <c r="P2" s="87" t="s">
        <v>70</v>
      </c>
      <c r="Q2" s="87" t="s">
        <v>23</v>
      </c>
      <c r="R2" s="87" t="s">
        <v>72</v>
      </c>
      <c r="S2" s="141"/>
      <c r="T2" s="84"/>
      <c r="U2" s="84"/>
      <c r="V2" s="84"/>
    </row>
    <row r="3" spans="1:22">
      <c r="A3" s="84"/>
      <c r="B3" s="88"/>
      <c r="C3" s="88"/>
      <c r="D3" s="89"/>
      <c r="E3" s="89"/>
      <c r="F3" s="89"/>
      <c r="G3" s="90"/>
      <c r="H3" s="89"/>
      <c r="I3" s="89"/>
      <c r="J3" s="89"/>
      <c r="K3" s="90"/>
      <c r="L3" s="89"/>
      <c r="M3" s="89"/>
      <c r="N3" s="89"/>
      <c r="O3" s="90"/>
      <c r="P3" s="142"/>
      <c r="Q3" s="143"/>
      <c r="R3" s="144"/>
      <c r="S3" s="84"/>
      <c r="T3" s="84"/>
      <c r="U3" s="84"/>
      <c r="V3" s="84"/>
    </row>
    <row r="4" spans="1:22">
      <c r="A4" s="84"/>
      <c r="B4" s="91" t="s">
        <v>184</v>
      </c>
      <c r="C4" s="92">
        <v>500</v>
      </c>
      <c r="D4" s="92">
        <v>2</v>
      </c>
      <c r="E4" s="92">
        <v>11777</v>
      </c>
      <c r="F4" s="92">
        <v>6</v>
      </c>
      <c r="G4" s="90">
        <f>(E4/F4)*(10.2)*POWER(10,D4+2)</f>
        <v>200208999.99999997</v>
      </c>
      <c r="H4" s="92">
        <v>2</v>
      </c>
      <c r="I4" s="92">
        <v>12350</v>
      </c>
      <c r="J4" s="92">
        <v>6</v>
      </c>
      <c r="K4" s="90">
        <f>(I4/J4)*(10.2)*POWER(10,H4+2)</f>
        <v>209950000</v>
      </c>
      <c r="L4" s="92">
        <v>2</v>
      </c>
      <c r="M4" s="92">
        <v>12193</v>
      </c>
      <c r="N4" s="92">
        <v>6</v>
      </c>
      <c r="O4" s="90">
        <f t="shared" ref="O4:O19" si="0">(M4/N4)*(10.2)*POWER(10,L4+2)</f>
        <v>207281000</v>
      </c>
      <c r="P4" s="93">
        <f t="shared" ref="P4:P19" si="1">AVERAGE(O4,K4,G4)</f>
        <v>205813333.33333334</v>
      </c>
      <c r="Q4" s="93">
        <f t="shared" ref="Q4:Q19" si="2">STDEV(O4,K4,G4)</f>
        <v>5033617.4202389978</v>
      </c>
      <c r="R4" s="94">
        <f>LOG(P4)</f>
        <v>8.313473506507659</v>
      </c>
      <c r="S4" s="95"/>
      <c r="T4" s="84"/>
      <c r="U4" s="84"/>
      <c r="V4" s="84"/>
    </row>
    <row r="5" spans="1:22">
      <c r="A5" s="84"/>
      <c r="B5" s="91" t="s">
        <v>185</v>
      </c>
      <c r="C5" s="92">
        <v>500</v>
      </c>
      <c r="D5" s="92">
        <v>1</v>
      </c>
      <c r="E5" s="92">
        <v>10368</v>
      </c>
      <c r="F5" s="92">
        <v>6</v>
      </c>
      <c r="G5" s="90">
        <f t="shared" ref="G5:G19" si="3">(E5/F5)*(10.2)*POWER(10,D5+2)</f>
        <v>17625600</v>
      </c>
      <c r="H5" s="92">
        <v>1</v>
      </c>
      <c r="I5" s="92">
        <v>11649</v>
      </c>
      <c r="J5" s="92">
        <v>6</v>
      </c>
      <c r="K5" s="90">
        <f t="shared" ref="K5:K19" si="4">(I5/J5)*(10.2)*POWER(10,H5+2)</f>
        <v>19803300</v>
      </c>
      <c r="L5" s="92">
        <v>1</v>
      </c>
      <c r="M5" s="92">
        <v>11377</v>
      </c>
      <c r="N5" s="92">
        <v>6</v>
      </c>
      <c r="O5" s="90">
        <f t="shared" si="0"/>
        <v>19340899.999999996</v>
      </c>
      <c r="P5" s="93">
        <f t="shared" si="1"/>
        <v>18923266.666666668</v>
      </c>
      <c r="Q5" s="93">
        <f t="shared" si="2"/>
        <v>1147348.0393208207</v>
      </c>
      <c r="R5" s="94">
        <f t="shared" ref="R5:R19" si="5">LOG(P5)</f>
        <v>7.2769961094890272</v>
      </c>
      <c r="S5" s="84"/>
      <c r="T5" s="84"/>
      <c r="U5" s="84"/>
      <c r="V5" s="84"/>
    </row>
    <row r="6" spans="1:22">
      <c r="A6" s="84"/>
      <c r="B6" s="91" t="s">
        <v>186</v>
      </c>
      <c r="C6" s="92">
        <v>500</v>
      </c>
      <c r="D6" s="92">
        <v>1</v>
      </c>
      <c r="E6" s="92">
        <v>1368</v>
      </c>
      <c r="F6" s="92">
        <v>6</v>
      </c>
      <c r="G6" s="90">
        <f t="shared" si="3"/>
        <v>2325600</v>
      </c>
      <c r="H6" s="92">
        <v>1</v>
      </c>
      <c r="I6" s="92">
        <v>1169</v>
      </c>
      <c r="J6" s="92">
        <v>6</v>
      </c>
      <c r="K6" s="90">
        <f t="shared" si="4"/>
        <v>1987300</v>
      </c>
      <c r="L6" s="92">
        <v>1</v>
      </c>
      <c r="M6" s="92">
        <v>1324</v>
      </c>
      <c r="N6" s="92">
        <v>6</v>
      </c>
      <c r="O6" s="90">
        <f t="shared" si="0"/>
        <v>2250799.9999999995</v>
      </c>
      <c r="P6" s="93">
        <f t="shared" si="1"/>
        <v>2187900</v>
      </c>
      <c r="Q6" s="93">
        <f t="shared" si="2"/>
        <v>177704.89582451005</v>
      </c>
      <c r="R6" s="94">
        <f t="shared" si="5"/>
        <v>6.3400274682826607</v>
      </c>
      <c r="S6" s="84"/>
      <c r="T6" s="84"/>
      <c r="U6" s="84"/>
      <c r="V6" s="84"/>
    </row>
    <row r="7" spans="1:22">
      <c r="A7" s="84"/>
      <c r="B7" s="91" t="s">
        <v>187</v>
      </c>
      <c r="C7" s="92">
        <v>500</v>
      </c>
      <c r="D7" s="92">
        <v>1</v>
      </c>
      <c r="E7" s="92">
        <v>1657</v>
      </c>
      <c r="F7" s="92">
        <v>67</v>
      </c>
      <c r="G7" s="90">
        <f>(E7/F7)*(10.2)*POWER(10,D7+2)</f>
        <v>252259.70149253728</v>
      </c>
      <c r="H7" s="92">
        <v>1</v>
      </c>
      <c r="I7" s="92">
        <v>1712</v>
      </c>
      <c r="J7" s="92">
        <v>67</v>
      </c>
      <c r="K7" s="90">
        <f t="shared" si="4"/>
        <v>260632.83582089547</v>
      </c>
      <c r="L7" s="92">
        <v>1</v>
      </c>
      <c r="M7" s="92">
        <v>1701</v>
      </c>
      <c r="N7" s="92">
        <v>67</v>
      </c>
      <c r="O7" s="90">
        <f t="shared" si="0"/>
        <v>258958.20895522388</v>
      </c>
      <c r="P7" s="93">
        <f t="shared" si="1"/>
        <v>257283.58208955219</v>
      </c>
      <c r="Q7" s="93">
        <f t="shared" si="2"/>
        <v>4430.6462253947329</v>
      </c>
      <c r="R7" s="94">
        <f t="shared" si="5"/>
        <v>5.410412073674765</v>
      </c>
      <c r="S7" s="95"/>
      <c r="T7" s="84"/>
      <c r="U7" s="84"/>
      <c r="V7" s="84"/>
    </row>
    <row r="8" spans="1:22">
      <c r="A8" s="84"/>
      <c r="B8" s="91" t="s">
        <v>188</v>
      </c>
      <c r="C8" s="92">
        <v>500</v>
      </c>
      <c r="D8" s="92">
        <v>1</v>
      </c>
      <c r="E8" s="92">
        <v>1582</v>
      </c>
      <c r="F8" s="92">
        <v>334</v>
      </c>
      <c r="G8" s="90">
        <f t="shared" si="3"/>
        <v>48312.574850299396</v>
      </c>
      <c r="H8" s="92">
        <v>1</v>
      </c>
      <c r="I8" s="92">
        <v>1222</v>
      </c>
      <c r="J8" s="92">
        <v>334</v>
      </c>
      <c r="K8" s="90">
        <f t="shared" si="4"/>
        <v>37318.562874251496</v>
      </c>
      <c r="L8" s="92">
        <v>1</v>
      </c>
      <c r="M8" s="92">
        <v>1331</v>
      </c>
      <c r="N8" s="92">
        <v>334</v>
      </c>
      <c r="O8" s="90">
        <f t="shared" si="0"/>
        <v>40647.305389221554</v>
      </c>
      <c r="P8" s="93">
        <f t="shared" si="1"/>
        <v>42092.814371257482</v>
      </c>
      <c r="Q8" s="93">
        <f t="shared" si="2"/>
        <v>5637.7475107733544</v>
      </c>
      <c r="R8" s="94">
        <f t="shared" si="5"/>
        <v>4.6242079641192557</v>
      </c>
      <c r="S8" s="95"/>
      <c r="T8" s="84"/>
      <c r="U8" s="84"/>
      <c r="V8" s="84"/>
    </row>
    <row r="9" spans="1:22">
      <c r="A9" s="84"/>
      <c r="B9" s="91" t="s">
        <v>189</v>
      </c>
      <c r="C9" s="92">
        <v>900</v>
      </c>
      <c r="D9" s="92">
        <v>2</v>
      </c>
      <c r="E9" s="92">
        <v>14797</v>
      </c>
      <c r="F9" s="92">
        <v>6</v>
      </c>
      <c r="G9" s="90">
        <f t="shared" si="3"/>
        <v>251548999.99999997</v>
      </c>
      <c r="H9" s="92">
        <v>2</v>
      </c>
      <c r="I9" s="92">
        <v>12831</v>
      </c>
      <c r="J9" s="92">
        <v>6</v>
      </c>
      <c r="K9" s="90">
        <f t="shared" si="4"/>
        <v>218126999.99999997</v>
      </c>
      <c r="L9" s="92">
        <v>2</v>
      </c>
      <c r="M9" s="92">
        <v>13557</v>
      </c>
      <c r="N9" s="92">
        <v>6</v>
      </c>
      <c r="O9" s="90">
        <f t="shared" si="0"/>
        <v>230468999.99999997</v>
      </c>
      <c r="P9" s="93">
        <f t="shared" si="1"/>
        <v>233381666.66666663</v>
      </c>
      <c r="Q9" s="93">
        <f t="shared" si="2"/>
        <v>16900302.995311458</v>
      </c>
      <c r="R9" s="94">
        <f t="shared" si="5"/>
        <v>8.3680667369783137</v>
      </c>
      <c r="S9" s="84"/>
      <c r="T9" s="84"/>
      <c r="U9" s="84"/>
      <c r="V9" s="84"/>
    </row>
    <row r="10" spans="1:22">
      <c r="A10" s="84"/>
      <c r="B10" s="91" t="s">
        <v>190</v>
      </c>
      <c r="C10" s="92">
        <v>900</v>
      </c>
      <c r="D10" s="92">
        <v>2</v>
      </c>
      <c r="E10" s="92">
        <v>6167</v>
      </c>
      <c r="F10" s="92">
        <v>6</v>
      </c>
      <c r="G10" s="90">
        <f t="shared" si="3"/>
        <v>104838999.99999999</v>
      </c>
      <c r="H10" s="92">
        <v>2</v>
      </c>
      <c r="I10" s="92">
        <v>6132</v>
      </c>
      <c r="J10" s="92">
        <v>6</v>
      </c>
      <c r="K10" s="90">
        <f t="shared" si="4"/>
        <v>104244000</v>
      </c>
      <c r="L10" s="92">
        <v>2</v>
      </c>
      <c r="M10" s="92">
        <v>5412</v>
      </c>
      <c r="N10" s="92">
        <v>6</v>
      </c>
      <c r="O10" s="90">
        <f t="shared" si="0"/>
        <v>92004000</v>
      </c>
      <c r="P10" s="93">
        <f t="shared" si="1"/>
        <v>100362333.33333333</v>
      </c>
      <c r="Q10" s="93">
        <f t="shared" si="2"/>
        <v>7244639.9726510411</v>
      </c>
      <c r="R10" s="94">
        <f t="shared" si="5"/>
        <v>8.0015707497132311</v>
      </c>
      <c r="S10" s="84"/>
      <c r="T10" s="84"/>
      <c r="U10" s="84"/>
      <c r="V10" s="84"/>
    </row>
    <row r="11" spans="1:22">
      <c r="A11" s="84"/>
      <c r="B11" s="91" t="s">
        <v>191</v>
      </c>
      <c r="C11" s="92">
        <v>900</v>
      </c>
      <c r="D11" s="92">
        <v>2</v>
      </c>
      <c r="E11" s="92">
        <v>2783</v>
      </c>
      <c r="F11" s="92">
        <v>6</v>
      </c>
      <c r="G11" s="90">
        <f t="shared" si="3"/>
        <v>47310999.999999993</v>
      </c>
      <c r="H11" s="92">
        <v>2</v>
      </c>
      <c r="I11" s="92">
        <v>2791</v>
      </c>
      <c r="J11" s="92">
        <v>6</v>
      </c>
      <c r="K11" s="90">
        <f t="shared" si="4"/>
        <v>47447000</v>
      </c>
      <c r="L11" s="92">
        <v>2</v>
      </c>
      <c r="M11" s="92">
        <v>2844</v>
      </c>
      <c r="N11" s="92">
        <v>6</v>
      </c>
      <c r="O11" s="90">
        <f t="shared" si="0"/>
        <v>48347999.999999993</v>
      </c>
      <c r="P11" s="93">
        <f t="shared" si="1"/>
        <v>47702000</v>
      </c>
      <c r="Q11" s="93">
        <f t="shared" si="2"/>
        <v>563569.87144452473</v>
      </c>
      <c r="R11" s="94">
        <f t="shared" si="5"/>
        <v>7.6785365880706147</v>
      </c>
      <c r="S11" s="84"/>
      <c r="T11" s="84"/>
      <c r="U11" s="84"/>
      <c r="V11" s="84"/>
    </row>
    <row r="12" spans="1:22">
      <c r="A12" s="84"/>
      <c r="B12" s="91" t="s">
        <v>192</v>
      </c>
      <c r="C12" s="92">
        <v>900</v>
      </c>
      <c r="D12" s="92">
        <v>1</v>
      </c>
      <c r="E12" s="92">
        <v>14347</v>
      </c>
      <c r="F12" s="92">
        <v>6</v>
      </c>
      <c r="G12" s="90">
        <f t="shared" si="3"/>
        <v>24389899.999999996</v>
      </c>
      <c r="H12" s="92">
        <v>1</v>
      </c>
      <c r="I12" s="92">
        <v>13548</v>
      </c>
      <c r="J12" s="92">
        <v>6</v>
      </c>
      <c r="K12" s="90">
        <f t="shared" si="4"/>
        <v>23031600</v>
      </c>
      <c r="L12" s="92">
        <v>1</v>
      </c>
      <c r="M12" s="92">
        <v>14200</v>
      </c>
      <c r="N12" s="92">
        <v>6</v>
      </c>
      <c r="O12" s="90">
        <f t="shared" si="0"/>
        <v>24139999.999999996</v>
      </c>
      <c r="P12" s="93">
        <f t="shared" si="1"/>
        <v>23853833.333333332</v>
      </c>
      <c r="Q12" s="93">
        <f t="shared" si="2"/>
        <v>722954.52369656716</v>
      </c>
      <c r="R12" s="94">
        <f t="shared" si="5"/>
        <v>7.3775581805140655</v>
      </c>
      <c r="S12" s="84"/>
      <c r="T12" s="84"/>
      <c r="U12" s="84"/>
      <c r="V12" s="84"/>
    </row>
    <row r="13" spans="1:22">
      <c r="A13" s="84"/>
      <c r="B13" s="91" t="s">
        <v>193</v>
      </c>
      <c r="C13" s="92">
        <v>900</v>
      </c>
      <c r="D13" s="92">
        <v>1</v>
      </c>
      <c r="E13" s="92">
        <v>5210</v>
      </c>
      <c r="F13" s="92">
        <v>6</v>
      </c>
      <c r="G13" s="90">
        <f t="shared" si="3"/>
        <v>8857000</v>
      </c>
      <c r="H13" s="92">
        <v>1</v>
      </c>
      <c r="I13" s="92">
        <v>5214</v>
      </c>
      <c r="J13" s="92">
        <v>6</v>
      </c>
      <c r="K13" s="90">
        <f t="shared" si="4"/>
        <v>8863800</v>
      </c>
      <c r="L13" s="92">
        <v>1</v>
      </c>
      <c r="M13" s="92">
        <v>5752</v>
      </c>
      <c r="N13" s="92">
        <v>6</v>
      </c>
      <c r="O13" s="90">
        <f t="shared" si="0"/>
        <v>9778400</v>
      </c>
      <c r="P13" s="93">
        <f t="shared" si="1"/>
        <v>9166400</v>
      </c>
      <c r="Q13" s="93">
        <f t="shared" si="2"/>
        <v>530018.4525089669</v>
      </c>
      <c r="R13" s="94">
        <f t="shared" si="5"/>
        <v>6.9621988049055377</v>
      </c>
      <c r="S13" s="84"/>
      <c r="T13" s="84"/>
      <c r="U13" s="84"/>
      <c r="V13" s="84"/>
    </row>
    <row r="14" spans="1:22">
      <c r="A14" s="84"/>
      <c r="B14" s="91" t="s">
        <v>194</v>
      </c>
      <c r="C14" s="92">
        <v>900</v>
      </c>
      <c r="D14" s="92">
        <v>1</v>
      </c>
      <c r="E14" s="92">
        <v>2620</v>
      </c>
      <c r="F14" s="92">
        <v>6</v>
      </c>
      <c r="G14" s="90">
        <f t="shared" si="3"/>
        <v>4454000</v>
      </c>
      <c r="H14" s="92">
        <v>1</v>
      </c>
      <c r="I14" s="92">
        <v>2454</v>
      </c>
      <c r="J14" s="92">
        <v>6</v>
      </c>
      <c r="K14" s="90">
        <f t="shared" si="4"/>
        <v>4171799.9999999991</v>
      </c>
      <c r="L14" s="92">
        <v>1</v>
      </c>
      <c r="M14" s="92">
        <v>2673</v>
      </c>
      <c r="N14" s="92">
        <v>6</v>
      </c>
      <c r="O14" s="90">
        <f t="shared" si="0"/>
        <v>4544099.9999999991</v>
      </c>
      <c r="P14" s="93">
        <f t="shared" si="1"/>
        <v>4389966.666666666</v>
      </c>
      <c r="Q14" s="93">
        <f t="shared" si="2"/>
        <v>194234.45454741904</v>
      </c>
      <c r="R14" s="94">
        <f t="shared" si="5"/>
        <v>6.642461222625335</v>
      </c>
      <c r="S14" s="84"/>
      <c r="T14" s="84"/>
      <c r="U14" s="84"/>
      <c r="V14" s="84"/>
    </row>
    <row r="15" spans="1:22">
      <c r="A15" s="84"/>
      <c r="B15" s="91" t="s">
        <v>195</v>
      </c>
      <c r="C15" s="92">
        <v>900</v>
      </c>
      <c r="D15" s="92">
        <v>1</v>
      </c>
      <c r="E15" s="92">
        <v>1562</v>
      </c>
      <c r="F15" s="92">
        <v>6</v>
      </c>
      <c r="G15" s="90">
        <f t="shared" si="3"/>
        <v>2655399.9999999995</v>
      </c>
      <c r="H15" s="92">
        <v>1</v>
      </c>
      <c r="I15" s="92">
        <v>1614</v>
      </c>
      <c r="J15" s="92">
        <v>6</v>
      </c>
      <c r="K15" s="90">
        <f t="shared" si="4"/>
        <v>2743799.9999999995</v>
      </c>
      <c r="L15" s="92">
        <v>1</v>
      </c>
      <c r="M15" s="92">
        <v>1660</v>
      </c>
      <c r="N15" s="92">
        <v>6</v>
      </c>
      <c r="O15" s="90">
        <f t="shared" si="0"/>
        <v>2822000</v>
      </c>
      <c r="P15" s="93">
        <f t="shared" si="1"/>
        <v>2740400</v>
      </c>
      <c r="Q15" s="93">
        <f t="shared" si="2"/>
        <v>83352.024570492809</v>
      </c>
      <c r="R15" s="94">
        <f t="shared" si="5"/>
        <v>6.4378139588473458</v>
      </c>
      <c r="S15" s="84"/>
      <c r="T15" s="84"/>
      <c r="U15" s="84"/>
      <c r="V15" s="84"/>
    </row>
    <row r="16" spans="1:22">
      <c r="A16" s="84"/>
      <c r="B16" s="91" t="s">
        <v>196</v>
      </c>
      <c r="C16" s="92">
        <v>900</v>
      </c>
      <c r="D16" s="92">
        <v>1</v>
      </c>
      <c r="E16" s="92">
        <v>2084</v>
      </c>
      <c r="F16" s="92">
        <v>13</v>
      </c>
      <c r="G16" s="90">
        <f t="shared" si="3"/>
        <v>1635138.4615384615</v>
      </c>
      <c r="H16" s="92">
        <v>1</v>
      </c>
      <c r="I16" s="92">
        <v>2144</v>
      </c>
      <c r="J16" s="92">
        <v>13</v>
      </c>
      <c r="K16" s="90">
        <f t="shared" si="4"/>
        <v>1682215.3846153847</v>
      </c>
      <c r="L16" s="92">
        <v>1</v>
      </c>
      <c r="M16" s="92">
        <v>1740</v>
      </c>
      <c r="N16" s="92">
        <v>13</v>
      </c>
      <c r="O16" s="90">
        <f t="shared" si="0"/>
        <v>1365230.769230769</v>
      </c>
      <c r="P16" s="93">
        <f t="shared" si="1"/>
        <v>1560861.5384615387</v>
      </c>
      <c r="Q16" s="93">
        <f t="shared" si="2"/>
        <v>171048.55326475156</v>
      </c>
      <c r="R16" s="94">
        <f t="shared" si="5"/>
        <v>6.1933643792000312</v>
      </c>
      <c r="S16" s="84"/>
      <c r="T16" s="84"/>
      <c r="U16" s="84"/>
      <c r="V16" s="84"/>
    </row>
    <row r="17" spans="1:22">
      <c r="A17" s="84"/>
      <c r="B17" s="91" t="s">
        <v>197</v>
      </c>
      <c r="C17" s="92">
        <v>900</v>
      </c>
      <c r="D17" s="92">
        <v>1</v>
      </c>
      <c r="E17" s="92">
        <v>2200</v>
      </c>
      <c r="F17" s="92">
        <v>26</v>
      </c>
      <c r="G17" s="90">
        <f t="shared" si="3"/>
        <v>863076.92307692301</v>
      </c>
      <c r="H17" s="92">
        <v>1</v>
      </c>
      <c r="I17" s="92">
        <v>2389</v>
      </c>
      <c r="J17" s="92">
        <v>26</v>
      </c>
      <c r="K17" s="90">
        <f t="shared" si="4"/>
        <v>937223.07692307688</v>
      </c>
      <c r="L17" s="92">
        <v>1</v>
      </c>
      <c r="M17" s="92">
        <v>2163</v>
      </c>
      <c r="N17" s="92">
        <v>26</v>
      </c>
      <c r="O17" s="90">
        <f t="shared" si="0"/>
        <v>848561.53846153838</v>
      </c>
      <c r="P17" s="93">
        <f t="shared" si="1"/>
        <v>882953.84615384601</v>
      </c>
      <c r="Q17" s="93">
        <f t="shared" si="2"/>
        <v>47555.611170987548</v>
      </c>
      <c r="R17" s="94">
        <f t="shared" si="5"/>
        <v>5.9459380026890356</v>
      </c>
      <c r="S17" s="84"/>
      <c r="T17" s="84"/>
      <c r="U17" s="84"/>
      <c r="V17" s="84"/>
    </row>
    <row r="18" spans="1:22">
      <c r="A18" s="84"/>
      <c r="B18" s="91" t="s">
        <v>198</v>
      </c>
      <c r="C18" s="92">
        <v>900</v>
      </c>
      <c r="D18" s="92">
        <v>1</v>
      </c>
      <c r="E18" s="92">
        <v>2258</v>
      </c>
      <c r="F18" s="92">
        <v>53</v>
      </c>
      <c r="G18" s="90">
        <f t="shared" si="3"/>
        <v>434558.49056603765</v>
      </c>
      <c r="H18" s="92">
        <v>1</v>
      </c>
      <c r="I18" s="92">
        <v>2364</v>
      </c>
      <c r="J18" s="92">
        <v>53</v>
      </c>
      <c r="K18" s="90">
        <f t="shared" si="4"/>
        <v>454958.49056603771</v>
      </c>
      <c r="L18" s="92">
        <v>1</v>
      </c>
      <c r="M18" s="92">
        <v>2494</v>
      </c>
      <c r="N18" s="92">
        <v>53</v>
      </c>
      <c r="O18" s="90">
        <f t="shared" si="0"/>
        <v>479977.35849056597</v>
      </c>
      <c r="P18" s="93">
        <f t="shared" si="1"/>
        <v>456498.11320754705</v>
      </c>
      <c r="Q18" s="93">
        <f t="shared" si="2"/>
        <v>22748.543234570494</v>
      </c>
      <c r="R18" s="94">
        <f t="shared" si="5"/>
        <v>5.6594389868533534</v>
      </c>
      <c r="S18" s="84"/>
      <c r="T18" s="84"/>
      <c r="U18" s="84"/>
      <c r="V18" s="84"/>
    </row>
    <row r="19" spans="1:22">
      <c r="A19" s="84"/>
      <c r="B19" s="91" t="s">
        <v>199</v>
      </c>
      <c r="C19" s="92">
        <v>900</v>
      </c>
      <c r="D19" s="92">
        <v>1</v>
      </c>
      <c r="E19" s="92">
        <v>2389</v>
      </c>
      <c r="F19" s="92">
        <v>107</v>
      </c>
      <c r="G19" s="90">
        <f t="shared" si="3"/>
        <v>227736.44859813081</v>
      </c>
      <c r="H19" s="92">
        <v>1</v>
      </c>
      <c r="I19" s="92">
        <v>2798</v>
      </c>
      <c r="J19" s="92">
        <v>107</v>
      </c>
      <c r="K19" s="90">
        <f t="shared" si="4"/>
        <v>266725.23364485975</v>
      </c>
      <c r="L19" s="92">
        <v>1</v>
      </c>
      <c r="M19" s="92">
        <v>7437</v>
      </c>
      <c r="N19" s="92">
        <v>394</v>
      </c>
      <c r="O19" s="90">
        <f t="shared" si="0"/>
        <v>192531.47208121826</v>
      </c>
      <c r="P19" s="93">
        <f t="shared" si="1"/>
        <v>228997.71810806962</v>
      </c>
      <c r="Q19" s="93">
        <f t="shared" si="2"/>
        <v>37112.958172626859</v>
      </c>
      <c r="R19" s="94">
        <f t="shared" si="5"/>
        <v>5.359831154750319</v>
      </c>
      <c r="S19" s="84"/>
      <c r="T19" s="84"/>
      <c r="U19" s="84"/>
      <c r="V19" s="84"/>
    </row>
    <row r="20" spans="1:22" ht="15" thickBot="1">
      <c r="A20" s="84"/>
      <c r="B20" s="84"/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</row>
    <row r="21" spans="1:22" ht="43" thickBot="1">
      <c r="A21" s="84"/>
      <c r="B21" s="96" t="s">
        <v>4</v>
      </c>
      <c r="C21" s="96" t="s">
        <v>200</v>
      </c>
      <c r="D21" s="96" t="s">
        <v>201</v>
      </c>
      <c r="E21" s="96" t="s">
        <v>202</v>
      </c>
      <c r="F21" s="96" t="s">
        <v>203</v>
      </c>
      <c r="G21" s="97" t="s">
        <v>204</v>
      </c>
      <c r="H21" s="98" t="s">
        <v>205</v>
      </c>
      <c r="I21" s="98" t="s">
        <v>206</v>
      </c>
      <c r="J21" s="98" t="s">
        <v>207</v>
      </c>
      <c r="K21" s="98" t="s">
        <v>208</v>
      </c>
      <c r="L21" s="98" t="s">
        <v>209</v>
      </c>
      <c r="M21" s="95" t="s">
        <v>183</v>
      </c>
      <c r="N21" s="84"/>
      <c r="O21" s="84"/>
      <c r="P21" s="84"/>
      <c r="Q21" s="84"/>
      <c r="R21" s="84"/>
      <c r="S21" s="84"/>
      <c r="T21" s="84"/>
      <c r="U21" s="84"/>
      <c r="V21" s="84"/>
    </row>
    <row r="22" spans="1:22">
      <c r="A22" s="84"/>
      <c r="B22" s="84"/>
      <c r="C22" s="84"/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</row>
    <row r="23" spans="1:22">
      <c r="A23" s="84"/>
      <c r="B23" s="91" t="s">
        <v>184</v>
      </c>
      <c r="C23" s="99">
        <v>12.024166107177734</v>
      </c>
      <c r="D23" s="99">
        <v>11.937971115112305</v>
      </c>
      <c r="E23" s="99">
        <v>12.113894462585449</v>
      </c>
      <c r="F23" s="100">
        <f>AVERAGE(C23:E23)</f>
        <v>12.025343894958496</v>
      </c>
      <c r="G23" s="118">
        <f>1000/1000*200/4*1000/900</f>
        <v>55.555555555555557</v>
      </c>
      <c r="H23" s="101">
        <f>LOG(G23)/LOG(2)</f>
        <v>5.7958592832197748</v>
      </c>
      <c r="I23" s="99">
        <f>C23-H23</f>
        <v>6.2283068239579595</v>
      </c>
      <c r="J23" s="99">
        <f>D23-H23</f>
        <v>6.1421118318925298</v>
      </c>
      <c r="K23" s="99">
        <f>E23-H23</f>
        <v>6.3180351793656744</v>
      </c>
      <c r="L23" s="100">
        <f>AVERAGE(I23:K23)</f>
        <v>6.2294846117387221</v>
      </c>
      <c r="M23" s="95"/>
      <c r="N23" s="84"/>
      <c r="O23" s="84"/>
      <c r="P23" s="84"/>
      <c r="Q23" s="84"/>
      <c r="R23" s="84"/>
      <c r="S23" s="84"/>
      <c r="T23" s="84"/>
      <c r="U23" s="84"/>
      <c r="V23" s="84"/>
    </row>
    <row r="24" spans="1:22">
      <c r="A24" s="84"/>
      <c r="B24" s="91" t="s">
        <v>185</v>
      </c>
      <c r="C24" s="99">
        <v>17.587196350097656</v>
      </c>
      <c r="D24" s="99">
        <v>17.463251113891602</v>
      </c>
      <c r="E24" s="99">
        <v>17.496953964233398</v>
      </c>
      <c r="F24" s="100">
        <f t="shared" ref="F24:F38" si="6">AVERAGE(C24:E24)</f>
        <v>17.515800476074219</v>
      </c>
      <c r="G24" s="118">
        <f t="shared" ref="G24:G27" si="7">1000/1000*200/4*1000/900</f>
        <v>55.555555555555557</v>
      </c>
      <c r="H24" s="101">
        <f t="shared" ref="H24:H38" si="8">LOG(G24)/LOG(2)</f>
        <v>5.7958592832197748</v>
      </c>
      <c r="I24" s="99">
        <f>C24-H24</f>
        <v>11.791337066877881</v>
      </c>
      <c r="J24" s="99">
        <f t="shared" ref="J24:J38" si="9">D24-H24</f>
        <v>11.667391830671827</v>
      </c>
      <c r="K24" s="99">
        <f t="shared" ref="K24:K38" si="10">E24-H24</f>
        <v>11.701094681013624</v>
      </c>
      <c r="L24" s="100">
        <f t="shared" ref="L24:L38" si="11">AVERAGE(I24:K24)</f>
        <v>11.719941192854444</v>
      </c>
      <c r="M24" s="84"/>
      <c r="N24" s="84"/>
      <c r="O24" s="84"/>
      <c r="P24" s="84"/>
      <c r="Q24" s="84"/>
      <c r="R24" s="84"/>
      <c r="S24" s="84"/>
      <c r="T24" s="84"/>
      <c r="U24" s="84"/>
      <c r="V24" s="84"/>
    </row>
    <row r="25" spans="1:22">
      <c r="A25" s="84"/>
      <c r="B25" s="91" t="s">
        <v>186</v>
      </c>
      <c r="C25" s="99">
        <v>20.035877227783203</v>
      </c>
      <c r="D25" s="99">
        <v>19.974271774291992</v>
      </c>
      <c r="E25" s="99">
        <v>19.944717407226562</v>
      </c>
      <c r="F25" s="100">
        <f t="shared" si="6"/>
        <v>19.984955469767254</v>
      </c>
      <c r="G25" s="118">
        <f t="shared" si="7"/>
        <v>55.555555555555557</v>
      </c>
      <c r="H25" s="101">
        <f t="shared" si="8"/>
        <v>5.7958592832197748</v>
      </c>
      <c r="I25" s="99">
        <f>C25-H25</f>
        <v>14.240017944563428</v>
      </c>
      <c r="J25" s="99">
        <f t="shared" si="9"/>
        <v>14.178412491072217</v>
      </c>
      <c r="K25" s="99">
        <f t="shared" si="10"/>
        <v>14.148858124006788</v>
      </c>
      <c r="L25" s="100">
        <f t="shared" si="11"/>
        <v>14.189096186547479</v>
      </c>
      <c r="M25" s="84"/>
      <c r="N25" s="84"/>
      <c r="O25" s="84"/>
      <c r="P25" s="84"/>
      <c r="Q25" s="84"/>
      <c r="R25" s="84"/>
      <c r="S25" s="84"/>
      <c r="T25" s="84"/>
      <c r="U25" s="84"/>
      <c r="V25" s="84"/>
    </row>
    <row r="26" spans="1:22">
      <c r="A26" s="84"/>
      <c r="B26" s="91" t="s">
        <v>187</v>
      </c>
      <c r="C26" s="99">
        <v>24.500289916992188</v>
      </c>
      <c r="D26" s="99">
        <v>24.458871841430664</v>
      </c>
      <c r="E26" s="99">
        <v>24.548263549804688</v>
      </c>
      <c r="F26" s="100">
        <f t="shared" si="6"/>
        <v>24.502475102742512</v>
      </c>
      <c r="G26" s="118">
        <f t="shared" si="7"/>
        <v>55.555555555555557</v>
      </c>
      <c r="H26" s="101">
        <f t="shared" si="8"/>
        <v>5.7958592832197748</v>
      </c>
      <c r="I26" s="99">
        <f>C26-H26</f>
        <v>18.704430633772411</v>
      </c>
      <c r="J26" s="99">
        <f t="shared" si="9"/>
        <v>18.663012558210887</v>
      </c>
      <c r="K26" s="99">
        <f t="shared" si="10"/>
        <v>18.752404266584911</v>
      </c>
      <c r="L26" s="100">
        <f t="shared" si="11"/>
        <v>18.706615819522735</v>
      </c>
      <c r="M26" s="95"/>
      <c r="N26" s="84"/>
      <c r="O26" s="84"/>
      <c r="P26" s="84"/>
      <c r="Q26" s="84"/>
      <c r="R26" s="84"/>
      <c r="S26" s="84"/>
      <c r="T26" s="84"/>
      <c r="U26" s="84"/>
      <c r="V26" s="84"/>
    </row>
    <row r="27" spans="1:22">
      <c r="A27" s="84"/>
      <c r="B27" s="91" t="s">
        <v>188</v>
      </c>
      <c r="C27" s="99">
        <v>27.966335296630859</v>
      </c>
      <c r="D27" s="99">
        <v>27.953102111816406</v>
      </c>
      <c r="E27" s="99">
        <v>27.858415603637695</v>
      </c>
      <c r="F27" s="100">
        <f>AVERAGE(C27:E27)</f>
        <v>27.92595100402832</v>
      </c>
      <c r="G27" s="118">
        <f t="shared" si="7"/>
        <v>55.555555555555557</v>
      </c>
      <c r="H27" s="101">
        <f t="shared" si="8"/>
        <v>5.7958592832197748</v>
      </c>
      <c r="I27" s="99">
        <f>C27-H27</f>
        <v>22.170476013411083</v>
      </c>
      <c r="J27" s="99">
        <f>D27-H27</f>
        <v>22.15724282859663</v>
      </c>
      <c r="K27" s="99">
        <f>E27-H27</f>
        <v>22.062556320417919</v>
      </c>
      <c r="L27" s="100">
        <f t="shared" si="11"/>
        <v>22.130091720808547</v>
      </c>
      <c r="M27" s="95"/>
      <c r="N27" s="84"/>
      <c r="O27" s="84"/>
      <c r="P27" s="84"/>
      <c r="Q27" s="84"/>
      <c r="R27" s="84"/>
      <c r="S27" s="84"/>
      <c r="T27" s="84"/>
      <c r="U27" s="84"/>
      <c r="V27" s="84"/>
    </row>
    <row r="28" spans="1:22">
      <c r="A28" s="84"/>
      <c r="B28" s="91" t="s">
        <v>189</v>
      </c>
      <c r="C28" s="99">
        <v>13.96388053894043</v>
      </c>
      <c r="D28" s="99">
        <v>13.646139144897461</v>
      </c>
      <c r="E28" s="99">
        <v>13.680848121643066</v>
      </c>
      <c r="F28" s="100">
        <f t="shared" si="6"/>
        <v>13.763622601826986</v>
      </c>
      <c r="G28" s="84">
        <f>1000/1000*200/4*1000/500</f>
        <v>100</v>
      </c>
      <c r="H28" s="101">
        <f t="shared" si="8"/>
        <v>6.6438561897747244</v>
      </c>
      <c r="I28" s="99">
        <f t="shared" ref="I28:I38" si="12">C28-H28</f>
        <v>7.3200243491657053</v>
      </c>
      <c r="J28" s="99">
        <f t="shared" si="9"/>
        <v>7.0022829551227366</v>
      </c>
      <c r="K28" s="99">
        <f t="shared" si="10"/>
        <v>7.036991931868342</v>
      </c>
      <c r="L28" s="100">
        <f t="shared" si="11"/>
        <v>7.119766412052261</v>
      </c>
      <c r="M28" s="84"/>
      <c r="N28" s="84"/>
      <c r="O28" s="84"/>
      <c r="P28" s="84"/>
      <c r="Q28" s="84"/>
      <c r="R28" s="84"/>
      <c r="S28" s="84"/>
      <c r="T28" s="84"/>
      <c r="U28" s="84"/>
      <c r="V28" s="84"/>
    </row>
    <row r="29" spans="1:22">
      <c r="A29" s="84"/>
      <c r="B29" s="91" t="s">
        <v>190</v>
      </c>
      <c r="C29" s="99">
        <v>15.15186882019043</v>
      </c>
      <c r="D29" s="99">
        <v>15.517631530761719</v>
      </c>
      <c r="E29" s="99">
        <v>15.663459777832031</v>
      </c>
      <c r="F29" s="100">
        <f t="shared" si="6"/>
        <v>15.44432004292806</v>
      </c>
      <c r="G29" s="84">
        <f t="shared" ref="G29:G38" si="13">1000/1000*200/4*1000/500</f>
        <v>100</v>
      </c>
      <c r="H29" s="101">
        <f t="shared" si="8"/>
        <v>6.6438561897747244</v>
      </c>
      <c r="I29" s="99">
        <f t="shared" si="12"/>
        <v>8.5080126304157062</v>
      </c>
      <c r="J29" s="99">
        <f t="shared" si="9"/>
        <v>8.8737753409869953</v>
      </c>
      <c r="K29" s="99">
        <f t="shared" si="10"/>
        <v>9.0196035880573078</v>
      </c>
      <c r="L29" s="100">
        <f t="shared" si="11"/>
        <v>8.800463853153337</v>
      </c>
      <c r="M29" s="84"/>
      <c r="N29" s="84"/>
      <c r="O29" s="84"/>
      <c r="P29" s="84"/>
      <c r="Q29" s="84"/>
      <c r="R29" s="84"/>
      <c r="S29" s="84"/>
      <c r="T29" s="84"/>
      <c r="U29" s="84"/>
      <c r="V29" s="84"/>
    </row>
    <row r="30" spans="1:22">
      <c r="A30" s="84"/>
      <c r="B30" s="91" t="s">
        <v>191</v>
      </c>
      <c r="C30" s="99">
        <v>16.251581192016602</v>
      </c>
      <c r="D30" s="99">
        <v>16.335042953491211</v>
      </c>
      <c r="E30" s="99">
        <v>16.212072372436523</v>
      </c>
      <c r="F30" s="100">
        <f t="shared" si="6"/>
        <v>16.266232172648113</v>
      </c>
      <c r="G30" s="84">
        <f t="shared" si="13"/>
        <v>100</v>
      </c>
      <c r="H30" s="101">
        <f t="shared" si="8"/>
        <v>6.6438561897747244</v>
      </c>
      <c r="I30" s="99">
        <f t="shared" si="12"/>
        <v>9.6077250022418781</v>
      </c>
      <c r="J30" s="99">
        <f t="shared" si="9"/>
        <v>9.6911867637164875</v>
      </c>
      <c r="K30" s="99">
        <f t="shared" si="10"/>
        <v>9.5682161826618</v>
      </c>
      <c r="L30" s="100">
        <f t="shared" si="11"/>
        <v>9.6223759828733879</v>
      </c>
      <c r="M30" s="84"/>
      <c r="N30" s="84"/>
      <c r="O30" s="84"/>
      <c r="P30" s="84"/>
      <c r="Q30" s="84"/>
      <c r="R30" s="84"/>
      <c r="S30" s="84"/>
      <c r="T30" s="84"/>
      <c r="U30" s="84"/>
      <c r="V30" s="84"/>
    </row>
    <row r="31" spans="1:22">
      <c r="A31" s="84"/>
      <c r="B31" s="91" t="s">
        <v>192</v>
      </c>
      <c r="C31" s="99">
        <v>18.410284042358398</v>
      </c>
      <c r="D31" s="99">
        <v>18.640316009521484</v>
      </c>
      <c r="E31" s="99">
        <v>18.454940795898438</v>
      </c>
      <c r="F31" s="100">
        <f t="shared" si="6"/>
        <v>18.501846949259441</v>
      </c>
      <c r="G31" s="84">
        <f t="shared" si="13"/>
        <v>100</v>
      </c>
      <c r="H31" s="101">
        <f t="shared" si="8"/>
        <v>6.6438561897747244</v>
      </c>
      <c r="I31" s="99">
        <f t="shared" si="12"/>
        <v>11.766427852583675</v>
      </c>
      <c r="J31" s="99">
        <f t="shared" si="9"/>
        <v>11.996459819746761</v>
      </c>
      <c r="K31" s="99">
        <f t="shared" si="10"/>
        <v>11.811084606123714</v>
      </c>
      <c r="L31" s="100">
        <f t="shared" si="11"/>
        <v>11.857990759484716</v>
      </c>
      <c r="M31" s="84"/>
      <c r="N31" s="84"/>
      <c r="O31" s="84"/>
      <c r="P31" s="84"/>
      <c r="Q31" s="84"/>
      <c r="R31" s="84"/>
      <c r="S31" s="84"/>
      <c r="T31" s="84"/>
      <c r="U31" s="84"/>
      <c r="V31" s="84"/>
    </row>
    <row r="32" spans="1:22">
      <c r="A32" s="84"/>
      <c r="B32" s="91" t="s">
        <v>193</v>
      </c>
      <c r="C32" s="99">
        <v>18.648725509643555</v>
      </c>
      <c r="D32" s="99">
        <v>18.836643218994141</v>
      </c>
      <c r="E32" s="99">
        <v>18.618749618530273</v>
      </c>
      <c r="F32" s="100">
        <f t="shared" si="6"/>
        <v>18.701372782389324</v>
      </c>
      <c r="G32" s="84">
        <f t="shared" si="13"/>
        <v>100</v>
      </c>
      <c r="H32" s="101">
        <f t="shared" si="8"/>
        <v>6.6438561897747244</v>
      </c>
      <c r="I32" s="99">
        <f t="shared" si="12"/>
        <v>12.004869319868831</v>
      </c>
      <c r="J32" s="99">
        <f t="shared" si="9"/>
        <v>12.192787029219417</v>
      </c>
      <c r="K32" s="99">
        <f t="shared" si="10"/>
        <v>11.97489342875555</v>
      </c>
      <c r="L32" s="100">
        <f t="shared" si="11"/>
        <v>12.057516592614599</v>
      </c>
      <c r="M32" s="84"/>
      <c r="N32" s="84"/>
      <c r="O32" s="84"/>
      <c r="P32" s="84"/>
      <c r="Q32" s="84"/>
      <c r="R32" s="84"/>
      <c r="S32" s="84"/>
      <c r="T32" s="84"/>
      <c r="U32" s="84"/>
      <c r="V32" s="84"/>
    </row>
    <row r="33" spans="1:22">
      <c r="A33" s="84"/>
      <c r="B33" s="91" t="s">
        <v>194</v>
      </c>
      <c r="C33" s="99">
        <v>19.173038482666016</v>
      </c>
      <c r="D33" s="99">
        <v>19.267778396606445</v>
      </c>
      <c r="E33" s="99">
        <v>19.15654182434082</v>
      </c>
      <c r="F33" s="100">
        <f t="shared" si="6"/>
        <v>19.199119567871094</v>
      </c>
      <c r="G33" s="84">
        <f t="shared" si="13"/>
        <v>100</v>
      </c>
      <c r="H33" s="101">
        <f t="shared" si="8"/>
        <v>6.6438561897747244</v>
      </c>
      <c r="I33" s="99">
        <f t="shared" si="12"/>
        <v>12.529182292891292</v>
      </c>
      <c r="J33" s="99">
        <f t="shared" si="9"/>
        <v>12.623922206831722</v>
      </c>
      <c r="K33" s="99">
        <f t="shared" si="10"/>
        <v>12.512685634566097</v>
      </c>
      <c r="L33" s="100">
        <f t="shared" si="11"/>
        <v>12.55526337809637</v>
      </c>
      <c r="M33" s="84"/>
      <c r="N33" s="84"/>
      <c r="O33" s="84"/>
      <c r="P33" s="84"/>
      <c r="Q33" s="84"/>
      <c r="R33" s="84"/>
      <c r="S33" s="84"/>
      <c r="T33" s="84"/>
      <c r="U33" s="84"/>
      <c r="V33" s="84"/>
    </row>
    <row r="34" spans="1:22">
      <c r="A34" s="84"/>
      <c r="B34" s="91" t="s">
        <v>195</v>
      </c>
      <c r="C34" s="99">
        <v>20.283313751220703</v>
      </c>
      <c r="D34" s="99">
        <v>20.449991226196289</v>
      </c>
      <c r="E34" s="99">
        <v>20.311237335205078</v>
      </c>
      <c r="F34" s="100">
        <f t="shared" si="6"/>
        <v>20.348180770874023</v>
      </c>
      <c r="G34" s="84">
        <f t="shared" si="13"/>
        <v>100</v>
      </c>
      <c r="H34" s="101">
        <f t="shared" si="8"/>
        <v>6.6438561897747244</v>
      </c>
      <c r="I34" s="99">
        <f t="shared" si="12"/>
        <v>13.63945756144598</v>
      </c>
      <c r="J34" s="99">
        <f t="shared" si="9"/>
        <v>13.806135036421566</v>
      </c>
      <c r="K34" s="99">
        <f t="shared" si="10"/>
        <v>13.667381145430355</v>
      </c>
      <c r="L34" s="100">
        <f t="shared" si="11"/>
        <v>13.7043245810993</v>
      </c>
      <c r="M34" s="84"/>
      <c r="N34" s="84"/>
      <c r="O34" s="84"/>
      <c r="P34" s="84"/>
      <c r="Q34" s="84"/>
      <c r="R34" s="84"/>
      <c r="S34" s="84"/>
      <c r="T34" s="84"/>
      <c r="U34" s="84"/>
      <c r="V34" s="84"/>
    </row>
    <row r="35" spans="1:22">
      <c r="A35" s="84"/>
      <c r="B35" s="91" t="s">
        <v>196</v>
      </c>
      <c r="C35" s="99">
        <v>21.243825912475586</v>
      </c>
      <c r="D35" s="99">
        <v>21.539775848388672</v>
      </c>
      <c r="E35" s="99">
        <v>21.392797470092773</v>
      </c>
      <c r="F35" s="100">
        <f t="shared" si="6"/>
        <v>21.392133076985676</v>
      </c>
      <c r="G35" s="84">
        <f t="shared" si="13"/>
        <v>100</v>
      </c>
      <c r="H35" s="101">
        <f t="shared" si="8"/>
        <v>6.6438561897747244</v>
      </c>
      <c r="I35" s="99">
        <f t="shared" si="12"/>
        <v>14.599969722700862</v>
      </c>
      <c r="J35" s="99">
        <f t="shared" si="9"/>
        <v>14.895919658613948</v>
      </c>
      <c r="K35" s="99">
        <f t="shared" si="10"/>
        <v>14.74894128031805</v>
      </c>
      <c r="L35" s="100">
        <f t="shared" si="11"/>
        <v>14.748276887210954</v>
      </c>
      <c r="M35" s="84"/>
      <c r="N35" s="84"/>
      <c r="O35" s="84"/>
      <c r="P35" s="84"/>
      <c r="Q35" s="84"/>
      <c r="R35" s="84"/>
      <c r="S35" s="84"/>
      <c r="T35" s="84"/>
      <c r="U35" s="84"/>
      <c r="V35" s="84"/>
    </row>
    <row r="36" spans="1:22">
      <c r="A36" s="84"/>
      <c r="B36" s="91" t="s">
        <v>197</v>
      </c>
      <c r="C36" s="99">
        <v>22.513101577758789</v>
      </c>
      <c r="D36" s="99">
        <v>22.496644973754883</v>
      </c>
      <c r="E36" s="99">
        <v>22.572574615478516</v>
      </c>
      <c r="F36" s="100">
        <f t="shared" si="6"/>
        <v>22.527440388997395</v>
      </c>
      <c r="G36" s="84">
        <f t="shared" si="13"/>
        <v>100</v>
      </c>
      <c r="H36" s="101">
        <f t="shared" si="8"/>
        <v>6.6438561897747244</v>
      </c>
      <c r="I36" s="99">
        <f t="shared" si="12"/>
        <v>15.869245387984066</v>
      </c>
      <c r="J36" s="99">
        <f t="shared" si="9"/>
        <v>15.852788783980159</v>
      </c>
      <c r="K36" s="99">
        <f t="shared" si="10"/>
        <v>15.928718425703792</v>
      </c>
      <c r="L36" s="100">
        <f t="shared" si="11"/>
        <v>15.883584199222673</v>
      </c>
      <c r="M36" s="84"/>
      <c r="N36" s="84"/>
      <c r="O36" s="84"/>
      <c r="P36" s="84"/>
      <c r="Q36" s="84"/>
      <c r="R36" s="84"/>
      <c r="S36" s="84"/>
      <c r="T36" s="84"/>
      <c r="U36" s="84"/>
      <c r="V36" s="84"/>
    </row>
    <row r="37" spans="1:22">
      <c r="A37" s="84"/>
      <c r="B37" s="91" t="s">
        <v>198</v>
      </c>
      <c r="C37" s="99">
        <v>25.11761474609375</v>
      </c>
      <c r="D37" s="99">
        <v>25.00200080871582</v>
      </c>
      <c r="E37" s="99">
        <v>25.069990158081055</v>
      </c>
      <c r="F37" s="100">
        <f t="shared" si="6"/>
        <v>25.063201904296875</v>
      </c>
      <c r="G37" s="84">
        <f t="shared" si="13"/>
        <v>100</v>
      </c>
      <c r="H37" s="101">
        <f t="shared" si="8"/>
        <v>6.6438561897747244</v>
      </c>
      <c r="I37" s="99">
        <f t="shared" si="12"/>
        <v>18.473758556319027</v>
      </c>
      <c r="J37" s="99">
        <f t="shared" si="9"/>
        <v>18.358144618941097</v>
      </c>
      <c r="K37" s="99">
        <f t="shared" si="10"/>
        <v>18.426133968306331</v>
      </c>
      <c r="L37" s="100">
        <f t="shared" si="11"/>
        <v>18.419345714522152</v>
      </c>
      <c r="M37" s="84"/>
      <c r="N37" s="84"/>
      <c r="O37" s="84"/>
      <c r="P37" s="84"/>
      <c r="Q37" s="84"/>
      <c r="R37" s="84"/>
      <c r="S37" s="84"/>
      <c r="T37" s="84"/>
      <c r="U37" s="84"/>
      <c r="V37" s="84"/>
    </row>
    <row r="38" spans="1:22">
      <c r="A38" s="84"/>
      <c r="B38" s="91" t="s">
        <v>199</v>
      </c>
      <c r="C38" s="99">
        <v>25.78911018371582</v>
      </c>
      <c r="D38" s="99">
        <v>25.811565399169922</v>
      </c>
      <c r="E38" s="99">
        <v>25.885698318481445</v>
      </c>
      <c r="F38" s="100">
        <f t="shared" si="6"/>
        <v>25.82879130045573</v>
      </c>
      <c r="G38" s="84">
        <f t="shared" si="13"/>
        <v>100</v>
      </c>
      <c r="H38" s="101">
        <f t="shared" si="8"/>
        <v>6.6438561897747244</v>
      </c>
      <c r="I38" s="99">
        <f t="shared" si="12"/>
        <v>19.145253993941097</v>
      </c>
      <c r="J38" s="99">
        <f t="shared" si="9"/>
        <v>19.167709209395198</v>
      </c>
      <c r="K38" s="99">
        <f t="shared" si="10"/>
        <v>19.241842128706722</v>
      </c>
      <c r="L38" s="100">
        <f t="shared" si="11"/>
        <v>19.184935110681007</v>
      </c>
      <c r="M38" s="84"/>
      <c r="N38" s="84"/>
      <c r="O38" s="84"/>
      <c r="P38" s="84"/>
      <c r="Q38" s="84"/>
      <c r="R38" s="84"/>
      <c r="S38" s="84"/>
      <c r="T38" s="84"/>
      <c r="U38" s="84"/>
      <c r="V38" s="84"/>
    </row>
    <row r="39" spans="1:22">
      <c r="A39" s="84"/>
      <c r="B39" s="84"/>
      <c r="C39" s="84"/>
      <c r="D39" s="84"/>
      <c r="E39" s="84"/>
      <c r="F39" s="101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</row>
    <row r="40" spans="1:22">
      <c r="A40" s="84"/>
      <c r="B40" s="91" t="s">
        <v>257</v>
      </c>
      <c r="C40" s="99">
        <v>10.746070861816406</v>
      </c>
      <c r="D40" s="99">
        <v>10.822755813598633</v>
      </c>
      <c r="E40" s="99">
        <v>10.731834411621094</v>
      </c>
      <c r="F40" s="100">
        <f>AVERAGE(C40:E40)</f>
        <v>10.766887029012045</v>
      </c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</row>
    <row r="41" spans="1:22">
      <c r="A41" s="84"/>
      <c r="B41" s="84"/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</row>
    <row r="42" spans="1:22">
      <c r="A42" s="84"/>
      <c r="B42" s="95" t="s">
        <v>212</v>
      </c>
      <c r="C42" s="84" t="s">
        <v>213</v>
      </c>
      <c r="D42" s="84"/>
      <c r="E42" s="84"/>
      <c r="F42" t="s">
        <v>214</v>
      </c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</row>
    <row r="43" spans="1:22">
      <c r="A43" s="84"/>
      <c r="B43" s="84" t="s">
        <v>215</v>
      </c>
      <c r="C43" s="84" t="s">
        <v>213</v>
      </c>
      <c r="D43" s="84"/>
      <c r="E43" s="84"/>
      <c r="F43">
        <v>0.34642903804779052</v>
      </c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</row>
    <row r="44" spans="1:22">
      <c r="A44" s="84"/>
      <c r="B44" s="84"/>
      <c r="C44" s="102" t="s">
        <v>216</v>
      </c>
      <c r="D44" s="104">
        <v>-3.9893000000000001</v>
      </c>
      <c r="E44" s="84"/>
      <c r="F44" s="84"/>
      <c r="G44" s="84">
        <v>-3.9285000000000001</v>
      </c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</row>
    <row r="45" spans="1:22">
      <c r="A45" s="84"/>
      <c r="B45" s="84"/>
      <c r="C45" s="102" t="s">
        <v>217</v>
      </c>
      <c r="D45" s="104">
        <v>40.134999999999998</v>
      </c>
      <c r="E45" s="84"/>
      <c r="F45" s="84"/>
      <c r="G45" s="84">
        <v>46.109000000000002</v>
      </c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</row>
    <row r="46" spans="1:22">
      <c r="A46" s="84"/>
      <c r="B46" s="84"/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</row>
    <row r="47" spans="1:22">
      <c r="A47" s="84"/>
      <c r="B47" s="84"/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</row>
    <row r="48" spans="1:22">
      <c r="A48" s="84"/>
      <c r="B48" s="95" t="s">
        <v>218</v>
      </c>
      <c r="C48" s="84"/>
      <c r="D48" s="84">
        <f>-1+ POWER(10,-(1/D44))</f>
        <v>0.78102716558460528</v>
      </c>
      <c r="E48" s="84"/>
      <c r="F48" s="84"/>
      <c r="G48" s="84">
        <f>-1+ POWER(10,-(1/G44))</f>
        <v>0.79700829876330093</v>
      </c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</row>
    <row r="49" spans="1:22">
      <c r="A49" s="84"/>
      <c r="B49" s="84"/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</row>
    <row r="50" spans="1:22">
      <c r="A50" s="84"/>
      <c r="B50" s="95" t="s">
        <v>258</v>
      </c>
      <c r="C50" s="119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</row>
    <row r="51" spans="1:22">
      <c r="A51" s="84"/>
      <c r="B51" s="84"/>
      <c r="C51" s="84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</row>
    <row r="52" spans="1:22">
      <c r="A52" s="84"/>
      <c r="B52" s="84"/>
      <c r="C52" s="84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</row>
    <row r="53" spans="1:22">
      <c r="A53" s="84"/>
      <c r="B53" s="84"/>
      <c r="C53" s="84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</row>
    <row r="54" spans="1:22">
      <c r="A54" s="84"/>
      <c r="B54" s="84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</row>
    <row r="55" spans="1:22">
      <c r="A55" s="84"/>
      <c r="B55" s="84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</row>
  </sheetData>
  <mergeCells count="7">
    <mergeCell ref="S1:S2"/>
    <mergeCell ref="P3:R3"/>
    <mergeCell ref="B1:B2"/>
    <mergeCell ref="C1:C2"/>
    <mergeCell ref="D1:G1"/>
    <mergeCell ref="H1:K1"/>
    <mergeCell ref="L1:O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7"/>
  <sheetViews>
    <sheetView topLeftCell="A40" workbookViewId="0">
      <selection activeCell="H68" sqref="H68"/>
    </sheetView>
  </sheetViews>
  <sheetFormatPr baseColWidth="10" defaultRowHeight="14" x14ac:dyDescent="0"/>
  <cols>
    <col min="14" max="14" width="18.83203125" customWidth="1"/>
    <col min="15" max="15" width="20.1640625" customWidth="1"/>
    <col min="16" max="16" width="18.5" customWidth="1"/>
    <col min="17" max="18" width="19.1640625" customWidth="1"/>
    <col min="19" max="19" width="26" customWidth="1"/>
  </cols>
  <sheetData>
    <row r="1" spans="1:29">
      <c r="A1" s="105" t="s">
        <v>259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</row>
    <row r="2" spans="1:29">
      <c r="A2" s="131" t="s">
        <v>4</v>
      </c>
      <c r="B2" s="131" t="s">
        <v>117</v>
      </c>
      <c r="C2" s="131" t="s">
        <v>117</v>
      </c>
      <c r="D2" s="131" t="s">
        <v>5</v>
      </c>
      <c r="E2" s="145" t="s">
        <v>220</v>
      </c>
      <c r="F2" s="145" t="s">
        <v>221</v>
      </c>
      <c r="G2" s="145" t="s">
        <v>222</v>
      </c>
      <c r="H2" s="147" t="s">
        <v>223</v>
      </c>
      <c r="I2" s="147" t="s">
        <v>224</v>
      </c>
      <c r="J2" s="147" t="s">
        <v>225</v>
      </c>
      <c r="K2" s="145" t="s">
        <v>226</v>
      </c>
      <c r="L2" s="145" t="s">
        <v>227</v>
      </c>
      <c r="M2" s="145" t="s">
        <v>228</v>
      </c>
      <c r="N2" s="145" t="s">
        <v>229</v>
      </c>
      <c r="O2" s="145" t="s">
        <v>230</v>
      </c>
      <c r="P2" s="147" t="s">
        <v>231</v>
      </c>
      <c r="Q2" s="147" t="s">
        <v>232</v>
      </c>
      <c r="R2" s="147" t="s">
        <v>233</v>
      </c>
      <c r="S2" s="147" t="s">
        <v>234</v>
      </c>
      <c r="T2" s="84"/>
      <c r="U2" s="84"/>
      <c r="V2" s="84"/>
      <c r="W2" s="84"/>
      <c r="X2" s="84"/>
      <c r="Y2" s="84"/>
      <c r="Z2" s="84"/>
      <c r="AA2" s="84"/>
      <c r="AB2" s="84"/>
      <c r="AC2" s="84"/>
    </row>
    <row r="3" spans="1:29">
      <c r="A3" s="132"/>
      <c r="B3" s="132"/>
      <c r="C3" s="132"/>
      <c r="D3" s="132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84"/>
      <c r="U3" s="84"/>
      <c r="V3" s="84"/>
      <c r="W3" s="84"/>
      <c r="X3" s="84"/>
      <c r="Y3" s="84"/>
      <c r="Z3" s="84"/>
      <c r="AA3" s="84"/>
      <c r="AB3" s="84"/>
      <c r="AC3" s="84"/>
    </row>
    <row r="4" spans="1:29">
      <c r="A4" s="39">
        <v>0</v>
      </c>
      <c r="B4" s="31">
        <v>10</v>
      </c>
      <c r="C4" s="31">
        <f>B4</f>
        <v>10</v>
      </c>
      <c r="D4" s="13">
        <f t="shared" ref="D4:D18" si="0">C4/60</f>
        <v>0.16666666666666666</v>
      </c>
      <c r="E4" s="99">
        <v>24.010467529296875</v>
      </c>
      <c r="F4" s="99">
        <v>25.080783843994141</v>
      </c>
      <c r="G4" s="100">
        <v>23.648492813110352</v>
      </c>
      <c r="H4" s="106">
        <f t="shared" ref="H4:H20" si="1">(E4-$H$40)+$H$67</f>
        <v>23.805845741532806</v>
      </c>
      <c r="I4" s="106">
        <f t="shared" ref="I4:I20" si="2">(F4-$H$40)+$H$67</f>
        <v>24.876162056230072</v>
      </c>
      <c r="J4" s="106">
        <f t="shared" ref="J4:J20" si="3">(G4-$H$40)+$H$67</f>
        <v>23.443871025346283</v>
      </c>
      <c r="K4" s="100">
        <f>((H4-'CalibrationB. hydrogenotrophica'!$D$45)/('CalibrationB. hydrogenotrophica'!$D$44))+$B$24</f>
        <v>7.7464504899784856</v>
      </c>
      <c r="L4" s="100">
        <f>((I4-'CalibrationB. hydrogenotrophica'!$D$45)/('CalibrationB. hydrogenotrophica'!$D$44))+$B$24</f>
        <v>7.4781537174376211</v>
      </c>
      <c r="M4" s="100">
        <f>((J4-'CalibrationB. hydrogenotrophica'!$D$45)/('CalibrationB. hydrogenotrophica'!$D$44))+$B$24</f>
        <v>7.8371868888922105</v>
      </c>
      <c r="N4" s="107">
        <f>AVERAGE(K4:M4)</f>
        <v>7.6872636987694394</v>
      </c>
      <c r="O4" s="107">
        <f>STDEV(K4:M4)</f>
        <v>0.18669095248940851</v>
      </c>
      <c r="P4" s="108">
        <f>(AVERAGE(POWER(10,K4),POWER(10,L4),POWER(10,M4)))*Calculation!$I4/Calculation!$K3</f>
        <v>51622397.467752643</v>
      </c>
      <c r="Q4" s="108">
        <f>(STDEV(POWER(10,K4),POWER(10,L4),POWER(10,M4)))*Calculation!$I4/Calculation!$K3</f>
        <v>19715505.360403858</v>
      </c>
      <c r="R4" s="107">
        <f>LOG(P4)</f>
        <v>7.7128381703519233</v>
      </c>
      <c r="S4" s="107">
        <f>O4*Calculation!$I4/Calculation!$K3</f>
        <v>0.18703269395490549</v>
      </c>
      <c r="T4" s="84"/>
      <c r="U4" s="84"/>
      <c r="V4" s="84"/>
      <c r="W4" s="84"/>
      <c r="X4" s="84"/>
      <c r="Y4" s="84"/>
      <c r="Z4" s="84"/>
      <c r="AA4" s="84"/>
      <c r="AB4" s="84"/>
      <c r="AC4" s="84"/>
    </row>
    <row r="5" spans="1:29">
      <c r="A5" s="39">
        <v>1</v>
      </c>
      <c r="B5" s="31">
        <v>110</v>
      </c>
      <c r="C5" s="31">
        <f>C4+B5</f>
        <v>120</v>
      </c>
      <c r="D5" s="13">
        <f t="shared" si="0"/>
        <v>2</v>
      </c>
      <c r="E5" s="99">
        <v>23.263309478759766</v>
      </c>
      <c r="F5" s="99">
        <v>23.135688781738281</v>
      </c>
      <c r="G5" s="100">
        <v>22.86613655090332</v>
      </c>
      <c r="H5" s="106">
        <f t="shared" si="1"/>
        <v>23.058687690995697</v>
      </c>
      <c r="I5" s="106">
        <f t="shared" si="2"/>
        <v>22.931066993974213</v>
      </c>
      <c r="J5" s="106">
        <f t="shared" si="3"/>
        <v>22.661514763139252</v>
      </c>
      <c r="K5" s="100">
        <f>((H5-'CalibrationB. hydrogenotrophica'!$D$45)/('CalibrationB. hydrogenotrophica'!$D$44))+$B$24</f>
        <v>7.9337410047397476</v>
      </c>
      <c r="L5" s="100">
        <f>((I5-'CalibrationB. hydrogenotrophica'!$D$45)/('CalibrationB. hydrogenotrophica'!$D$44))+$B$24</f>
        <v>7.9657317542500596</v>
      </c>
      <c r="M5" s="100">
        <f>((J5-'CalibrationB. hydrogenotrophica'!$D$45)/('CalibrationB. hydrogenotrophica'!$D$44))+$B$24</f>
        <v>8.0333005585101951</v>
      </c>
      <c r="N5" s="107">
        <f t="shared" ref="N5:N20" si="4">AVERAGE(K5:M5)</f>
        <v>7.9775911058333335</v>
      </c>
      <c r="O5" s="107">
        <f t="shared" ref="O5:O20" si="5">STDEV(K5:M5)</f>
        <v>5.0828233804888802E-2</v>
      </c>
      <c r="P5" s="108">
        <f>(AVERAGE(POWER(10,K5),POWER(10,L5),POWER(10,M5)))*Calculation!$I5/Calculation!$K4</f>
        <v>95646863.44181852</v>
      </c>
      <c r="Q5" s="108">
        <f>(STDEV(POWER(10,K5),POWER(10,L5),POWER(10,M5)))*Calculation!$I5/Calculation!$K4</f>
        <v>11388403.401267443</v>
      </c>
      <c r="R5" s="107">
        <f t="shared" ref="R5:R20" si="6">LOG(P5)</f>
        <v>7.980670732729803</v>
      </c>
      <c r="S5" s="107">
        <f>O5*Calculation!$I5/Calculation!$K4</f>
        <v>5.0954022689168474E-2</v>
      </c>
      <c r="T5" s="84"/>
      <c r="U5" s="84"/>
      <c r="V5" s="84"/>
      <c r="W5" s="84"/>
      <c r="X5" s="84"/>
      <c r="Y5" s="84"/>
      <c r="Z5" s="84"/>
      <c r="AA5" s="84"/>
      <c r="AB5" s="84"/>
      <c r="AC5" s="84"/>
    </row>
    <row r="6" spans="1:29">
      <c r="A6" s="39">
        <v>2</v>
      </c>
      <c r="B6" s="31">
        <v>80</v>
      </c>
      <c r="C6" s="31">
        <f>C5+B6</f>
        <v>200</v>
      </c>
      <c r="D6" s="13">
        <f t="shared" si="0"/>
        <v>3.3333333333333335</v>
      </c>
      <c r="E6" s="99">
        <v>21.317356109619141</v>
      </c>
      <c r="F6" s="99">
        <v>21.234880447387695</v>
      </c>
      <c r="G6" s="100">
        <v>21.324861526489258</v>
      </c>
      <c r="H6" s="106">
        <f t="shared" si="1"/>
        <v>21.112734321855072</v>
      </c>
      <c r="I6" s="106">
        <f t="shared" si="2"/>
        <v>21.030258659623627</v>
      </c>
      <c r="J6" s="106">
        <f t="shared" si="3"/>
        <v>21.120239738725189</v>
      </c>
      <c r="K6" s="100">
        <f>((H6-'CalibrationB. hydrogenotrophica'!$D$45)/('CalibrationB. hydrogenotrophica'!$D$44))+$B$24</f>
        <v>8.4215341938056554</v>
      </c>
      <c r="L6" s="100">
        <f>((I6-'CalibrationB. hydrogenotrophica'!$D$45)/('CalibrationB. hydrogenotrophica'!$D$44))+$B$24</f>
        <v>8.4422084128995944</v>
      </c>
      <c r="M6" s="100">
        <f>((J6-'CalibrationB. hydrogenotrophica'!$D$45)/('CalibrationB. hydrogenotrophica'!$D$44))+$B$24</f>
        <v>8.419652806878096</v>
      </c>
      <c r="N6" s="107">
        <f t="shared" si="4"/>
        <v>8.4277984711944498</v>
      </c>
      <c r="O6" s="107">
        <f t="shared" si="5"/>
        <v>1.2514780028113704E-2</v>
      </c>
      <c r="P6" s="108">
        <f>(AVERAGE(POWER(10,K6),POWER(10,L6),POWER(10,M6)))*Calculation!$I6/Calculation!$K5</f>
        <v>268708168.57664788</v>
      </c>
      <c r="Q6" s="108">
        <f>(STDEV(POWER(10,K6),POWER(10,L6),POWER(10,M6)))*Calculation!$I6/Calculation!$K5</f>
        <v>7804885.9732295498</v>
      </c>
      <c r="R6" s="107">
        <f t="shared" si="6"/>
        <v>8.4292808689409497</v>
      </c>
      <c r="S6" s="107">
        <f>O6*Calculation!$I6/Calculation!$K5</f>
        <v>1.2554076386018022E-2</v>
      </c>
      <c r="T6" s="84"/>
      <c r="U6" s="84"/>
      <c r="V6" s="84"/>
      <c r="W6" s="84"/>
      <c r="X6" s="84"/>
      <c r="Y6" s="84"/>
      <c r="Z6" s="84"/>
      <c r="AA6" s="84"/>
      <c r="AB6" s="84"/>
      <c r="AC6" s="84"/>
    </row>
    <row r="7" spans="1:29">
      <c r="A7" s="39">
        <v>3</v>
      </c>
      <c r="B7" s="31">
        <v>80</v>
      </c>
      <c r="C7" s="31">
        <f>C6+B7</f>
        <v>280</v>
      </c>
      <c r="D7" s="13">
        <f t="shared" si="0"/>
        <v>4.666666666666667</v>
      </c>
      <c r="E7" s="99">
        <v>20.058599472045898</v>
      </c>
      <c r="F7" s="99">
        <v>19.907020568847656</v>
      </c>
      <c r="G7" s="100">
        <v>20.042789459228516</v>
      </c>
      <c r="H7" s="106">
        <f t="shared" si="1"/>
        <v>19.85397768428183</v>
      </c>
      <c r="I7" s="106">
        <f t="shared" si="2"/>
        <v>19.702398781083588</v>
      </c>
      <c r="J7" s="106">
        <f t="shared" si="3"/>
        <v>19.838167671464447</v>
      </c>
      <c r="K7" s="100">
        <f>((H7-'CalibrationB. hydrogenotrophica'!$D$45)/('CalibrationB. hydrogenotrophica'!$D$44))+$B$24</f>
        <v>8.7370674045376742</v>
      </c>
      <c r="L7" s="100">
        <f>((I7-'CalibrationB. hydrogenotrophica'!$D$45)/('CalibrationB. hydrogenotrophica'!$D$44))+$B$24</f>
        <v>8.7750637706164962</v>
      </c>
      <c r="M7" s="100">
        <f>((J7-'CalibrationB. hydrogenotrophica'!$D$45)/('CalibrationB. hydrogenotrophica'!$D$44))+$B$24</f>
        <v>8.7410305090465812</v>
      </c>
      <c r="N7" s="107">
        <f t="shared" si="4"/>
        <v>8.7510538947335839</v>
      </c>
      <c r="O7" s="107">
        <f t="shared" si="5"/>
        <v>2.0887368294540423E-2</v>
      </c>
      <c r="P7" s="108">
        <f>(AVERAGE(POWER(10,K7),POWER(10,L7),POWER(10,M7)))*Calculation!$I7/Calculation!$K6</f>
        <v>567857012.10086417</v>
      </c>
      <c r="Q7" s="108">
        <f>(STDEV(POWER(10,K7),POWER(10,L7),POWER(10,M7)))*Calculation!$I7/Calculation!$K6</f>
        <v>27664261.76712342</v>
      </c>
      <c r="R7" s="107">
        <f t="shared" si="6"/>
        <v>8.7542389929764308</v>
      </c>
      <c r="S7" s="107">
        <f>O7*Calculation!$I7/Calculation!$K6</f>
        <v>2.1024760420979338E-2</v>
      </c>
      <c r="T7" s="84"/>
      <c r="U7" s="84"/>
      <c r="V7" s="84"/>
      <c r="W7" s="84"/>
      <c r="X7" s="84"/>
      <c r="Y7" s="84"/>
      <c r="Z7" s="84"/>
      <c r="AA7" s="84"/>
      <c r="AB7" s="84"/>
      <c r="AC7" s="84"/>
    </row>
    <row r="8" spans="1:29">
      <c r="A8" s="39">
        <v>4</v>
      </c>
      <c r="B8" s="31">
        <v>80</v>
      </c>
      <c r="C8" s="31">
        <f t="shared" ref="C8:C18" si="7">C7+B8</f>
        <v>360</v>
      </c>
      <c r="D8" s="13">
        <f t="shared" si="0"/>
        <v>6</v>
      </c>
      <c r="E8" s="99">
        <v>18.97410774230957</v>
      </c>
      <c r="F8" s="99">
        <v>18.515670776367188</v>
      </c>
      <c r="G8" s="100">
        <v>18.901468276977539</v>
      </c>
      <c r="H8" s="106">
        <f t="shared" si="1"/>
        <v>18.769485954545502</v>
      </c>
      <c r="I8" s="106">
        <f t="shared" si="2"/>
        <v>18.311048988603119</v>
      </c>
      <c r="J8" s="106">
        <f t="shared" si="3"/>
        <v>18.69684648921347</v>
      </c>
      <c r="K8" s="100">
        <f>((H8-'CalibrationB. hydrogenotrophica'!$D$45)/('CalibrationB. hydrogenotrophica'!$D$44))+$B$24</f>
        <v>9.008917536073616</v>
      </c>
      <c r="L8" s="100">
        <f>((I8-'CalibrationB. hydrogenotrophica'!$D$45)/('CalibrationB. hydrogenotrophica'!$D$44))+$B$24</f>
        <v>9.1238341795805926</v>
      </c>
      <c r="M8" s="100">
        <f>((J8-'CalibrationB. hydrogenotrophica'!$D$45)/('CalibrationB. hydrogenotrophica'!$D$44))+$B$24</f>
        <v>9.0271261103427936</v>
      </c>
      <c r="N8" s="107">
        <f t="shared" si="4"/>
        <v>9.0532926086656662</v>
      </c>
      <c r="O8" s="107">
        <f t="shared" si="5"/>
        <v>6.1765467411718879E-2</v>
      </c>
      <c r="P8" s="108">
        <f>(AVERAGE(POWER(10,K8),POWER(10,L8),POWER(10,M8)))*Calculation!$I8/Calculation!$K7</f>
        <v>1153990389.0544815</v>
      </c>
      <c r="Q8" s="108">
        <f>(STDEV(POWER(10,K8),POWER(10,L8),POWER(10,M8)))*Calculation!$I8/Calculation!$K7</f>
        <v>169627771.59663916</v>
      </c>
      <c r="R8" s="107">
        <f t="shared" si="6"/>
        <v>9.0622021918370557</v>
      </c>
      <c r="S8" s="107">
        <f>O8*Calculation!$I8/Calculation!$K7</f>
        <v>6.2612367794089893E-2</v>
      </c>
      <c r="T8" s="84"/>
      <c r="U8" s="84"/>
      <c r="V8" s="84"/>
      <c r="W8" s="84"/>
      <c r="X8" s="84"/>
      <c r="Y8" s="84"/>
      <c r="Z8" s="84"/>
      <c r="AA8" s="84"/>
      <c r="AB8" s="84"/>
      <c r="AC8" s="84"/>
    </row>
    <row r="9" spans="1:29">
      <c r="A9" s="39">
        <v>5</v>
      </c>
      <c r="B9" s="31">
        <v>80</v>
      </c>
      <c r="C9" s="31">
        <f t="shared" si="7"/>
        <v>440</v>
      </c>
      <c r="D9" s="13">
        <f t="shared" si="0"/>
        <v>7.333333333333333</v>
      </c>
      <c r="E9" s="99">
        <v>18.232002258300781</v>
      </c>
      <c r="F9" s="99">
        <v>17.376808166503906</v>
      </c>
      <c r="G9" s="100">
        <v>18.350811004638672</v>
      </c>
      <c r="H9" s="106">
        <f t="shared" si="1"/>
        <v>18.027380470536713</v>
      </c>
      <c r="I9" s="106">
        <f t="shared" si="2"/>
        <v>17.172186378739838</v>
      </c>
      <c r="J9" s="106">
        <f t="shared" si="3"/>
        <v>18.146189216874603</v>
      </c>
      <c r="K9" s="100">
        <f>((H9-'CalibrationB. hydrogenotrophica'!$D$45)/('CalibrationB. hydrogenotrophica'!$D$44))+$B$24</f>
        <v>9.1949415212361227</v>
      </c>
      <c r="L9" s="100">
        <f>((I9-'CalibrationB. hydrogenotrophica'!$D$45)/('CalibrationB. hydrogenotrophica'!$D$44))+$B$24</f>
        <v>9.4093134891996435</v>
      </c>
      <c r="M9" s="100">
        <f>((J9-'CalibrationB. hydrogenotrophica'!$D$45)/('CalibrationB. hydrogenotrophica'!$D$44))+$B$24</f>
        <v>9.1651596681947645</v>
      </c>
      <c r="N9" s="107">
        <f t="shared" si="4"/>
        <v>9.2564715595435096</v>
      </c>
      <c r="O9" s="107">
        <f t="shared" si="5"/>
        <v>0.13319996729880251</v>
      </c>
      <c r="P9" s="108">
        <f>(AVERAGE(POWER(10,K9),POWER(10,L9),POWER(10,M9)))*Calculation!$I9/Calculation!$K8</f>
        <v>1907345278.3636901</v>
      </c>
      <c r="Q9" s="108">
        <f>(STDEV(POWER(10,K9),POWER(10,L9),POWER(10,M9)))*Calculation!$I9/Calculation!$K8</f>
        <v>623190393.89172137</v>
      </c>
      <c r="R9" s="107">
        <f t="shared" si="6"/>
        <v>9.280429318591171</v>
      </c>
      <c r="S9" s="107">
        <f>O9*Calculation!$I9/Calculation!$K8</f>
        <v>0.13620992193924092</v>
      </c>
      <c r="T9" s="84"/>
      <c r="U9" s="84"/>
      <c r="V9" s="84"/>
      <c r="W9" s="84"/>
      <c r="X9" s="84"/>
      <c r="Y9" s="84"/>
      <c r="Z9" s="84"/>
      <c r="AA9" s="84"/>
      <c r="AB9" s="84"/>
      <c r="AC9" s="84"/>
    </row>
    <row r="10" spans="1:29">
      <c r="A10" s="39">
        <v>6</v>
      </c>
      <c r="B10" s="31">
        <v>80</v>
      </c>
      <c r="C10" s="31">
        <f t="shared" si="7"/>
        <v>520</v>
      </c>
      <c r="D10" s="13">
        <f t="shared" si="0"/>
        <v>8.6666666666666661</v>
      </c>
      <c r="E10" s="99">
        <v>16.797769546508789</v>
      </c>
      <c r="F10" s="99">
        <v>16.400617599487305</v>
      </c>
      <c r="G10" s="100">
        <v>16.583950042724609</v>
      </c>
      <c r="H10" s="106">
        <f t="shared" si="1"/>
        <v>16.59314775874472</v>
      </c>
      <c r="I10" s="106">
        <f t="shared" si="2"/>
        <v>16.195995811723236</v>
      </c>
      <c r="J10" s="106">
        <f t="shared" si="3"/>
        <v>16.379328254960541</v>
      </c>
      <c r="K10" s="100">
        <f>((H10-'CalibrationB. hydrogenotrophica'!$D$45)/('CalibrationB. hydrogenotrophica'!$D$44))+$B$24</f>
        <v>9.55446141489967</v>
      </c>
      <c r="L10" s="100">
        <f>((I10-'CalibrationB. hydrogenotrophica'!$D$45)/('CalibrationB. hydrogenotrophica'!$D$44))+$B$24</f>
        <v>9.6540157093928105</v>
      </c>
      <c r="M10" s="100">
        <f>((J10-'CalibrationB. hydrogenotrophica'!$D$45)/('CalibrationB. hydrogenotrophica'!$D$44))+$B$24</f>
        <v>9.6080596661678577</v>
      </c>
      <c r="N10" s="107">
        <f t="shared" si="4"/>
        <v>9.6055122634867782</v>
      </c>
      <c r="O10" s="107">
        <f t="shared" si="5"/>
        <v>4.9826010610136223E-2</v>
      </c>
      <c r="P10" s="108">
        <f>(AVERAGE(POWER(10,K10),POWER(10,L10),POWER(10,M10)))*Calculation!$I10/Calculation!$K9</f>
        <v>4194021884.7783337</v>
      </c>
      <c r="Q10" s="108">
        <f>(STDEV(POWER(10,K10),POWER(10,L10),POWER(10,M10)))*Calculation!$I10/Calculation!$K9</f>
        <v>478281247.73894089</v>
      </c>
      <c r="R10" s="107">
        <f t="shared" si="6"/>
        <v>9.6226306923223799</v>
      </c>
      <c r="S10" s="107">
        <f>O10*Calculation!$I10/Calculation!$K9</f>
        <v>5.160320748139003E-2</v>
      </c>
      <c r="T10" s="84"/>
      <c r="U10" s="84"/>
      <c r="V10" s="84"/>
      <c r="W10" s="84"/>
      <c r="X10" s="84"/>
      <c r="Y10" s="84"/>
      <c r="Z10" s="84"/>
      <c r="AA10" s="84"/>
      <c r="AB10" s="84"/>
      <c r="AC10" s="84"/>
    </row>
    <row r="11" spans="1:29">
      <c r="A11" s="39">
        <v>7</v>
      </c>
      <c r="B11" s="31">
        <v>80</v>
      </c>
      <c r="C11" s="31">
        <f t="shared" si="7"/>
        <v>600</v>
      </c>
      <c r="D11" s="13">
        <f t="shared" si="0"/>
        <v>10</v>
      </c>
      <c r="E11" s="99">
        <v>16.772754669189453</v>
      </c>
      <c r="F11" s="99">
        <v>16.379875183105469</v>
      </c>
      <c r="G11" s="100">
        <v>16.628307342529297</v>
      </c>
      <c r="H11" s="106">
        <f t="shared" si="1"/>
        <v>16.568132881425385</v>
      </c>
      <c r="I11" s="106">
        <f t="shared" si="2"/>
        <v>16.1752533953414</v>
      </c>
      <c r="J11" s="106">
        <f t="shared" si="3"/>
        <v>16.423685554765228</v>
      </c>
      <c r="K11" s="100">
        <f>((H11-'CalibrationB. hydrogenotrophica'!$D$45)/('CalibrationB. hydrogenotrophica'!$D$44))+$B$24</f>
        <v>9.560731907798008</v>
      </c>
      <c r="L11" s="100">
        <f>((I11-'CalibrationB. hydrogenotrophica'!$D$45)/('CalibrationB. hydrogenotrophica'!$D$44))+$B$24</f>
        <v>9.6592152221849883</v>
      </c>
      <c r="M11" s="100">
        <f>((J11-'CalibrationB. hydrogenotrophica'!$D$45)/('CalibrationB. hydrogenotrophica'!$D$44))+$B$24</f>
        <v>9.5969405977085565</v>
      </c>
      <c r="N11" s="107">
        <f t="shared" si="4"/>
        <v>9.6056292425638521</v>
      </c>
      <c r="O11" s="107">
        <f t="shared" si="5"/>
        <v>4.9813253409381697E-2</v>
      </c>
      <c r="P11" s="108">
        <f>(AVERAGE(POWER(10,K11),POWER(10,L11),POWER(10,M11)))*Calculation!$I11/Calculation!$K10</f>
        <v>4253196739.8025441</v>
      </c>
      <c r="Q11" s="108">
        <f>(STDEV(POWER(10,K11),POWER(10,L11),POWER(10,M11)))*Calculation!$I11/Calculation!$K10</f>
        <v>494041781.76716995</v>
      </c>
      <c r="R11" s="107">
        <f t="shared" si="6"/>
        <v>9.6287154723059398</v>
      </c>
      <c r="S11" s="107">
        <f>O11*Calculation!$I11/Calculation!$K10</f>
        <v>5.2301036538344704E-2</v>
      </c>
      <c r="T11" s="84"/>
      <c r="U11" s="84"/>
      <c r="V11" s="84"/>
      <c r="W11" s="84"/>
      <c r="X11" s="84"/>
      <c r="Y11" s="84"/>
      <c r="Z11" s="84"/>
      <c r="AA11" s="84"/>
      <c r="AB11" s="84"/>
      <c r="AC11" s="84"/>
    </row>
    <row r="12" spans="1:29">
      <c r="A12" s="39">
        <v>8</v>
      </c>
      <c r="B12" s="31">
        <v>80</v>
      </c>
      <c r="C12" s="31">
        <f t="shared" si="7"/>
        <v>680</v>
      </c>
      <c r="D12" s="13">
        <f t="shared" si="0"/>
        <v>11.333333333333334</v>
      </c>
      <c r="E12" s="99">
        <v>16.412790298461914</v>
      </c>
      <c r="F12" s="99">
        <v>15.805164337158203</v>
      </c>
      <c r="G12" s="100">
        <v>15.993622779846191</v>
      </c>
      <c r="H12" s="106">
        <f t="shared" si="1"/>
        <v>16.208168510697845</v>
      </c>
      <c r="I12" s="106">
        <f t="shared" si="2"/>
        <v>15.600542549394135</v>
      </c>
      <c r="J12" s="106">
        <f t="shared" si="3"/>
        <v>15.789000992082123</v>
      </c>
      <c r="K12" s="100">
        <f>((H12-'CalibrationB. hydrogenotrophica'!$D$45)/('CalibrationB. hydrogenotrophica'!$D$44))+$B$24</f>
        <v>9.6509643723224947</v>
      </c>
      <c r="L12" s="100">
        <f>((I12-'CalibrationB. hydrogenotrophica'!$D$45)/('CalibrationB. hydrogenotrophica'!$D$44))+$B$24</f>
        <v>9.8032783024114103</v>
      </c>
      <c r="M12" s="100">
        <f>((J12-'CalibrationB. hydrogenotrophica'!$D$45)/('CalibrationB. hydrogenotrophica'!$D$44))+$B$24</f>
        <v>9.7560373221171268</v>
      </c>
      <c r="N12" s="107">
        <f>AVERAGE(K12:M12)</f>
        <v>9.7367599989503439</v>
      </c>
      <c r="O12" s="107">
        <f>STDEV(K12:M12)</f>
        <v>7.7965343045100527E-2</v>
      </c>
      <c r="P12" s="108">
        <f>(AVERAGE(POWER(10,K12),POWER(10,L12),POWER(10,M12)))*Calculation!$I12/Calculation!$K11</f>
        <v>5828135704.2032747</v>
      </c>
      <c r="Q12" s="108">
        <f>(STDEV(POWER(10,K12),POWER(10,L12),POWER(10,M12)))*Calculation!$I12/Calculation!$K11</f>
        <v>1009335473.6358632</v>
      </c>
      <c r="R12" s="107">
        <f t="shared" si="6"/>
        <v>9.7655296554693507</v>
      </c>
      <c r="S12" s="107">
        <f>O12*Calculation!$I12/Calculation!$K11</f>
        <v>8.2435575833761043E-2</v>
      </c>
      <c r="T12" s="84"/>
      <c r="U12" s="84"/>
      <c r="V12" s="84"/>
      <c r="W12" s="84"/>
      <c r="X12" s="84"/>
      <c r="Y12" s="84"/>
      <c r="Z12" s="84"/>
      <c r="AA12" s="84"/>
      <c r="AB12" s="84"/>
      <c r="AC12" s="84"/>
    </row>
    <row r="13" spans="1:29">
      <c r="A13" s="39">
        <v>9</v>
      </c>
      <c r="B13" s="31">
        <v>80</v>
      </c>
      <c r="C13" s="31">
        <f t="shared" si="7"/>
        <v>760</v>
      </c>
      <c r="D13" s="13">
        <f>C13/60</f>
        <v>12.666666666666666</v>
      </c>
      <c r="E13" s="99">
        <v>15.258687019348145</v>
      </c>
      <c r="F13" s="99">
        <v>14.905241012573242</v>
      </c>
      <c r="G13" s="100">
        <v>15.135110855102539</v>
      </c>
      <c r="H13" s="106">
        <f t="shared" si="1"/>
        <v>15.054065231584076</v>
      </c>
      <c r="I13" s="106">
        <f t="shared" si="2"/>
        <v>14.700619224809174</v>
      </c>
      <c r="J13" s="106">
        <f t="shared" si="3"/>
        <v>14.93048906733847</v>
      </c>
      <c r="K13" s="100">
        <f>((H13-'CalibrationB. hydrogenotrophica'!$D$45)/('CalibrationB. hydrogenotrophica'!$D$44))+$B$24</f>
        <v>9.9402640687889861</v>
      </c>
      <c r="L13" s="100">
        <f>((I13-'CalibrationB. hydrogenotrophica'!$D$45)/('CalibrationB. hydrogenotrophica'!$D$44))+$B$24</f>
        <v>10.028862571477402</v>
      </c>
      <c r="M13" s="100">
        <f>((J13-'CalibrationB. hydrogenotrophica'!$D$45)/('CalibrationB. hydrogenotrophica'!$D$44))+$B$24</f>
        <v>9.971240973069337</v>
      </c>
      <c r="N13" s="107">
        <f t="shared" si="4"/>
        <v>9.9801225377785752</v>
      </c>
      <c r="O13" s="107">
        <f t="shared" si="5"/>
        <v>4.4962043029878225E-2</v>
      </c>
      <c r="P13" s="108">
        <f>(AVERAGE(POWER(10,K13),POWER(10,L13),POWER(10,M13)))*Calculation!$I13/Calculation!$K12</f>
        <v>10185813911.576069</v>
      </c>
      <c r="Q13" s="108">
        <f>(STDEV(POWER(10,K13),POWER(10,L13),POWER(10,M13)))*Calculation!$I13/Calculation!$K12</f>
        <v>1068470367.0732599</v>
      </c>
      <c r="R13" s="107">
        <f t="shared" si="6"/>
        <v>10.007995737625169</v>
      </c>
      <c r="S13" s="107">
        <f>O13*Calculation!$I13/Calculation!$K12</f>
        <v>4.7769840446672367E-2</v>
      </c>
      <c r="T13" s="84"/>
      <c r="U13" s="84"/>
      <c r="V13" s="84"/>
      <c r="W13" s="84"/>
      <c r="X13" s="84"/>
      <c r="Y13" s="84"/>
      <c r="Z13" s="84"/>
      <c r="AA13" s="84"/>
      <c r="AB13" s="84"/>
      <c r="AC13" s="84"/>
    </row>
    <row r="14" spans="1:29">
      <c r="A14" s="39">
        <v>10</v>
      </c>
      <c r="B14" s="31">
        <v>80</v>
      </c>
      <c r="C14" s="31">
        <f t="shared" si="7"/>
        <v>840</v>
      </c>
      <c r="D14" s="13">
        <f t="shared" si="0"/>
        <v>14</v>
      </c>
      <c r="E14" s="99">
        <v>15.313655853271484</v>
      </c>
      <c r="F14" s="99">
        <v>14.911138534545898</v>
      </c>
      <c r="G14" s="100">
        <v>14.925654411315918</v>
      </c>
      <c r="H14" s="106">
        <f t="shared" si="1"/>
        <v>15.109034065507416</v>
      </c>
      <c r="I14" s="106">
        <f t="shared" si="2"/>
        <v>14.70651674678183</v>
      </c>
      <c r="J14" s="106">
        <f t="shared" si="3"/>
        <v>14.721032623551849</v>
      </c>
      <c r="K14" s="100">
        <f>((H14-'CalibrationB. hydrogenotrophica'!$D$45)/('CalibrationB. hydrogenotrophica'!$D$44))+$B$24</f>
        <v>9.9264850013026251</v>
      </c>
      <c r="L14" s="100">
        <f>((I14-'CalibrationB. hydrogenotrophica'!$D$45)/('CalibrationB. hydrogenotrophica'!$D$44))+$B$24</f>
        <v>10.027384236438008</v>
      </c>
      <c r="M14" s="100">
        <f>((J14-'CalibrationB. hydrogenotrophica'!$D$45)/('CalibrationB. hydrogenotrophica'!$D$44))+$B$24</f>
        <v>10.02374553371572</v>
      </c>
      <c r="N14" s="107">
        <f t="shared" si="4"/>
        <v>9.992538257152118</v>
      </c>
      <c r="O14" s="107">
        <f t="shared" si="5"/>
        <v>5.7232722245357304E-2</v>
      </c>
      <c r="P14" s="108">
        <f>(AVERAGE(POWER(10,K14),POWER(10,L14),POWER(10,M14)))*Calculation!$I14/Calculation!$K13</f>
        <v>10581546653.355448</v>
      </c>
      <c r="Q14" s="108">
        <f>(STDEV(POWER(10,K14),POWER(10,L14),POWER(10,M14)))*Calculation!$I14/Calculation!$K13</f>
        <v>1338023607.4840424</v>
      </c>
      <c r="R14" s="107">
        <f t="shared" si="6"/>
        <v>10.024549151056966</v>
      </c>
      <c r="S14" s="107">
        <f>O14*Calculation!$I14/Calculation!$K13</f>
        <v>6.1264377416730936E-2</v>
      </c>
      <c r="T14" s="84"/>
      <c r="U14" s="84"/>
      <c r="V14" s="84"/>
      <c r="W14" s="84"/>
      <c r="X14" s="84"/>
      <c r="Y14" s="84"/>
      <c r="Z14" s="84"/>
      <c r="AA14" s="84"/>
      <c r="AB14" s="84"/>
      <c r="AC14" s="84"/>
    </row>
    <row r="15" spans="1:29">
      <c r="A15" s="39">
        <v>11</v>
      </c>
      <c r="B15" s="31">
        <v>80</v>
      </c>
      <c r="C15" s="31">
        <f t="shared" si="7"/>
        <v>920</v>
      </c>
      <c r="D15" s="13">
        <f t="shared" si="0"/>
        <v>15.333333333333334</v>
      </c>
      <c r="E15" s="99">
        <v>16.428882598876953</v>
      </c>
      <c r="F15" s="99">
        <v>16.098726272583008</v>
      </c>
      <c r="G15" s="100">
        <v>16.274242401123047</v>
      </c>
      <c r="H15" s="106">
        <f t="shared" si="1"/>
        <v>16.224260811112885</v>
      </c>
      <c r="I15" s="106">
        <f t="shared" si="2"/>
        <v>15.894104484818939</v>
      </c>
      <c r="J15" s="106">
        <f t="shared" si="3"/>
        <v>16.069620613358978</v>
      </c>
      <c r="K15" s="100">
        <f>((H15-'CalibrationB. hydrogenotrophica'!$D$45)/('CalibrationB. hydrogenotrophica'!$D$44))+$C$24</f>
        <v>9.9479605022919841</v>
      </c>
      <c r="L15" s="100">
        <f>((I15-'CalibrationB. hydrogenotrophica'!$D$45)/('CalibrationB. hydrogenotrophica'!$D$44))+$C$24</f>
        <v>10.030720968111538</v>
      </c>
      <c r="M15" s="100">
        <f>((J15-'CalibrationB. hydrogenotrophica'!$D$45)/('CalibrationB. hydrogenotrophica'!$D$44))+$C$24</f>
        <v>9.986724244741513</v>
      </c>
      <c r="N15" s="107">
        <f t="shared" si="4"/>
        <v>9.9884685717150123</v>
      </c>
      <c r="O15" s="107">
        <f t="shared" si="5"/>
        <v>4.1407797370908869E-2</v>
      </c>
      <c r="P15" s="108">
        <f>(AVERAGE(POWER(10,K15),POWER(10,L15),POWER(10,M15)))*Calculation!$I15/Calculation!$K14</f>
        <v>10473663618.011421</v>
      </c>
      <c r="Q15" s="108">
        <f>(STDEV(POWER(10,K15),POWER(10,L15),POWER(10,M15)))*Calculation!$I15/Calculation!$K14</f>
        <v>1000464070.9028405</v>
      </c>
      <c r="R15" s="107">
        <f t="shared" si="6"/>
        <v>10.020098621581184</v>
      </c>
      <c r="S15" s="107">
        <f>O15*Calculation!$I15/Calculation!$K14</f>
        <v>4.4401182275807631E-2</v>
      </c>
      <c r="T15" s="84"/>
      <c r="U15" s="84"/>
      <c r="V15" s="84"/>
      <c r="W15" s="84"/>
      <c r="X15" s="84"/>
      <c r="Y15" s="84"/>
      <c r="Z15" s="84"/>
      <c r="AA15" s="84"/>
      <c r="AB15" s="84"/>
      <c r="AC15" s="84"/>
    </row>
    <row r="16" spans="1:29">
      <c r="A16" s="39">
        <v>12</v>
      </c>
      <c r="B16" s="31">
        <v>80</v>
      </c>
      <c r="C16" s="31">
        <f t="shared" si="7"/>
        <v>1000</v>
      </c>
      <c r="D16" s="13">
        <f t="shared" si="0"/>
        <v>16.666666666666668</v>
      </c>
      <c r="E16" s="99">
        <v>15.149968147277832</v>
      </c>
      <c r="F16" s="99">
        <v>14.891110420227051</v>
      </c>
      <c r="G16" s="100">
        <v>15.01905632019043</v>
      </c>
      <c r="H16" s="106">
        <f t="shared" si="1"/>
        <v>14.945346359513763</v>
      </c>
      <c r="I16" s="106">
        <f t="shared" si="2"/>
        <v>14.686488632462982</v>
      </c>
      <c r="J16" s="106">
        <f t="shared" si="3"/>
        <v>14.814434532426361</v>
      </c>
      <c r="K16" s="100">
        <f>((H16-'CalibrationB. hydrogenotrophica'!$D$45)/('CalibrationB. hydrogenotrophica'!$D$44))+$B$24</f>
        <v>9.9675166875617816</v>
      </c>
      <c r="L16" s="100">
        <f>((I16-'CalibrationB. hydrogenotrophica'!$D$45)/('CalibrationB. hydrogenotrophica'!$D$44))+$B$24</f>
        <v>10.032404694743688</v>
      </c>
      <c r="M16" s="100">
        <f>((J16-'CalibrationB. hydrogenotrophica'!$D$45)/('CalibrationB. hydrogenotrophica'!$D$44))+$B$24</f>
        <v>10.000332426435117</v>
      </c>
      <c r="N16" s="107">
        <f t="shared" si="4"/>
        <v>10.00008460291353</v>
      </c>
      <c r="O16" s="107">
        <f t="shared" si="5"/>
        <v>3.2444713458176441E-2</v>
      </c>
      <c r="P16" s="108">
        <f>(AVERAGE(POWER(10,K16),POWER(10,L16),POWER(10,M16)))*Calculation!$I16/Calculation!$K15</f>
        <v>10754551020.07402</v>
      </c>
      <c r="Q16" s="108">
        <f>(STDEV(POWER(10,K16),POWER(10,L16),POWER(10,M16)))*Calculation!$I16/Calculation!$K15</f>
        <v>802534161.69300318</v>
      </c>
      <c r="R16" s="107">
        <f t="shared" si="6"/>
        <v>10.031592284219112</v>
      </c>
      <c r="S16" s="107">
        <f>O16*Calculation!$I16/Calculation!$K15</f>
        <v>3.4821244126257103E-2</v>
      </c>
      <c r="T16" s="84"/>
      <c r="U16" s="84"/>
      <c r="V16" s="84"/>
      <c r="W16" s="84"/>
      <c r="X16" s="84"/>
      <c r="Y16" s="84"/>
      <c r="Z16" s="84"/>
      <c r="AA16" s="84"/>
      <c r="AB16" s="84"/>
      <c r="AC16" s="84"/>
    </row>
    <row r="17" spans="1:29">
      <c r="A17" s="39">
        <v>13</v>
      </c>
      <c r="B17" s="31">
        <v>80</v>
      </c>
      <c r="C17" s="31">
        <f t="shared" si="7"/>
        <v>1080</v>
      </c>
      <c r="D17" s="13">
        <f t="shared" si="0"/>
        <v>18</v>
      </c>
      <c r="E17" s="99">
        <v>15.106947898864746</v>
      </c>
      <c r="F17" s="99">
        <v>14.853842735290527</v>
      </c>
      <c r="G17" s="100">
        <v>14.758023262023926</v>
      </c>
      <c r="H17" s="106">
        <f t="shared" si="1"/>
        <v>14.902326111100678</v>
      </c>
      <c r="I17" s="106">
        <f t="shared" si="2"/>
        <v>14.649220947526459</v>
      </c>
      <c r="J17" s="106">
        <f t="shared" si="3"/>
        <v>14.553401474259857</v>
      </c>
      <c r="K17" s="100">
        <f>((H17-'CalibrationB. hydrogenotrophica'!$D$45)/('CalibrationB. hydrogenotrophica'!$D$44))+$B$24</f>
        <v>9.9783005966217875</v>
      </c>
      <c r="L17" s="100">
        <f>((I17-'CalibrationB. hydrogenotrophica'!$D$45)/('CalibrationB. hydrogenotrophica'!$D$44))+$B$24</f>
        <v>10.041746605589331</v>
      </c>
      <c r="M17" s="100">
        <f>((J17-'CalibrationB. hydrogenotrophica'!$D$45)/('CalibrationB. hydrogenotrophica'!$D$44))+$B$24</f>
        <v>10.065765725050539</v>
      </c>
      <c r="N17" s="107">
        <f t="shared" si="4"/>
        <v>10.028604309087219</v>
      </c>
      <c r="O17" s="107">
        <f t="shared" si="5"/>
        <v>4.5189347647167775E-2</v>
      </c>
      <c r="P17" s="108">
        <f>(AVERAGE(POWER(10,K17),POWER(10,L17),POWER(10,M17)))*Calculation!$I17/Calculation!$K16</f>
        <v>11504001752.919746</v>
      </c>
      <c r="Q17" s="108">
        <f>(STDEV(POWER(10,K17),POWER(10,L17),POWER(10,M17)))*Calculation!$I17/Calculation!$K16</f>
        <v>1170390745.8975067</v>
      </c>
      <c r="R17" s="107">
        <f t="shared" si="6"/>
        <v>10.060848939214338</v>
      </c>
      <c r="S17" s="107">
        <f>O17*Calculation!$I17/Calculation!$K16</f>
        <v>4.8499405253085333E-2</v>
      </c>
      <c r="T17" s="84"/>
      <c r="U17" s="84"/>
      <c r="V17" s="84"/>
      <c r="W17" s="84"/>
      <c r="X17" s="84"/>
      <c r="Y17" s="84"/>
      <c r="Z17" s="84"/>
      <c r="AA17" s="84"/>
      <c r="AB17" s="84"/>
      <c r="AC17" s="84"/>
    </row>
    <row r="18" spans="1:29">
      <c r="A18" s="39">
        <v>14</v>
      </c>
      <c r="B18" s="31">
        <v>360</v>
      </c>
      <c r="C18" s="31">
        <f t="shared" si="7"/>
        <v>1440</v>
      </c>
      <c r="D18" s="13">
        <f t="shared" si="0"/>
        <v>24</v>
      </c>
      <c r="E18" s="99">
        <v>15.449204444885254</v>
      </c>
      <c r="F18" s="99">
        <v>15.283649444580078</v>
      </c>
      <c r="G18" s="100">
        <v>15.553845405578613</v>
      </c>
      <c r="H18" s="106">
        <f t="shared" si="1"/>
        <v>15.244582657121185</v>
      </c>
      <c r="I18" s="106">
        <f t="shared" si="2"/>
        <v>15.07902765681601</v>
      </c>
      <c r="J18" s="106">
        <f t="shared" si="3"/>
        <v>15.349223617814545</v>
      </c>
      <c r="K18" s="100">
        <f>((H18-'CalibrationB. hydrogenotrophica'!$D$45)/('CalibrationB. hydrogenotrophica'!$D$44))+$B$24</f>
        <v>9.8925069621444344</v>
      </c>
      <c r="L18" s="100">
        <f>((I18-'CalibrationB. hydrogenotrophica'!$D$45)/('CalibrationB. hydrogenotrophica'!$D$44))+$B$24</f>
        <v>9.9340067240839165</v>
      </c>
      <c r="M18" s="100">
        <f>((J18-'CalibrationB. hydrogenotrophica'!$D$45)/('CalibrationB. hydrogenotrophica'!$D$44))+$B$24</f>
        <v>9.8662765556336769</v>
      </c>
      <c r="N18" s="107">
        <f t="shared" si="4"/>
        <v>9.8975967472873432</v>
      </c>
      <c r="O18" s="107">
        <f t="shared" si="5"/>
        <v>3.4150744708939876E-2</v>
      </c>
      <c r="P18" s="108">
        <f>(AVERAGE(POWER(10,K18),POWER(10,L18),POWER(10,M18)))*Calculation!$I18/Calculation!$K17</f>
        <v>8495655556.2874298</v>
      </c>
      <c r="Q18" s="108">
        <f>(STDEV(POWER(10,K18),POWER(10,L18),POWER(10,M18)))*Calculation!$I18/Calculation!$K17</f>
        <v>673240934.65406716</v>
      </c>
      <c r="R18" s="107">
        <f t="shared" si="6"/>
        <v>9.9291968962708079</v>
      </c>
      <c r="S18" s="107">
        <f>O18*Calculation!$I18/Calculation!$K17</f>
        <v>3.6652239821331922E-2</v>
      </c>
      <c r="T18" s="84"/>
      <c r="U18" s="84"/>
      <c r="V18" s="84"/>
      <c r="W18" s="84"/>
      <c r="X18" s="84"/>
      <c r="Y18" s="84"/>
      <c r="Z18" s="84"/>
      <c r="AA18" s="84"/>
      <c r="AB18" s="84"/>
      <c r="AC18" s="84"/>
    </row>
    <row r="19" spans="1:29">
      <c r="A19" s="39">
        <v>15</v>
      </c>
      <c r="B19" s="31">
        <v>375</v>
      </c>
      <c r="C19" s="31">
        <f>C18+B19</f>
        <v>1815</v>
      </c>
      <c r="D19" s="13">
        <f>C19/60</f>
        <v>30.25</v>
      </c>
      <c r="E19" s="99">
        <v>16.957439422607422</v>
      </c>
      <c r="F19" s="99">
        <v>16.998502731323242</v>
      </c>
      <c r="G19" s="100">
        <v>17.063676834106445</v>
      </c>
      <c r="H19" s="106">
        <f t="shared" si="1"/>
        <v>16.752817634843353</v>
      </c>
      <c r="I19" s="106">
        <f t="shared" si="2"/>
        <v>16.793880943559174</v>
      </c>
      <c r="J19" s="106">
        <f t="shared" si="3"/>
        <v>16.859055046342377</v>
      </c>
      <c r="K19" s="100">
        <f>((H19-'CalibrationB. hydrogenotrophica'!$D$45)/('CalibrationB. hydrogenotrophica'!$D$44))+$B$24</f>
        <v>9.5144368802448103</v>
      </c>
      <c r="L19" s="100">
        <f>((I19-'CalibrationB. hydrogenotrophica'!$D$45)/('CalibrationB. hydrogenotrophica'!$D$44))+$B$24</f>
        <v>9.5041435183227136</v>
      </c>
      <c r="M19" s="100">
        <f>((J19-'CalibrationB. hydrogenotrophica'!$D$45)/('CalibrationB. hydrogenotrophica'!$D$44))+$B$24</f>
        <v>9.4878062905426006</v>
      </c>
      <c r="N19" s="107">
        <f t="shared" si="4"/>
        <v>9.5021288963700403</v>
      </c>
      <c r="O19" s="107">
        <f t="shared" si="5"/>
        <v>1.3429114013254939E-2</v>
      </c>
      <c r="P19" s="108">
        <f>(AVERAGE(POWER(10,K19),POWER(10,L19),POWER(10,M19)))*Calculation!$I19/Calculation!$K18</f>
        <v>3411672457.9798203</v>
      </c>
      <c r="Q19" s="108">
        <f>(STDEV(POWER(10,K19),POWER(10,L19),POWER(10,M19)))*Calculation!$I19/Calculation!$K18</f>
        <v>105122805.65787661</v>
      </c>
      <c r="R19" s="107">
        <f t="shared" si="6"/>
        <v>9.5329673294942641</v>
      </c>
      <c r="S19" s="107">
        <f>O19*Calculation!$I19/Calculation!$K18</f>
        <v>1.4412778157454963E-2</v>
      </c>
      <c r="T19" s="84"/>
      <c r="U19" s="84"/>
      <c r="V19" s="84"/>
      <c r="W19" s="84"/>
      <c r="X19" s="84"/>
      <c r="Y19" s="84"/>
      <c r="Z19" s="84"/>
      <c r="AA19" s="84"/>
      <c r="AB19" s="84"/>
      <c r="AC19" s="84"/>
    </row>
    <row r="20" spans="1:29">
      <c r="A20" s="39">
        <v>16</v>
      </c>
      <c r="B20" s="31">
        <v>1065</v>
      </c>
      <c r="C20" s="31">
        <f>C19+B20</f>
        <v>2880</v>
      </c>
      <c r="D20" s="13">
        <f t="shared" ref="D20" si="8">C20/60</f>
        <v>48</v>
      </c>
      <c r="E20" s="99">
        <v>18.640354156494141</v>
      </c>
      <c r="F20" s="99">
        <v>18.930570602416992</v>
      </c>
      <c r="G20" s="100">
        <v>18.96391487121582</v>
      </c>
      <c r="H20" s="106">
        <f t="shared" si="1"/>
        <v>18.435732368730072</v>
      </c>
      <c r="I20" s="106">
        <f t="shared" si="2"/>
        <v>18.725948814652924</v>
      </c>
      <c r="J20" s="106">
        <f t="shared" si="3"/>
        <v>18.759293083451752</v>
      </c>
      <c r="K20" s="100">
        <f>((H20-'CalibrationB. hydrogenotrophica'!$D$45)/('CalibrationB. hydrogenotrophica'!$D$44))+$B$24</f>
        <v>9.0925797288932646</v>
      </c>
      <c r="L20" s="100">
        <f>((I20-'CalibrationB. hydrogenotrophica'!$D$45)/('CalibrationB. hydrogenotrophica'!$D$44))+$B$24</f>
        <v>9.0198310146018237</v>
      </c>
      <c r="M20" s="100">
        <f>((J20-'CalibrationB. hydrogenotrophica'!$D$45)/('CalibrationB. hydrogenotrophica'!$D$44))+$B$24</f>
        <v>9.0114725886125946</v>
      </c>
      <c r="N20" s="107">
        <f t="shared" si="4"/>
        <v>9.0412944440358949</v>
      </c>
      <c r="O20" s="107">
        <f t="shared" si="5"/>
        <v>4.4610549799689397E-2</v>
      </c>
      <c r="P20" s="108">
        <f>(AVERAGE(POWER(10,K20),POWER(10,L20),POWER(10,M20)))*Calculation!$I20/Calculation!$K19</f>
        <v>1184540279.3623292</v>
      </c>
      <c r="Q20" s="108">
        <f>(STDEV(POWER(10,K20),POWER(10,L20),POWER(10,M20)))*Calculation!$I20/Calculation!$K19</f>
        <v>124916632.51091109</v>
      </c>
      <c r="R20" s="107">
        <f t="shared" si="6"/>
        <v>9.0735498331528071</v>
      </c>
      <c r="S20" s="107">
        <f>O20*Calculation!$I20/Calculation!$K19</f>
        <v>4.7878211258791714E-2</v>
      </c>
      <c r="T20" s="84"/>
      <c r="U20" s="84"/>
      <c r="V20" s="84"/>
      <c r="W20" s="84"/>
      <c r="X20" s="84"/>
      <c r="Y20" s="84"/>
      <c r="Z20" s="84"/>
      <c r="AA20" s="84"/>
      <c r="AB20" s="84"/>
      <c r="AC20" s="84"/>
    </row>
    <row r="21" spans="1:29">
      <c r="A21" s="84"/>
      <c r="B21" s="84"/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</row>
    <row r="22" spans="1:29">
      <c r="A22" s="120"/>
      <c r="B22" s="121"/>
      <c r="C22" s="120"/>
      <c r="D22" s="121"/>
      <c r="E22" s="110"/>
      <c r="F22" s="110"/>
      <c r="G22" s="111"/>
      <c r="H22" s="112"/>
      <c r="I22" s="112"/>
      <c r="J22" s="112"/>
      <c r="K22" s="111"/>
      <c r="L22" s="111"/>
      <c r="M22" s="111"/>
      <c r="N22" s="113"/>
      <c r="O22" s="113"/>
      <c r="P22" s="114"/>
      <c r="Q22" s="114"/>
      <c r="R22" s="113"/>
      <c r="S22" s="113"/>
    </row>
    <row r="23" spans="1:29">
      <c r="A23" s="120"/>
      <c r="B23" s="121"/>
      <c r="C23" s="120"/>
      <c r="D23" s="121"/>
      <c r="E23" s="110"/>
      <c r="F23" s="110"/>
      <c r="G23" s="111"/>
      <c r="H23" s="112"/>
      <c r="I23" s="112"/>
      <c r="J23" s="112"/>
      <c r="K23" s="111"/>
      <c r="L23" s="111"/>
      <c r="M23" s="111"/>
      <c r="N23" s="113"/>
      <c r="O23" s="113"/>
      <c r="P23" s="114"/>
      <c r="Q23" s="114"/>
      <c r="R23" s="113"/>
      <c r="S23" s="113"/>
    </row>
    <row r="24" spans="1:29">
      <c r="A24" s="102" t="s">
        <v>235</v>
      </c>
      <c r="B24" s="115">
        <f>LOG(B25)</f>
        <v>3.6532125137753435</v>
      </c>
      <c r="C24" s="95">
        <f>LOG(C25)</f>
        <v>3.9542425094393248</v>
      </c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</row>
    <row r="25" spans="1:29">
      <c r="A25" s="95" t="s">
        <v>260</v>
      </c>
      <c r="B25" s="84">
        <f>20*1800/4/2</f>
        <v>4500</v>
      </c>
      <c r="C25" s="84">
        <f>2*B25</f>
        <v>9000</v>
      </c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</row>
    <row r="26" spans="1:29">
      <c r="A26" s="84"/>
      <c r="B26" s="84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</row>
    <row r="27" spans="1:29">
      <c r="A27" s="117" t="s">
        <v>261</v>
      </c>
      <c r="E27" s="99">
        <v>11.064262390136719</v>
      </c>
      <c r="F27" s="99">
        <v>11.419097900390625</v>
      </c>
      <c r="G27" s="99"/>
      <c r="H27" s="106">
        <f>AVERAGE(E27:G27)</f>
        <v>11.241680145263672</v>
      </c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</row>
    <row r="28" spans="1:29">
      <c r="A28" s="117" t="s">
        <v>262</v>
      </c>
      <c r="E28" s="116">
        <v>10.746070861816406</v>
      </c>
      <c r="F28" s="106">
        <v>10.822755813598633</v>
      </c>
      <c r="G28" s="106">
        <v>10.731834411621094</v>
      </c>
      <c r="H28" s="106">
        <f t="shared" ref="H28:H49" si="9">AVERAGE(E28:G28)</f>
        <v>10.766887029012045</v>
      </c>
    </row>
    <row r="29" spans="1:29">
      <c r="A29" s="117" t="s">
        <v>263</v>
      </c>
      <c r="E29" s="116">
        <v>11.464282989501953</v>
      </c>
      <c r="F29" s="106">
        <v>11.464282989501953</v>
      </c>
      <c r="G29" s="106">
        <v>11.464282989501953</v>
      </c>
      <c r="H29" s="106">
        <f t="shared" si="9"/>
        <v>11.464282989501953</v>
      </c>
    </row>
    <row r="30" spans="1:29">
      <c r="A30" s="117" t="s">
        <v>264</v>
      </c>
      <c r="E30" s="116">
        <v>11.279656410217285</v>
      </c>
      <c r="F30" s="106">
        <v>11.587799072265625</v>
      </c>
      <c r="G30" s="106">
        <v>11.689614295959473</v>
      </c>
      <c r="H30" s="106">
        <f t="shared" si="9"/>
        <v>11.519023259480795</v>
      </c>
    </row>
    <row r="31" spans="1:29">
      <c r="A31" s="117" t="s">
        <v>265</v>
      </c>
      <c r="E31" s="116">
        <v>11.480988502502441</v>
      </c>
      <c r="F31" s="106">
        <v>11.470051765441895</v>
      </c>
      <c r="G31" s="106">
        <v>11.500860214233398</v>
      </c>
      <c r="H31" s="106">
        <f t="shared" si="9"/>
        <v>11.483966827392578</v>
      </c>
    </row>
    <row r="32" spans="1:29">
      <c r="A32" s="117" t="s">
        <v>266</v>
      </c>
      <c r="E32" s="116">
        <v>11.4913330078125</v>
      </c>
      <c r="F32" s="106">
        <v>11.453336715698242</v>
      </c>
      <c r="G32" s="106">
        <v>11.486644744873047</v>
      </c>
      <c r="H32" s="106">
        <f t="shared" si="9"/>
        <v>11.477104822794596</v>
      </c>
    </row>
    <row r="33" spans="1:8">
      <c r="A33" s="117" t="s">
        <v>267</v>
      </c>
      <c r="E33" s="116">
        <v>11.603283882141113</v>
      </c>
      <c r="F33" s="106">
        <v>11.571865081787109</v>
      </c>
      <c r="G33" s="106">
        <v>11.644859313964844</v>
      </c>
      <c r="H33" s="106">
        <f t="shared" si="9"/>
        <v>11.606669425964355</v>
      </c>
    </row>
    <row r="34" spans="1:8">
      <c r="A34" s="117" t="s">
        <v>268</v>
      </c>
      <c r="E34" s="116">
        <v>11.201085090637207</v>
      </c>
      <c r="F34" s="106">
        <v>11.201085090637207</v>
      </c>
      <c r="G34" s="106">
        <v>11.201085090637207</v>
      </c>
      <c r="H34" s="106">
        <f t="shared" si="9"/>
        <v>11.201085090637207</v>
      </c>
    </row>
    <row r="35" spans="1:8">
      <c r="A35" s="117" t="s">
        <v>269</v>
      </c>
      <c r="E35" s="116">
        <v>10.40058422088623</v>
      </c>
      <c r="F35" s="106">
        <v>11.156428337097168</v>
      </c>
      <c r="G35" s="106">
        <v>11.374870300292969</v>
      </c>
      <c r="H35" s="106">
        <f t="shared" si="9"/>
        <v>10.977294286092123</v>
      </c>
    </row>
    <row r="36" spans="1:8">
      <c r="A36" s="117" t="s">
        <v>269</v>
      </c>
      <c r="E36" s="116">
        <v>11.333348274230957</v>
      </c>
      <c r="F36" s="106">
        <v>11.546666145324707</v>
      </c>
      <c r="G36" s="106">
        <v>11.621123313903809</v>
      </c>
      <c r="H36" s="106">
        <f t="shared" si="9"/>
        <v>11.50037924448649</v>
      </c>
    </row>
    <row r="37" spans="1:8">
      <c r="A37" s="117" t="s">
        <v>270</v>
      </c>
      <c r="E37" s="116">
        <v>11.689837455749512</v>
      </c>
      <c r="F37" s="106">
        <v>11.664087295532227</v>
      </c>
      <c r="G37" s="106">
        <v>11.717653274536133</v>
      </c>
      <c r="H37" s="106">
        <f t="shared" si="9"/>
        <v>11.690526008605957</v>
      </c>
    </row>
    <row r="38" spans="1:8">
      <c r="A38" s="117" t="s">
        <v>270</v>
      </c>
      <c r="E38" s="116">
        <v>11.29168701171875</v>
      </c>
      <c r="F38" s="106">
        <v>11.470722198486328</v>
      </c>
      <c r="G38" s="106">
        <v>10.995722770690918</v>
      </c>
      <c r="H38" s="106">
        <f t="shared" si="9"/>
        <v>11.252710660298666</v>
      </c>
    </row>
    <row r="39" spans="1:8">
      <c r="A39" s="117" t="s">
        <v>271</v>
      </c>
      <c r="E39" s="116">
        <v>11.183300018310547</v>
      </c>
      <c r="F39" s="106">
        <v>11.342129707336426</v>
      </c>
      <c r="G39" s="106">
        <v>11.389498710632324</v>
      </c>
      <c r="H39" s="106">
        <f t="shared" si="9"/>
        <v>11.304976145426432</v>
      </c>
    </row>
    <row r="40" spans="1:8">
      <c r="A40" s="117" t="s">
        <v>275</v>
      </c>
      <c r="E40" s="116">
        <v>11.500882148742676</v>
      </c>
      <c r="F40" s="106">
        <v>11.500882148742676</v>
      </c>
      <c r="G40" s="106">
        <v>11.500882148742676</v>
      </c>
      <c r="H40" s="106">
        <f t="shared" si="9"/>
        <v>11.500882148742676</v>
      </c>
    </row>
    <row r="41" spans="1:8">
      <c r="A41" s="117" t="s">
        <v>279</v>
      </c>
      <c r="E41" s="116">
        <v>11.322457313537598</v>
      </c>
      <c r="F41" s="106">
        <v>11.33414363861084</v>
      </c>
      <c r="G41" s="106">
        <v>11.329196929931641</v>
      </c>
      <c r="H41" s="106">
        <f t="shared" si="9"/>
        <v>11.328599294026693</v>
      </c>
    </row>
    <row r="42" spans="1:8">
      <c r="A42" s="117" t="s">
        <v>280</v>
      </c>
      <c r="E42" s="116">
        <v>11.317984580993652</v>
      </c>
      <c r="F42" s="106">
        <v>11.273995399475098</v>
      </c>
      <c r="G42" s="106">
        <v>11.386194229125977</v>
      </c>
      <c r="H42" s="106">
        <f t="shared" si="9"/>
        <v>11.326058069864908</v>
      </c>
    </row>
    <row r="43" spans="1:8">
      <c r="A43" s="117" t="s">
        <v>281</v>
      </c>
      <c r="E43" s="116">
        <v>11.148730278015137</v>
      </c>
      <c r="F43" s="106">
        <v>11.235733032226562</v>
      </c>
      <c r="G43" s="106">
        <v>11.234542846679688</v>
      </c>
      <c r="H43" s="106">
        <f t="shared" si="9"/>
        <v>11.206335385640463</v>
      </c>
    </row>
    <row r="44" spans="1:8">
      <c r="A44" s="117" t="s">
        <v>281</v>
      </c>
      <c r="E44" s="116">
        <v>11.324759483337402</v>
      </c>
      <c r="F44" s="106">
        <v>11.279741287231445</v>
      </c>
      <c r="G44" s="106">
        <v>11.352234840393066</v>
      </c>
      <c r="H44" s="106">
        <f t="shared" si="9"/>
        <v>11.318911870320639</v>
      </c>
    </row>
    <row r="45" spans="1:8">
      <c r="A45" s="117" t="s">
        <v>282</v>
      </c>
      <c r="E45" s="116">
        <v>11.3</v>
      </c>
      <c r="F45" s="106">
        <v>11.4</v>
      </c>
      <c r="G45" s="106">
        <v>11.3</v>
      </c>
      <c r="H45" s="106">
        <f t="shared" si="9"/>
        <v>11.333333333333334</v>
      </c>
    </row>
    <row r="46" spans="1:8">
      <c r="A46" s="117" t="s">
        <v>283</v>
      </c>
      <c r="E46" s="116">
        <v>11.137722969055176</v>
      </c>
      <c r="F46" s="106">
        <v>11.360322952270508</v>
      </c>
      <c r="G46" s="106">
        <v>11.248004913330078</v>
      </c>
      <c r="H46" s="106">
        <f t="shared" si="9"/>
        <v>11.24868361155192</v>
      </c>
    </row>
    <row r="47" spans="1:8">
      <c r="A47" s="117" t="s">
        <v>283</v>
      </c>
      <c r="E47" s="116">
        <v>11.365866661071777</v>
      </c>
      <c r="F47" s="106">
        <v>11.445242881774902</v>
      </c>
      <c r="G47" s="106">
        <v>11.431737899780273</v>
      </c>
      <c r="H47" s="106">
        <f t="shared" si="9"/>
        <v>11.41428248087565</v>
      </c>
    </row>
    <row r="48" spans="1:8">
      <c r="A48" s="62" t="s">
        <v>284</v>
      </c>
      <c r="E48" s="116">
        <v>11.350344657897949</v>
      </c>
      <c r="F48" s="106">
        <v>11.447367668151855</v>
      </c>
      <c r="G48" s="106">
        <v>11.305245399475098</v>
      </c>
      <c r="H48" s="106">
        <f t="shared" si="9"/>
        <v>11.367652575174967</v>
      </c>
    </row>
    <row r="49" spans="1:8">
      <c r="A49" s="62" t="s">
        <v>285</v>
      </c>
      <c r="E49" s="116">
        <v>11.382972717285156</v>
      </c>
      <c r="F49" s="106">
        <v>11.286684036254883</v>
      </c>
      <c r="G49" s="106">
        <v>11.278195381164551</v>
      </c>
      <c r="H49" s="106">
        <f t="shared" si="9"/>
        <v>11.315950711568197</v>
      </c>
    </row>
    <row r="50" spans="1:8">
      <c r="A50" s="62" t="s">
        <v>286</v>
      </c>
      <c r="E50" s="116">
        <v>11.351459503173828</v>
      </c>
      <c r="F50" s="106">
        <v>11.372493743896484</v>
      </c>
      <c r="G50" s="106">
        <v>11.26507568359375</v>
      </c>
      <c r="H50" s="106">
        <f>AVERAGE(E50:G50)</f>
        <v>11.329676310221354</v>
      </c>
    </row>
    <row r="51" spans="1:8">
      <c r="A51" s="62" t="s">
        <v>302</v>
      </c>
      <c r="E51" s="116">
        <v>10.961522102355957</v>
      </c>
      <c r="F51" s="106">
        <v>10.991280555725098</v>
      </c>
      <c r="G51" s="106">
        <v>10.988773345947266</v>
      </c>
      <c r="H51" s="106">
        <f t="shared" ref="H51:H63" si="10">AVERAGE(E51:G51)</f>
        <v>10.980525334676107</v>
      </c>
    </row>
    <row r="52" spans="1:8">
      <c r="A52" s="62" t="s">
        <v>303</v>
      </c>
      <c r="E52" s="116">
        <v>11.455920219421387</v>
      </c>
      <c r="F52" s="106">
        <v>11.47702693939209</v>
      </c>
      <c r="G52" s="106">
        <v>11.41429615020752</v>
      </c>
      <c r="H52" s="106">
        <f t="shared" si="10"/>
        <v>11.449081103006998</v>
      </c>
    </row>
    <row r="53" spans="1:8">
      <c r="A53" s="62" t="s">
        <v>304</v>
      </c>
      <c r="E53" s="116">
        <v>11.481462478637695</v>
      </c>
      <c r="F53" s="106">
        <v>11.294193267822266</v>
      </c>
      <c r="G53" s="106">
        <v>11.30172061920166</v>
      </c>
      <c r="H53" s="106">
        <f t="shared" si="10"/>
        <v>11.359125455220541</v>
      </c>
    </row>
    <row r="54" spans="1:8">
      <c r="A54" s="62" t="s">
        <v>304</v>
      </c>
      <c r="E54" s="116">
        <v>11.333268165588301</v>
      </c>
      <c r="F54" s="106">
        <v>11.3499765396118</v>
      </c>
      <c r="G54" s="106">
        <v>11.688117980956999</v>
      </c>
      <c r="H54" s="106">
        <f t="shared" si="10"/>
        <v>11.4571208953857</v>
      </c>
    </row>
    <row r="55" spans="1:8">
      <c r="A55" s="62" t="s">
        <v>305</v>
      </c>
      <c r="E55" s="116">
        <v>11.225685119628906</v>
      </c>
      <c r="F55" s="106">
        <v>11.295048713684082</v>
      </c>
      <c r="G55" s="106">
        <v>11.326059341430664</v>
      </c>
      <c r="H55" s="106">
        <f t="shared" si="10"/>
        <v>11.282264391581217</v>
      </c>
    </row>
    <row r="56" spans="1:8">
      <c r="A56" s="62" t="s">
        <v>306</v>
      </c>
      <c r="E56" s="116">
        <v>11.361672401428223</v>
      </c>
      <c r="F56" s="106">
        <v>11.304685592651367</v>
      </c>
      <c r="G56" s="106">
        <v>11.405701637268066</v>
      </c>
      <c r="H56" s="106">
        <f t="shared" si="10"/>
        <v>11.357353210449219</v>
      </c>
    </row>
    <row r="57" spans="1:8">
      <c r="A57" s="62" t="s">
        <v>306</v>
      </c>
      <c r="E57" s="116">
        <v>10.911848068237305</v>
      </c>
      <c r="F57" s="106">
        <v>10.950149536132812</v>
      </c>
      <c r="G57" s="106">
        <v>10.982019424438477</v>
      </c>
      <c r="H57" s="106">
        <f t="shared" si="10"/>
        <v>10.948005676269531</v>
      </c>
    </row>
    <row r="58" spans="1:8">
      <c r="A58" s="62" t="s">
        <v>308</v>
      </c>
      <c r="B58" s="95"/>
      <c r="C58" s="84"/>
      <c r="D58" s="84"/>
      <c r="E58" s="116">
        <v>11.097690582275391</v>
      </c>
      <c r="F58" s="106">
        <v>11.199633598327637</v>
      </c>
      <c r="G58" s="106">
        <v>11.211821556091309</v>
      </c>
      <c r="H58" s="106">
        <f t="shared" si="10"/>
        <v>11.169715245564779</v>
      </c>
    </row>
    <row r="59" spans="1:8">
      <c r="A59" s="62" t="s">
        <v>309</v>
      </c>
      <c r="B59" s="95"/>
      <c r="C59" s="84"/>
      <c r="D59" s="84"/>
      <c r="E59" s="116">
        <v>11.383224487304688</v>
      </c>
      <c r="F59" s="106">
        <v>11.329494476318359</v>
      </c>
      <c r="G59" s="106">
        <v>11.243021011352539</v>
      </c>
      <c r="H59" s="106">
        <f t="shared" si="10"/>
        <v>11.318579991658529</v>
      </c>
    </row>
    <row r="60" spans="1:8">
      <c r="A60" s="62" t="s">
        <v>309</v>
      </c>
      <c r="B60" s="95"/>
      <c r="C60" s="84"/>
      <c r="D60" s="84"/>
      <c r="E60" s="116">
        <v>11.171065330505371</v>
      </c>
      <c r="F60" s="106">
        <v>11.234642028808594</v>
      </c>
      <c r="G60" s="106">
        <v>11.325413703918457</v>
      </c>
      <c r="H60" s="106">
        <f t="shared" si="10"/>
        <v>11.243707021077475</v>
      </c>
    </row>
    <row r="61" spans="1:8">
      <c r="A61" s="62" t="s">
        <v>310</v>
      </c>
      <c r="B61" s="126"/>
      <c r="C61" s="84"/>
      <c r="D61" s="84"/>
      <c r="E61" s="116">
        <v>11.431556701660156</v>
      </c>
      <c r="F61" s="106">
        <v>11.393752098083496</v>
      </c>
      <c r="G61" s="106">
        <v>11.470895767211914</v>
      </c>
      <c r="H61" s="106">
        <f t="shared" si="10"/>
        <v>11.432068188985189</v>
      </c>
    </row>
    <row r="62" spans="1:8">
      <c r="A62" s="62" t="s">
        <v>310</v>
      </c>
      <c r="B62" s="126"/>
      <c r="C62" s="84"/>
      <c r="D62" s="84"/>
      <c r="E62" s="116">
        <v>11.38902759552002</v>
      </c>
      <c r="F62" s="106">
        <v>11.318164825439453</v>
      </c>
      <c r="G62" s="106">
        <v>11.357851982116699</v>
      </c>
      <c r="H62" s="106">
        <f t="shared" si="10"/>
        <v>11.355014801025391</v>
      </c>
    </row>
    <row r="63" spans="1:8">
      <c r="A63" s="62" t="s">
        <v>311</v>
      </c>
      <c r="B63" s="126"/>
      <c r="C63" s="84"/>
      <c r="D63" s="84"/>
      <c r="E63" s="116">
        <v>10.827228546142578</v>
      </c>
      <c r="F63" s="106">
        <v>10.980537414550781</v>
      </c>
      <c r="G63" s="106">
        <v>10.733705520629883</v>
      </c>
      <c r="H63" s="106">
        <f t="shared" si="10"/>
        <v>10.84715716044108</v>
      </c>
    </row>
    <row r="64" spans="1:8">
      <c r="A64" s="62" t="s">
        <v>312</v>
      </c>
      <c r="B64" s="126"/>
      <c r="C64" s="84"/>
      <c r="D64" s="84"/>
      <c r="E64" s="116">
        <v>11.185029029846191</v>
      </c>
      <c r="F64" s="106">
        <v>11.096076965332031</v>
      </c>
      <c r="G64" s="106">
        <v>11.32984447479248</v>
      </c>
      <c r="H64" s="106">
        <f>AVERAGE(E64:G64)</f>
        <v>11.2036501566569</v>
      </c>
    </row>
    <row r="65" spans="1:8">
      <c r="A65" s="62" t="s">
        <v>312</v>
      </c>
      <c r="B65" s="126"/>
      <c r="C65" s="84"/>
      <c r="D65" s="84"/>
      <c r="E65" s="116">
        <v>11.051477432250977</v>
      </c>
      <c r="F65" s="106">
        <v>10.973122596740723</v>
      </c>
      <c r="G65" s="106">
        <v>10.89690113067627</v>
      </c>
      <c r="H65" s="106">
        <f>AVERAGE(E65:G65)</f>
        <v>10.973833719889322</v>
      </c>
    </row>
    <row r="66" spans="1:8">
      <c r="A66" s="62"/>
    </row>
    <row r="67" spans="1:8">
      <c r="G67" t="s">
        <v>287</v>
      </c>
      <c r="H67" s="80">
        <f>AVERAGE(H27:H65)</f>
        <v>11.296260360978607</v>
      </c>
    </row>
  </sheetData>
  <mergeCells count="19">
    <mergeCell ref="S2:S3"/>
    <mergeCell ref="M2:M3"/>
    <mergeCell ref="N2:N3"/>
    <mergeCell ref="O2:O3"/>
    <mergeCell ref="P2:P3"/>
    <mergeCell ref="Q2:Q3"/>
    <mergeCell ref="R2:R3"/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2"/>
  <sheetViews>
    <sheetView topLeftCell="A14" workbookViewId="0">
      <selection activeCell="N38" sqref="N38"/>
    </sheetView>
  </sheetViews>
  <sheetFormatPr baseColWidth="10" defaultRowHeight="14" x14ac:dyDescent="0"/>
  <cols>
    <col min="5" max="5" width="17.33203125" customWidth="1"/>
    <col min="6" max="6" width="24.83203125" customWidth="1"/>
    <col min="12" max="12" width="21.1640625" customWidth="1"/>
    <col min="13" max="13" width="19.5" customWidth="1"/>
  </cols>
  <sheetData>
    <row r="2" spans="1:17">
      <c r="A2" s="105" t="s">
        <v>272</v>
      </c>
      <c r="B2" s="84"/>
      <c r="C2" s="84"/>
      <c r="D2" s="84"/>
      <c r="H2" s="105" t="s">
        <v>259</v>
      </c>
      <c r="I2" s="84"/>
      <c r="J2" s="84"/>
      <c r="K2" s="84"/>
      <c r="O2" s="105" t="s">
        <v>273</v>
      </c>
    </row>
    <row r="3" spans="1:17">
      <c r="A3" s="131" t="s">
        <v>4</v>
      </c>
      <c r="B3" s="131" t="s">
        <v>117</v>
      </c>
      <c r="C3" s="131" t="s">
        <v>117</v>
      </c>
      <c r="D3" s="131" t="s">
        <v>5</v>
      </c>
      <c r="E3" s="149" t="s">
        <v>233</v>
      </c>
      <c r="F3" s="147" t="s">
        <v>234</v>
      </c>
      <c r="H3" s="131" t="s">
        <v>4</v>
      </c>
      <c r="I3" s="131" t="s">
        <v>117</v>
      </c>
      <c r="J3" s="131" t="s">
        <v>117</v>
      </c>
      <c r="K3" s="131" t="s">
        <v>5</v>
      </c>
      <c r="L3" s="149" t="s">
        <v>233</v>
      </c>
      <c r="M3" s="147" t="s">
        <v>234</v>
      </c>
      <c r="O3" s="149" t="s">
        <v>233</v>
      </c>
      <c r="P3" s="149" t="s">
        <v>233</v>
      </c>
      <c r="Q3" s="147" t="s">
        <v>234</v>
      </c>
    </row>
    <row r="4" spans="1:17">
      <c r="A4" s="132"/>
      <c r="B4" s="132"/>
      <c r="C4" s="132"/>
      <c r="D4" s="132"/>
      <c r="E4" s="150"/>
      <c r="F4" s="151"/>
      <c r="H4" s="132"/>
      <c r="I4" s="132"/>
      <c r="J4" s="132"/>
      <c r="K4" s="132"/>
      <c r="L4" s="150"/>
      <c r="M4" s="151"/>
      <c r="O4" s="150"/>
      <c r="P4" s="150"/>
      <c r="Q4" s="151"/>
    </row>
    <row r="5" spans="1:17">
      <c r="A5" s="39">
        <v>0</v>
      </c>
      <c r="B5" s="31">
        <v>10</v>
      </c>
      <c r="C5" s="31">
        <f>B5</f>
        <v>10</v>
      </c>
      <c r="D5" s="13">
        <f t="shared" ref="D5:D19" si="0">C5/60</f>
        <v>0.16666666666666666</v>
      </c>
      <c r="E5" s="107"/>
      <c r="F5" s="107"/>
      <c r="H5" s="39">
        <v>0</v>
      </c>
      <c r="I5" s="31">
        <v>10</v>
      </c>
      <c r="J5" s="31">
        <f>I5</f>
        <v>10</v>
      </c>
      <c r="K5" s="13">
        <f t="shared" ref="K5:K13" si="1">J5/60</f>
        <v>0.16666666666666666</v>
      </c>
      <c r="L5" s="107">
        <f>'Determination cell counts BH'!R4</f>
        <v>7.7128381703519233</v>
      </c>
      <c r="M5" s="107">
        <f>'Determination cell counts BH'!S4</f>
        <v>0.18703269395490549</v>
      </c>
      <c r="O5" s="122">
        <f>POWER(10,L5)+POWER(10,E26)</f>
        <v>58904314.240092248</v>
      </c>
      <c r="P5" s="123">
        <f>LOG(O5)</f>
        <v>7.7701471043295385</v>
      </c>
      <c r="Q5" s="123">
        <f>M5+F26</f>
        <v>0.2943472556282497</v>
      </c>
    </row>
    <row r="6" spans="1:17">
      <c r="A6" s="39">
        <v>1</v>
      </c>
      <c r="B6" s="31">
        <v>110</v>
      </c>
      <c r="C6" s="31">
        <f>C5+B6</f>
        <v>120</v>
      </c>
      <c r="D6" s="13">
        <f t="shared" si="0"/>
        <v>2</v>
      </c>
      <c r="E6" s="107"/>
      <c r="F6" s="107"/>
      <c r="H6" s="39">
        <v>1</v>
      </c>
      <c r="I6" s="31">
        <v>110</v>
      </c>
      <c r="J6" s="31">
        <f>J5+I6</f>
        <v>120</v>
      </c>
      <c r="K6" s="13">
        <f t="shared" si="1"/>
        <v>2</v>
      </c>
      <c r="L6" s="107">
        <f>'Determination cell counts BH'!R5</f>
        <v>7.980670732729803</v>
      </c>
      <c r="M6" s="107">
        <f>'Determination cell counts BH'!S5</f>
        <v>5.0954022689168474E-2</v>
      </c>
      <c r="O6" s="122">
        <f t="shared" ref="O6:O20" si="2">POWER(10,L6)+POWER(10,E27)</f>
        <v>120191557.90415716</v>
      </c>
      <c r="P6" s="123">
        <f t="shared" ref="P6:P21" si="3">LOG(O6)</f>
        <v>8.0798739644687405</v>
      </c>
      <c r="Q6" s="123">
        <f t="shared" ref="Q6:Q21" si="4">M6+F27</f>
        <v>0.10573971496605118</v>
      </c>
    </row>
    <row r="7" spans="1:17">
      <c r="A7" s="39">
        <v>2</v>
      </c>
      <c r="B7" s="31">
        <v>80</v>
      </c>
      <c r="C7" s="31">
        <f>C6+B7</f>
        <v>200</v>
      </c>
      <c r="D7" s="13">
        <f t="shared" si="0"/>
        <v>3.3333333333333335</v>
      </c>
      <c r="E7" s="107"/>
      <c r="F7" s="107"/>
      <c r="H7" s="39">
        <v>2</v>
      </c>
      <c r="I7" s="31">
        <v>80</v>
      </c>
      <c r="J7" s="31">
        <f>J6+I7</f>
        <v>200</v>
      </c>
      <c r="K7" s="13">
        <f t="shared" si="1"/>
        <v>3.3333333333333335</v>
      </c>
      <c r="L7" s="107">
        <f>'Determination cell counts BH'!R6</f>
        <v>8.4292808689409497</v>
      </c>
      <c r="M7" s="107">
        <f>'Determination cell counts BH'!S6</f>
        <v>1.2554076386018022E-2</v>
      </c>
      <c r="O7" s="122">
        <f t="shared" si="2"/>
        <v>365232599.39786249</v>
      </c>
      <c r="P7" s="123">
        <f t="shared" si="3"/>
        <v>8.5625695342148109</v>
      </c>
      <c r="Q7" s="123">
        <f t="shared" si="4"/>
        <v>6.4352584939056032E-2</v>
      </c>
    </row>
    <row r="8" spans="1:17">
      <c r="A8" s="39">
        <v>3</v>
      </c>
      <c r="B8" s="31">
        <v>80</v>
      </c>
      <c r="C8" s="31">
        <f>C7+B8</f>
        <v>280</v>
      </c>
      <c r="D8" s="13">
        <f t="shared" si="0"/>
        <v>4.666666666666667</v>
      </c>
      <c r="E8" s="107"/>
      <c r="F8" s="107"/>
      <c r="H8" s="39">
        <v>3</v>
      </c>
      <c r="I8" s="31">
        <v>80</v>
      </c>
      <c r="J8" s="31">
        <f>J7+I8</f>
        <v>280</v>
      </c>
      <c r="K8" s="13">
        <f t="shared" si="1"/>
        <v>4.666666666666667</v>
      </c>
      <c r="L8" s="107">
        <f>'Determination cell counts BH'!R7</f>
        <v>8.7542389929764308</v>
      </c>
      <c r="M8" s="107">
        <f>'Determination cell counts BH'!S7</f>
        <v>2.1024760420979338E-2</v>
      </c>
      <c r="O8" s="122">
        <f t="shared" si="2"/>
        <v>844945417.24249315</v>
      </c>
      <c r="P8" s="123">
        <f t="shared" si="3"/>
        <v>8.926828654800536</v>
      </c>
      <c r="Q8" s="123">
        <f t="shared" si="4"/>
        <v>7.1343847085088147E-2</v>
      </c>
    </row>
    <row r="9" spans="1:17">
      <c r="A9" s="39">
        <v>4</v>
      </c>
      <c r="B9" s="31">
        <v>80</v>
      </c>
      <c r="C9" s="31">
        <f t="shared" ref="C9:C19" si="5">C8+B9</f>
        <v>360</v>
      </c>
      <c r="D9" s="13">
        <f t="shared" si="0"/>
        <v>6</v>
      </c>
      <c r="E9" s="107"/>
      <c r="F9" s="107"/>
      <c r="H9" s="39">
        <v>4</v>
      </c>
      <c r="I9" s="31">
        <v>80</v>
      </c>
      <c r="J9" s="31">
        <f t="shared" ref="J9:J19" si="6">J8+I9</f>
        <v>360</v>
      </c>
      <c r="K9" s="13">
        <f t="shared" si="1"/>
        <v>6</v>
      </c>
      <c r="L9" s="107">
        <f>'Determination cell counts BH'!R8</f>
        <v>9.0622021918370557</v>
      </c>
      <c r="M9" s="107">
        <f>'Determination cell counts BH'!S8</f>
        <v>6.2612367794089893E-2</v>
      </c>
      <c r="O9" s="122">
        <f t="shared" si="2"/>
        <v>2246145674.9055142</v>
      </c>
      <c r="P9" s="123">
        <f t="shared" si="3"/>
        <v>9.3514379192255301</v>
      </c>
      <c r="Q9" s="123">
        <f t="shared" si="4"/>
        <v>0.13571349188767906</v>
      </c>
    </row>
    <row r="10" spans="1:17">
      <c r="A10" s="39">
        <v>5</v>
      </c>
      <c r="B10" s="31">
        <v>80</v>
      </c>
      <c r="C10" s="31">
        <f t="shared" si="5"/>
        <v>440</v>
      </c>
      <c r="D10" s="13">
        <f t="shared" si="0"/>
        <v>7.333333333333333</v>
      </c>
      <c r="E10" s="107"/>
      <c r="F10" s="107"/>
      <c r="H10" s="39">
        <v>5</v>
      </c>
      <c r="I10" s="31">
        <v>80</v>
      </c>
      <c r="J10" s="31">
        <f t="shared" si="6"/>
        <v>440</v>
      </c>
      <c r="K10" s="13">
        <f t="shared" si="1"/>
        <v>7.333333333333333</v>
      </c>
      <c r="L10" s="107">
        <f>'Determination cell counts BH'!R9</f>
        <v>9.280429318591171</v>
      </c>
      <c r="M10" s="107">
        <f>'Determination cell counts BH'!S9</f>
        <v>0.13620992193924092</v>
      </c>
      <c r="O10" s="122">
        <f t="shared" si="2"/>
        <v>3926421552.0988216</v>
      </c>
      <c r="P10" s="123">
        <f t="shared" si="3"/>
        <v>9.5939969248926484</v>
      </c>
      <c r="Q10" s="123">
        <f t="shared" si="4"/>
        <v>0.19822003495568907</v>
      </c>
    </row>
    <row r="11" spans="1:17">
      <c r="A11" s="39">
        <v>6</v>
      </c>
      <c r="B11" s="31">
        <v>80</v>
      </c>
      <c r="C11" s="31">
        <f t="shared" si="5"/>
        <v>520</v>
      </c>
      <c r="D11" s="13">
        <f t="shared" si="0"/>
        <v>8.6666666666666661</v>
      </c>
      <c r="E11" s="107"/>
      <c r="F11" s="107"/>
      <c r="H11" s="39">
        <v>6</v>
      </c>
      <c r="I11" s="31">
        <v>80</v>
      </c>
      <c r="J11" s="31">
        <f t="shared" si="6"/>
        <v>520</v>
      </c>
      <c r="K11" s="13">
        <f t="shared" si="1"/>
        <v>8.6666666666666661</v>
      </c>
      <c r="L11" s="107">
        <f>'Determination cell counts BH'!R10</f>
        <v>9.6226306923223799</v>
      </c>
      <c r="M11" s="107">
        <f>'Determination cell counts BH'!S10</f>
        <v>5.160320748139003E-2</v>
      </c>
      <c r="O11" s="122">
        <f t="shared" si="2"/>
        <v>7373876994.9290934</v>
      </c>
      <c r="P11" s="123">
        <f t="shared" si="3"/>
        <v>9.8676958887801192</v>
      </c>
      <c r="Q11" s="123">
        <f t="shared" si="4"/>
        <v>6.8373155273192515E-2</v>
      </c>
    </row>
    <row r="12" spans="1:17">
      <c r="A12" s="39">
        <v>7</v>
      </c>
      <c r="B12" s="31">
        <v>80</v>
      </c>
      <c r="C12" s="31">
        <f t="shared" si="5"/>
        <v>600</v>
      </c>
      <c r="D12" s="13">
        <f t="shared" si="0"/>
        <v>10</v>
      </c>
      <c r="E12" s="107"/>
      <c r="F12" s="107"/>
      <c r="H12" s="39">
        <v>7</v>
      </c>
      <c r="I12" s="31">
        <v>80</v>
      </c>
      <c r="J12" s="31">
        <f t="shared" si="6"/>
        <v>600</v>
      </c>
      <c r="K12" s="13">
        <f t="shared" si="1"/>
        <v>10</v>
      </c>
      <c r="L12" s="107">
        <f>'Determination cell counts BH'!R11</f>
        <v>9.6287154723059398</v>
      </c>
      <c r="M12" s="107">
        <f>'Determination cell counts BH'!S11</f>
        <v>5.2301036538344704E-2</v>
      </c>
      <c r="O12" s="122">
        <f t="shared" si="2"/>
        <v>7857380389.2390022</v>
      </c>
      <c r="P12" s="123">
        <f t="shared" si="3"/>
        <v>9.8952777785933588</v>
      </c>
      <c r="Q12" s="123">
        <f t="shared" si="4"/>
        <v>8.6446384023745187E-2</v>
      </c>
    </row>
    <row r="13" spans="1:17">
      <c r="A13" s="39">
        <v>8</v>
      </c>
      <c r="B13" s="31">
        <v>80</v>
      </c>
      <c r="C13" s="31">
        <f t="shared" si="5"/>
        <v>680</v>
      </c>
      <c r="D13" s="13">
        <f t="shared" si="0"/>
        <v>11.333333333333334</v>
      </c>
      <c r="E13" s="107"/>
      <c r="F13" s="107"/>
      <c r="H13" s="39">
        <v>8</v>
      </c>
      <c r="I13" s="31">
        <v>80</v>
      </c>
      <c r="J13" s="31">
        <f t="shared" si="6"/>
        <v>680</v>
      </c>
      <c r="K13" s="13">
        <f t="shared" si="1"/>
        <v>11.333333333333334</v>
      </c>
      <c r="L13" s="107">
        <f>'Determination cell counts BH'!R12</f>
        <v>9.7655296554693507</v>
      </c>
      <c r="M13" s="107">
        <f>'Determination cell counts BH'!S12</f>
        <v>8.2435575833761043E-2</v>
      </c>
      <c r="O13" s="122">
        <f t="shared" si="2"/>
        <v>8591259749.3074608</v>
      </c>
      <c r="P13" s="123">
        <f t="shared" si="3"/>
        <v>9.9340568497520394</v>
      </c>
      <c r="Q13" s="123">
        <f t="shared" si="4"/>
        <v>0.17463848487464453</v>
      </c>
    </row>
    <row r="14" spans="1:17">
      <c r="A14" s="39">
        <v>9</v>
      </c>
      <c r="B14" s="31">
        <v>80</v>
      </c>
      <c r="C14" s="31">
        <f t="shared" si="5"/>
        <v>760</v>
      </c>
      <c r="D14" s="13">
        <f>C14/60</f>
        <v>12.666666666666666</v>
      </c>
      <c r="E14" s="107"/>
      <c r="F14" s="107"/>
      <c r="H14" s="39">
        <v>9</v>
      </c>
      <c r="I14" s="31">
        <v>80</v>
      </c>
      <c r="J14" s="31">
        <f t="shared" si="6"/>
        <v>760</v>
      </c>
      <c r="K14" s="13">
        <f>J14/60</f>
        <v>12.666666666666666</v>
      </c>
      <c r="L14" s="107">
        <f>'Determination cell counts BH'!R13</f>
        <v>10.007995737625169</v>
      </c>
      <c r="M14" s="107">
        <f>'Determination cell counts BH'!S13</f>
        <v>4.7769840446672367E-2</v>
      </c>
      <c r="O14" s="122">
        <f t="shared" si="2"/>
        <v>13885887003.962275</v>
      </c>
      <c r="P14" s="123">
        <f t="shared" si="3"/>
        <v>10.14257362687507</v>
      </c>
      <c r="Q14" s="123">
        <f t="shared" si="4"/>
        <v>6.6307518433208451E-2</v>
      </c>
    </row>
    <row r="15" spans="1:17">
      <c r="A15" s="39">
        <v>10</v>
      </c>
      <c r="B15" s="31">
        <v>80</v>
      </c>
      <c r="C15" s="31">
        <f t="shared" si="5"/>
        <v>840</v>
      </c>
      <c r="D15" s="13">
        <f t="shared" si="0"/>
        <v>14</v>
      </c>
      <c r="E15" s="107"/>
      <c r="F15" s="107"/>
      <c r="H15" s="39">
        <v>10</v>
      </c>
      <c r="I15" s="31">
        <v>80</v>
      </c>
      <c r="J15" s="31">
        <f t="shared" si="6"/>
        <v>840</v>
      </c>
      <c r="K15" s="13">
        <f t="shared" ref="K15:K19" si="7">J15/60</f>
        <v>14</v>
      </c>
      <c r="L15" s="107">
        <f>'Determination cell counts BH'!R14</f>
        <v>10.024549151056966</v>
      </c>
      <c r="M15" s="107">
        <f>'Determination cell counts BH'!S14</f>
        <v>6.1264377416730936E-2</v>
      </c>
      <c r="O15" s="122">
        <f t="shared" si="2"/>
        <v>13879910383.610617</v>
      </c>
      <c r="P15" s="123">
        <f t="shared" si="3"/>
        <v>10.142386662082162</v>
      </c>
      <c r="Q15" s="123">
        <f t="shared" si="4"/>
        <v>8.5285082721782562E-2</v>
      </c>
    </row>
    <row r="16" spans="1:17">
      <c r="A16" s="39">
        <v>11</v>
      </c>
      <c r="B16" s="31">
        <v>80</v>
      </c>
      <c r="C16" s="31">
        <f t="shared" si="5"/>
        <v>920</v>
      </c>
      <c r="D16" s="13">
        <f t="shared" si="0"/>
        <v>15.333333333333334</v>
      </c>
      <c r="E16" s="107"/>
      <c r="F16" s="107"/>
      <c r="H16" s="39">
        <v>11</v>
      </c>
      <c r="I16" s="31">
        <v>80</v>
      </c>
      <c r="J16" s="31">
        <f t="shared" si="6"/>
        <v>920</v>
      </c>
      <c r="K16" s="13">
        <f t="shared" si="7"/>
        <v>15.333333333333334</v>
      </c>
      <c r="L16" s="107">
        <f>'Determination cell counts BH'!R15</f>
        <v>10.020098621581184</v>
      </c>
      <c r="M16" s="107">
        <f>'Determination cell counts BH'!S15</f>
        <v>4.4401182275807631E-2</v>
      </c>
      <c r="O16" s="122">
        <f t="shared" si="2"/>
        <v>13221042775.771889</v>
      </c>
      <c r="P16" s="123">
        <f t="shared" si="3"/>
        <v>10.121265710361692</v>
      </c>
      <c r="Q16" s="123">
        <f t="shared" si="4"/>
        <v>0.17883949411081973</v>
      </c>
    </row>
    <row r="17" spans="1:17">
      <c r="A17" s="39">
        <v>12</v>
      </c>
      <c r="B17" s="31">
        <v>80</v>
      </c>
      <c r="C17" s="31">
        <f t="shared" si="5"/>
        <v>1000</v>
      </c>
      <c r="D17" s="13">
        <f t="shared" si="0"/>
        <v>16.666666666666668</v>
      </c>
      <c r="E17" s="107"/>
      <c r="F17" s="107"/>
      <c r="H17" s="39">
        <v>12</v>
      </c>
      <c r="I17" s="31">
        <v>80</v>
      </c>
      <c r="J17" s="31">
        <f t="shared" si="6"/>
        <v>1000</v>
      </c>
      <c r="K17" s="13">
        <f t="shared" si="7"/>
        <v>16.666666666666668</v>
      </c>
      <c r="L17" s="107">
        <f>'Determination cell counts BH'!R16</f>
        <v>10.031592284219112</v>
      </c>
      <c r="M17" s="107">
        <f>'Determination cell counts BH'!S16</f>
        <v>3.4821244126257103E-2</v>
      </c>
      <c r="O17" s="122">
        <f t="shared" si="2"/>
        <v>13896502474.092197</v>
      </c>
      <c r="P17" s="123">
        <f t="shared" si="3"/>
        <v>10.142905509078956</v>
      </c>
      <c r="Q17" s="123">
        <f t="shared" si="4"/>
        <v>3.7945555063864843E-2</v>
      </c>
    </row>
    <row r="18" spans="1:17">
      <c r="A18" s="39">
        <v>13</v>
      </c>
      <c r="B18" s="31">
        <v>80</v>
      </c>
      <c r="C18" s="31">
        <f t="shared" si="5"/>
        <v>1080</v>
      </c>
      <c r="D18" s="13">
        <f t="shared" si="0"/>
        <v>18</v>
      </c>
      <c r="E18" s="107"/>
      <c r="F18" s="107"/>
      <c r="H18" s="39">
        <v>13</v>
      </c>
      <c r="I18" s="31">
        <v>80</v>
      </c>
      <c r="J18" s="31">
        <f t="shared" si="6"/>
        <v>1080</v>
      </c>
      <c r="K18" s="13">
        <f t="shared" si="7"/>
        <v>18</v>
      </c>
      <c r="L18" s="107">
        <f>'Determination cell counts BH'!R17</f>
        <v>10.060848939214338</v>
      </c>
      <c r="M18" s="107">
        <f>'Determination cell counts BH'!S17</f>
        <v>4.8499405253085333E-2</v>
      </c>
      <c r="O18" s="122">
        <f t="shared" si="2"/>
        <v>14282683339.155128</v>
      </c>
      <c r="P18" s="123">
        <f t="shared" si="3"/>
        <v>10.15480980757399</v>
      </c>
      <c r="Q18" s="123">
        <f t="shared" si="4"/>
        <v>0.10482212323054452</v>
      </c>
    </row>
    <row r="19" spans="1:17">
      <c r="A19" s="39">
        <v>14</v>
      </c>
      <c r="B19" s="31">
        <v>360</v>
      </c>
      <c r="C19" s="31">
        <f t="shared" si="5"/>
        <v>1440</v>
      </c>
      <c r="D19" s="13">
        <f t="shared" si="0"/>
        <v>24</v>
      </c>
      <c r="E19" s="107"/>
      <c r="F19" s="107"/>
      <c r="H19" s="39">
        <v>14</v>
      </c>
      <c r="I19" s="31">
        <v>360</v>
      </c>
      <c r="J19" s="31">
        <f t="shared" si="6"/>
        <v>1440</v>
      </c>
      <c r="K19" s="13">
        <f t="shared" si="7"/>
        <v>24</v>
      </c>
      <c r="L19" s="107">
        <f>'Determination cell counts BH'!R18</f>
        <v>9.9291968962708079</v>
      </c>
      <c r="M19" s="107">
        <f>'Determination cell counts BH'!S18</f>
        <v>3.6652239821331922E-2</v>
      </c>
      <c r="O19" s="122">
        <f t="shared" si="2"/>
        <v>10144794700.462946</v>
      </c>
      <c r="P19" s="123">
        <f t="shared" si="3"/>
        <v>10.006243262669686</v>
      </c>
      <c r="Q19" s="123">
        <f t="shared" si="4"/>
        <v>6.3735540711159486E-2</v>
      </c>
    </row>
    <row r="20" spans="1:17">
      <c r="A20" s="39">
        <v>15</v>
      </c>
      <c r="B20" s="31">
        <v>375</v>
      </c>
      <c r="C20" s="31">
        <f>C19+B20</f>
        <v>1815</v>
      </c>
      <c r="D20" s="13">
        <f>C20/60</f>
        <v>30.25</v>
      </c>
      <c r="E20" s="107"/>
      <c r="F20" s="107"/>
      <c r="H20" s="39">
        <v>15</v>
      </c>
      <c r="I20" s="31">
        <v>375</v>
      </c>
      <c r="J20" s="31">
        <f>J19+I20</f>
        <v>1815</v>
      </c>
      <c r="K20" s="13">
        <f>J20/60</f>
        <v>30.25</v>
      </c>
      <c r="L20" s="107">
        <f>'Determination cell counts BH'!R19</f>
        <v>9.5329673294942641</v>
      </c>
      <c r="M20" s="107">
        <f>'Determination cell counts BH'!S19</f>
        <v>1.4412778157454963E-2</v>
      </c>
      <c r="O20" s="122">
        <f t="shared" si="2"/>
        <v>4815479732.7087908</v>
      </c>
      <c r="P20" s="123">
        <f t="shared" si="3"/>
        <v>9.6826395593504557</v>
      </c>
      <c r="Q20" s="123">
        <f t="shared" si="4"/>
        <v>3.2009456344195643E-2</v>
      </c>
    </row>
    <row r="21" spans="1:17">
      <c r="A21" s="39">
        <v>16</v>
      </c>
      <c r="B21" s="31">
        <v>1065</v>
      </c>
      <c r="C21" s="31">
        <f>C20+B21</f>
        <v>2880</v>
      </c>
      <c r="D21" s="13">
        <f t="shared" ref="D21" si="8">C21/60</f>
        <v>48</v>
      </c>
      <c r="E21" s="107"/>
      <c r="F21" s="107"/>
      <c r="H21" s="39">
        <v>16</v>
      </c>
      <c r="I21" s="31">
        <v>1065</v>
      </c>
      <c r="J21" s="31">
        <f>J20+I21</f>
        <v>2880</v>
      </c>
      <c r="K21" s="13">
        <f t="shared" ref="K21" si="9">J21/60</f>
        <v>48</v>
      </c>
      <c r="L21" s="107">
        <f>'Determination cell counts BH'!R20</f>
        <v>9.0735498331528071</v>
      </c>
      <c r="M21" s="107">
        <f>'Determination cell counts BH'!S20</f>
        <v>4.7878211258791714E-2</v>
      </c>
      <c r="O21" s="122">
        <f>POWER(10,L21)+POWER(10,E42)</f>
        <v>1730514497.7521749</v>
      </c>
      <c r="P21" s="123">
        <f t="shared" si="3"/>
        <v>9.2381752420395049</v>
      </c>
      <c r="Q21" s="123">
        <f t="shared" si="4"/>
        <v>0.1093522575098905</v>
      </c>
    </row>
    <row r="23" spans="1:17">
      <c r="A23" s="105" t="s">
        <v>219</v>
      </c>
      <c r="B23" s="84"/>
      <c r="C23" s="84"/>
      <c r="D23" s="84"/>
    </row>
    <row r="24" spans="1:17">
      <c r="A24" s="131" t="s">
        <v>4</v>
      </c>
      <c r="B24" s="131" t="s">
        <v>117</v>
      </c>
      <c r="C24" s="131" t="s">
        <v>117</v>
      </c>
      <c r="D24" s="131" t="s">
        <v>5</v>
      </c>
      <c r="E24" s="149" t="s">
        <v>233</v>
      </c>
      <c r="F24" s="147" t="s">
        <v>234</v>
      </c>
    </row>
    <row r="25" spans="1:17">
      <c r="A25" s="132"/>
      <c r="B25" s="132"/>
      <c r="C25" s="132"/>
      <c r="D25" s="132"/>
      <c r="E25" s="150"/>
      <c r="F25" s="151"/>
    </row>
    <row r="26" spans="1:17">
      <c r="A26" s="39">
        <v>0</v>
      </c>
      <c r="B26" s="31">
        <v>10</v>
      </c>
      <c r="C26" s="31">
        <f>B26</f>
        <v>10</v>
      </c>
      <c r="D26" s="13">
        <f t="shared" ref="D26:D34" si="10">C26/60</f>
        <v>0.16666666666666666</v>
      </c>
      <c r="E26" s="107">
        <f>'Determination cell counts FP'!R4</f>
        <v>6.8622457109175823</v>
      </c>
      <c r="F26" s="107">
        <f>'Determination cell counts FP'!S4</f>
        <v>0.10731456167334423</v>
      </c>
    </row>
    <row r="27" spans="1:17">
      <c r="A27" s="39">
        <v>1</v>
      </c>
      <c r="B27" s="31">
        <v>110</v>
      </c>
      <c r="C27" s="31">
        <f>C26+B27</f>
        <v>120</v>
      </c>
      <c r="D27" s="13">
        <f t="shared" si="10"/>
        <v>2</v>
      </c>
      <c r="E27" s="107">
        <f>'Determination cell counts FP'!R5</f>
        <v>7.389957630277963</v>
      </c>
      <c r="F27" s="107">
        <f>'Determination cell counts FP'!S5</f>
        <v>5.4785692276882708E-2</v>
      </c>
    </row>
    <row r="28" spans="1:17">
      <c r="A28" s="39">
        <v>2</v>
      </c>
      <c r="B28" s="31">
        <v>80</v>
      </c>
      <c r="C28" s="31">
        <f>C27+B28</f>
        <v>200</v>
      </c>
      <c r="D28" s="13">
        <f t="shared" si="10"/>
        <v>3.3333333333333335</v>
      </c>
      <c r="E28" s="107">
        <f>'Determination cell counts FP'!R6</f>
        <v>7.9846372493850781</v>
      </c>
      <c r="F28" s="107">
        <f>'Determination cell counts FP'!S6</f>
        <v>5.1798508553038011E-2</v>
      </c>
    </row>
    <row r="29" spans="1:17">
      <c r="A29" s="39">
        <v>3</v>
      </c>
      <c r="B29" s="31">
        <v>80</v>
      </c>
      <c r="C29" s="31">
        <f>C28+B29</f>
        <v>280</v>
      </c>
      <c r="D29" s="13">
        <f t="shared" si="10"/>
        <v>4.666666666666667</v>
      </c>
      <c r="E29" s="107">
        <f>'Determination cell counts FP'!R7</f>
        <v>8.4426183529624339</v>
      </c>
      <c r="F29" s="107">
        <f>'Determination cell counts FP'!S7</f>
        <v>5.0319086664108809E-2</v>
      </c>
    </row>
    <row r="30" spans="1:17">
      <c r="A30" s="39">
        <v>4</v>
      </c>
      <c r="B30" s="31">
        <v>80</v>
      </c>
      <c r="C30" s="31">
        <f t="shared" ref="C30:C40" si="11">C29+B30</f>
        <v>360</v>
      </c>
      <c r="D30" s="13">
        <f t="shared" si="10"/>
        <v>6</v>
      </c>
      <c r="E30" s="107">
        <f>'Determination cell counts FP'!R8</f>
        <v>9.0382843920258598</v>
      </c>
      <c r="F30" s="107">
        <f>'Determination cell counts FP'!S8</f>
        <v>7.3101124093589154E-2</v>
      </c>
    </row>
    <row r="31" spans="1:17">
      <c r="A31" s="39">
        <v>5</v>
      </c>
      <c r="B31" s="31">
        <v>80</v>
      </c>
      <c r="C31" s="31">
        <f t="shared" si="11"/>
        <v>440</v>
      </c>
      <c r="D31" s="13">
        <f t="shared" si="10"/>
        <v>7.333333333333333</v>
      </c>
      <c r="E31" s="107">
        <f>'Determination cell counts FP'!R9</f>
        <v>9.3051527254005943</v>
      </c>
      <c r="F31" s="107">
        <f>'Determination cell counts FP'!S9</f>
        <v>6.201011301644814E-2</v>
      </c>
    </row>
    <row r="32" spans="1:17">
      <c r="A32" s="39">
        <v>6</v>
      </c>
      <c r="B32" s="31">
        <v>80</v>
      </c>
      <c r="C32" s="31">
        <f t="shared" si="11"/>
        <v>520</v>
      </c>
      <c r="D32" s="13">
        <f t="shared" si="10"/>
        <v>8.6666666666666661</v>
      </c>
      <c r="E32" s="107">
        <f>'Determination cell counts FP'!R10</f>
        <v>9.5024073318411677</v>
      </c>
      <c r="F32" s="107">
        <f>'Determination cell counts FP'!S10</f>
        <v>1.6769947791802482E-2</v>
      </c>
    </row>
    <row r="33" spans="1:6">
      <c r="A33" s="39">
        <v>7</v>
      </c>
      <c r="B33" s="31">
        <v>80</v>
      </c>
      <c r="C33" s="31">
        <f t="shared" si="11"/>
        <v>600</v>
      </c>
      <c r="D33" s="13">
        <f t="shared" si="10"/>
        <v>10</v>
      </c>
      <c r="E33" s="107">
        <f>'Determination cell counts FP'!R11</f>
        <v>9.5568069121363255</v>
      </c>
      <c r="F33" s="107">
        <f>'Determination cell counts FP'!S11</f>
        <v>3.4145347485400483E-2</v>
      </c>
    </row>
    <row r="34" spans="1:6">
      <c r="A34" s="39">
        <v>8</v>
      </c>
      <c r="B34" s="31">
        <v>80</v>
      </c>
      <c r="C34" s="31">
        <f t="shared" si="11"/>
        <v>680</v>
      </c>
      <c r="D34" s="13">
        <f t="shared" si="10"/>
        <v>11.333333333333334</v>
      </c>
      <c r="E34" s="107">
        <f>'Determination cell counts FP'!R12</f>
        <v>9.4414003821640655</v>
      </c>
      <c r="F34" s="107">
        <f>'Determination cell counts FP'!S12</f>
        <v>9.2202909040883491E-2</v>
      </c>
    </row>
    <row r="35" spans="1:6">
      <c r="A35" s="39">
        <v>9</v>
      </c>
      <c r="B35" s="31">
        <v>80</v>
      </c>
      <c r="C35" s="31">
        <f t="shared" si="11"/>
        <v>760</v>
      </c>
      <c r="D35" s="13">
        <f>C35/60</f>
        <v>12.666666666666666</v>
      </c>
      <c r="E35" s="107">
        <f>'Determination cell counts FP'!R13</f>
        <v>9.5682103033390078</v>
      </c>
      <c r="F35" s="107">
        <f>'Determination cell counts FP'!S13</f>
        <v>1.8537677986536084E-2</v>
      </c>
    </row>
    <row r="36" spans="1:6">
      <c r="A36" s="39">
        <v>10</v>
      </c>
      <c r="B36" s="31">
        <v>80</v>
      </c>
      <c r="C36" s="31">
        <f t="shared" si="11"/>
        <v>840</v>
      </c>
      <c r="D36" s="13">
        <f t="shared" ref="D36:D40" si="12">C36/60</f>
        <v>14</v>
      </c>
      <c r="E36" s="107">
        <f>'Determination cell counts FP'!R14</f>
        <v>9.5182985461940213</v>
      </c>
      <c r="F36" s="107">
        <f>'Determination cell counts FP'!S14</f>
        <v>2.4020705305051619E-2</v>
      </c>
    </row>
    <row r="37" spans="1:6">
      <c r="A37" s="39">
        <v>11</v>
      </c>
      <c r="B37" s="31">
        <v>80</v>
      </c>
      <c r="C37" s="31">
        <f t="shared" si="11"/>
        <v>920</v>
      </c>
      <c r="D37" s="13">
        <f t="shared" si="12"/>
        <v>15.333333333333334</v>
      </c>
      <c r="E37" s="107">
        <f>'Determination cell counts FP'!R15</f>
        <v>9.4389185992676889</v>
      </c>
      <c r="F37" s="107">
        <f>'Determination cell counts FP'!S15</f>
        <v>0.13443831183501209</v>
      </c>
    </row>
    <row r="38" spans="1:6">
      <c r="A38" s="39">
        <v>12</v>
      </c>
      <c r="B38" s="31">
        <v>80</v>
      </c>
      <c r="C38" s="31">
        <f t="shared" si="11"/>
        <v>1000</v>
      </c>
      <c r="D38" s="13">
        <f t="shared" si="12"/>
        <v>16.666666666666668</v>
      </c>
      <c r="E38" s="107">
        <f>'Determination cell counts FP'!R16</f>
        <v>9.4971994705146159</v>
      </c>
      <c r="F38" s="107">
        <f>'Determination cell counts FP'!S16</f>
        <v>3.124310937607737E-3</v>
      </c>
    </row>
    <row r="39" spans="1:6">
      <c r="A39" s="39">
        <v>13</v>
      </c>
      <c r="B39" s="31">
        <v>80</v>
      </c>
      <c r="C39" s="31">
        <f t="shared" si="11"/>
        <v>1080</v>
      </c>
      <c r="D39" s="13">
        <f t="shared" si="12"/>
        <v>18</v>
      </c>
      <c r="E39" s="107">
        <f>'Determination cell counts FP'!R17</f>
        <v>9.4438387830984176</v>
      </c>
      <c r="F39" s="107">
        <f>'Determination cell counts FP'!S17</f>
        <v>5.6322717977459177E-2</v>
      </c>
    </row>
    <row r="40" spans="1:6">
      <c r="A40" s="39">
        <v>14</v>
      </c>
      <c r="B40" s="31">
        <v>360</v>
      </c>
      <c r="C40" s="31">
        <f t="shared" si="11"/>
        <v>1440</v>
      </c>
      <c r="D40" s="13">
        <f t="shared" si="12"/>
        <v>24</v>
      </c>
      <c r="E40" s="107">
        <f>'Determination cell counts FP'!R18</f>
        <v>9.217257300276545</v>
      </c>
      <c r="F40" s="107">
        <f>'Determination cell counts FP'!S18</f>
        <v>2.7083300889827563E-2</v>
      </c>
    </row>
    <row r="41" spans="1:6">
      <c r="A41" s="39">
        <v>15</v>
      </c>
      <c r="B41" s="31">
        <v>375</v>
      </c>
      <c r="C41" s="31">
        <f>C40+B41</f>
        <v>1815</v>
      </c>
      <c r="D41" s="13">
        <f>C41/60</f>
        <v>30.25</v>
      </c>
      <c r="E41" s="107">
        <f>'Determination cell counts FP'!R19</f>
        <v>9.1473074886578001</v>
      </c>
      <c r="F41" s="107">
        <f>'Determination cell counts FP'!S19</f>
        <v>1.7596678186740679E-2</v>
      </c>
    </row>
    <row r="42" spans="1:6">
      <c r="A42" s="39">
        <v>16</v>
      </c>
      <c r="B42" s="31">
        <v>1065</v>
      </c>
      <c r="C42" s="31">
        <f>C41+B42</f>
        <v>2880</v>
      </c>
      <c r="D42" s="13">
        <f t="shared" ref="D42" si="13">C42/60</f>
        <v>48</v>
      </c>
      <c r="E42" s="107">
        <f>'Determination cell counts FP'!R20</f>
        <v>8.7371721352406624</v>
      </c>
      <c r="F42" s="107">
        <f>'Determination cell counts FP'!S20</f>
        <v>6.1474046251098792E-2</v>
      </c>
    </row>
  </sheetData>
  <mergeCells count="21">
    <mergeCell ref="O3:O4"/>
    <mergeCell ref="P3:P4"/>
    <mergeCell ref="Q3:Q4"/>
    <mergeCell ref="A24:A25"/>
    <mergeCell ref="B24:B25"/>
    <mergeCell ref="C24:C25"/>
    <mergeCell ref="D24:D25"/>
    <mergeCell ref="E24:E25"/>
    <mergeCell ref="F24:F25"/>
    <mergeCell ref="H3:H4"/>
    <mergeCell ref="I3:I4"/>
    <mergeCell ref="J3:J4"/>
    <mergeCell ref="K3:K4"/>
    <mergeCell ref="L3:L4"/>
    <mergeCell ref="M3:M4"/>
    <mergeCell ref="A3:A4"/>
    <mergeCell ref="B3:B4"/>
    <mergeCell ref="C3:C4"/>
    <mergeCell ref="D3:D4"/>
    <mergeCell ref="E3:E4"/>
    <mergeCell ref="F3:F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Charts</vt:lpstr>
      </vt:variant>
      <vt:variant>
        <vt:i4>2</vt:i4>
      </vt:variant>
    </vt:vector>
  </HeadingPairs>
  <TitlesOfParts>
    <vt:vector size="24" baseType="lpstr">
      <vt:lpstr>Fermentation</vt:lpstr>
      <vt:lpstr>Calculation</vt:lpstr>
      <vt:lpstr>Plate Count</vt:lpstr>
      <vt:lpstr>Flow cytometer</vt:lpstr>
      <vt:lpstr>Calibration F. prausnitzii</vt:lpstr>
      <vt:lpstr>Determination cell counts FP</vt:lpstr>
      <vt:lpstr>CalibrationB. hydrogenotrophica</vt:lpstr>
      <vt:lpstr>Determination cell counts BH</vt:lpstr>
      <vt:lpstr>Total cell count</vt:lpstr>
      <vt:lpstr>OD600nm</vt:lpstr>
      <vt:lpstr>CDM</vt:lpstr>
      <vt:lpstr>H2</vt:lpstr>
      <vt:lpstr>CO2</vt:lpstr>
      <vt:lpstr>Metabolites</vt:lpstr>
      <vt:lpstr>D-Fructose</vt:lpstr>
      <vt:lpstr>Formic acid</vt:lpstr>
      <vt:lpstr>Acetic acid</vt:lpstr>
      <vt:lpstr>Propionic acid</vt:lpstr>
      <vt:lpstr>Butyric acid</vt:lpstr>
      <vt:lpstr>Lactic acid</vt:lpstr>
      <vt:lpstr>Ethanol</vt:lpstr>
      <vt:lpstr>Carbon recovery</vt:lpstr>
      <vt:lpstr>Graph</vt:lpstr>
      <vt:lpstr>Graph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Lefeber</dc:creator>
  <cp:lastModifiedBy>Kevin D'hoe</cp:lastModifiedBy>
  <cp:lastPrinted>2009-02-16T08:48:51Z</cp:lastPrinted>
  <dcterms:created xsi:type="dcterms:W3CDTF">2009-02-15T16:08:16Z</dcterms:created>
  <dcterms:modified xsi:type="dcterms:W3CDTF">2016-04-13T14:10:10Z</dcterms:modified>
</cp:coreProperties>
</file>