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0" yWindow="0" windowWidth="25520" windowHeight="15600" tabRatio="930" firstSheet="4" activeTab="16"/>
  </bookViews>
  <sheets>
    <sheet name="Fermentation" sheetId="25" r:id="rId1"/>
    <sheet name="Calculation" sheetId="2" r:id="rId2"/>
    <sheet name="Plate Count" sheetId="3" r:id="rId3"/>
    <sheet name="Flow cytometer" sheetId="22" r:id="rId4"/>
    <sheet name="OD600nm" sheetId="4" r:id="rId5"/>
    <sheet name="CDM" sheetId="5" r:id="rId6"/>
    <sheet name="H2" sheetId="17" r:id="rId7"/>
    <sheet name="CO2" sheetId="7" r:id="rId8"/>
    <sheet name="Metabolites" sheetId="8" r:id="rId9"/>
    <sheet name="D-Fructose" sheetId="19" r:id="rId10"/>
    <sheet name="Formic acid" sheetId="18" r:id="rId11"/>
    <sheet name="Acetic acid" sheetId="15" r:id="rId12"/>
    <sheet name="Propionic acid" sheetId="20" r:id="rId13"/>
    <sheet name="Butyric acid" sheetId="21" r:id="rId14"/>
    <sheet name="Lactic acid" sheetId="14" r:id="rId15"/>
    <sheet name="Ethanol" sheetId="16" r:id="rId16"/>
    <sheet name="Graph" sheetId="13" r:id="rId17"/>
    <sheet name="Graph (2)" sheetId="24" r:id="rId18"/>
    <sheet name="Carbon recovery" sheetId="23" r:id="rId19"/>
  </sheets>
  <definedNames>
    <definedName name="_2012_05_10_FPRAU_fruc1" localSheetId="7">'CO2'!$I$5:$I$293</definedName>
    <definedName name="_2012_06_08_BIF_REC_OLI_1" localSheetId="7">'CO2'!$N$5:$N$201</definedName>
    <definedName name="_2012_06_08_BIF_REC_OLI_1" localSheetId="6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5" i="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5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106" i="1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108" i="7"/>
  <c r="D204" i="7"/>
  <c r="E204" i="7"/>
  <c r="F204" i="7"/>
  <c r="D203" i="7"/>
  <c r="E203" i="7"/>
  <c r="F203" i="7"/>
  <c r="D202" i="7"/>
  <c r="E202" i="7"/>
  <c r="F202" i="7"/>
  <c r="D201" i="7"/>
  <c r="E201" i="7"/>
  <c r="F201" i="7"/>
  <c r="D200" i="7"/>
  <c r="E200" i="7"/>
  <c r="F200" i="7"/>
  <c r="D199" i="7"/>
  <c r="E199" i="7"/>
  <c r="F199" i="7"/>
  <c r="D198" i="7"/>
  <c r="E198" i="7"/>
  <c r="F198" i="7"/>
  <c r="D197" i="7"/>
  <c r="E197" i="7"/>
  <c r="F197" i="7"/>
  <c r="D196" i="7"/>
  <c r="E196" i="7"/>
  <c r="F196" i="7"/>
  <c r="D195" i="7"/>
  <c r="E195" i="7"/>
  <c r="F195" i="7"/>
  <c r="D194" i="7"/>
  <c r="E194" i="7"/>
  <c r="F194" i="7"/>
  <c r="D193" i="7"/>
  <c r="E193" i="7"/>
  <c r="F193" i="7"/>
  <c r="D192" i="7"/>
  <c r="E192" i="7"/>
  <c r="F192" i="7"/>
  <c r="D191" i="7"/>
  <c r="E191" i="7"/>
  <c r="F191" i="7"/>
  <c r="D190" i="7"/>
  <c r="E190" i="7"/>
  <c r="F190" i="7"/>
  <c r="D189" i="7"/>
  <c r="E189" i="7"/>
  <c r="F189" i="7"/>
  <c r="D188" i="7"/>
  <c r="E188" i="7"/>
  <c r="F188" i="7"/>
  <c r="D187" i="7"/>
  <c r="E187" i="7"/>
  <c r="F187" i="7"/>
  <c r="D186" i="7"/>
  <c r="E186" i="7"/>
  <c r="F186" i="7"/>
  <c r="D185" i="7"/>
  <c r="E185" i="7"/>
  <c r="F185" i="7"/>
  <c r="D184" i="7"/>
  <c r="E184" i="7"/>
  <c r="F184" i="7"/>
  <c r="D183" i="7"/>
  <c r="E183" i="7"/>
  <c r="F183" i="7"/>
  <c r="D182" i="7"/>
  <c r="E182" i="7"/>
  <c r="F182" i="7"/>
  <c r="D181" i="7"/>
  <c r="E181" i="7"/>
  <c r="F181" i="7"/>
  <c r="D180" i="7"/>
  <c r="E180" i="7"/>
  <c r="F180" i="7"/>
  <c r="D179" i="7"/>
  <c r="E179" i="7"/>
  <c r="F179" i="7"/>
  <c r="D178" i="7"/>
  <c r="E178" i="7"/>
  <c r="F178" i="7"/>
  <c r="D177" i="7"/>
  <c r="E177" i="7"/>
  <c r="F177" i="7"/>
  <c r="D176" i="7"/>
  <c r="E176" i="7"/>
  <c r="F176" i="7"/>
  <c r="D175" i="7"/>
  <c r="E175" i="7"/>
  <c r="F175" i="7"/>
  <c r="D174" i="7"/>
  <c r="E174" i="7"/>
  <c r="F174" i="7"/>
  <c r="D173" i="7"/>
  <c r="E173" i="7"/>
  <c r="F173" i="7"/>
  <c r="D172" i="7"/>
  <c r="E172" i="7"/>
  <c r="F172" i="7"/>
  <c r="D171" i="7"/>
  <c r="E171" i="7"/>
  <c r="F171" i="7"/>
  <c r="D170" i="7"/>
  <c r="E170" i="7"/>
  <c r="F170" i="7"/>
  <c r="D169" i="7"/>
  <c r="E169" i="7"/>
  <c r="F169" i="7"/>
  <c r="D168" i="7"/>
  <c r="E168" i="7"/>
  <c r="F168" i="7"/>
  <c r="D167" i="7"/>
  <c r="E167" i="7"/>
  <c r="F167" i="7"/>
  <c r="D166" i="7"/>
  <c r="E166" i="7"/>
  <c r="F166" i="7"/>
  <c r="D165" i="7"/>
  <c r="E165" i="7"/>
  <c r="F165" i="7"/>
  <c r="D164" i="7"/>
  <c r="E164" i="7"/>
  <c r="F164" i="7"/>
  <c r="D163" i="7"/>
  <c r="E163" i="7"/>
  <c r="F163" i="7"/>
  <c r="D162" i="7"/>
  <c r="E162" i="7"/>
  <c r="F162" i="7"/>
  <c r="D161" i="7"/>
  <c r="E161" i="7"/>
  <c r="F161" i="7"/>
  <c r="D160" i="7"/>
  <c r="E160" i="7"/>
  <c r="F160" i="7"/>
  <c r="D159" i="7"/>
  <c r="E159" i="7"/>
  <c r="F159" i="7"/>
  <c r="D158" i="7"/>
  <c r="E158" i="7"/>
  <c r="F158" i="7"/>
  <c r="D157" i="7"/>
  <c r="E157" i="7"/>
  <c r="F157" i="7"/>
  <c r="D156" i="7"/>
  <c r="E156" i="7"/>
  <c r="F156" i="7"/>
  <c r="D155" i="7"/>
  <c r="E155" i="7"/>
  <c r="F155" i="7"/>
  <c r="D154" i="7"/>
  <c r="E154" i="7"/>
  <c r="F154" i="7"/>
  <c r="D153" i="7"/>
  <c r="E153" i="7"/>
  <c r="F153" i="7"/>
  <c r="D152" i="7"/>
  <c r="E152" i="7"/>
  <c r="F152" i="7"/>
  <c r="D151" i="7"/>
  <c r="E151" i="7"/>
  <c r="F151" i="7"/>
  <c r="D150" i="7"/>
  <c r="E150" i="7"/>
  <c r="F150" i="7"/>
  <c r="D149" i="7"/>
  <c r="E149" i="7"/>
  <c r="F149" i="7"/>
  <c r="D148" i="7"/>
  <c r="E148" i="7"/>
  <c r="F148" i="7"/>
  <c r="D147" i="7"/>
  <c r="E147" i="7"/>
  <c r="F147" i="7"/>
  <c r="D146" i="7"/>
  <c r="E146" i="7"/>
  <c r="F146" i="7"/>
  <c r="D145" i="7"/>
  <c r="E145" i="7"/>
  <c r="F145" i="7"/>
  <c r="D144" i="7"/>
  <c r="E144" i="7"/>
  <c r="F144" i="7"/>
  <c r="D143" i="7"/>
  <c r="E143" i="7"/>
  <c r="F143" i="7"/>
  <c r="D142" i="7"/>
  <c r="E142" i="7"/>
  <c r="F142" i="7"/>
  <c r="D141" i="7"/>
  <c r="E141" i="7"/>
  <c r="F141" i="7"/>
  <c r="D140" i="7"/>
  <c r="E140" i="7"/>
  <c r="F140" i="7"/>
  <c r="D139" i="7"/>
  <c r="E139" i="7"/>
  <c r="F139" i="7"/>
  <c r="D138" i="7"/>
  <c r="E138" i="7"/>
  <c r="F138" i="7"/>
  <c r="D137" i="7"/>
  <c r="E137" i="7"/>
  <c r="F137" i="7"/>
  <c r="D136" i="7"/>
  <c r="E136" i="7"/>
  <c r="F136" i="7"/>
  <c r="D135" i="7"/>
  <c r="E135" i="7"/>
  <c r="F135" i="7"/>
  <c r="D134" i="7"/>
  <c r="E134" i="7"/>
  <c r="F134" i="7"/>
  <c r="D133" i="7"/>
  <c r="E133" i="7"/>
  <c r="F133" i="7"/>
  <c r="D132" i="7"/>
  <c r="E132" i="7"/>
  <c r="F132" i="7"/>
  <c r="D131" i="7"/>
  <c r="E131" i="7"/>
  <c r="F131" i="7"/>
  <c r="D130" i="7"/>
  <c r="E130" i="7"/>
  <c r="F130" i="7"/>
  <c r="D129" i="7"/>
  <c r="E129" i="7"/>
  <c r="F129" i="7"/>
  <c r="D128" i="7"/>
  <c r="E128" i="7"/>
  <c r="F128" i="7"/>
  <c r="D127" i="7"/>
  <c r="E127" i="7"/>
  <c r="F127" i="7"/>
  <c r="D126" i="7"/>
  <c r="E126" i="7"/>
  <c r="F126" i="7"/>
  <c r="D125" i="7"/>
  <c r="E125" i="7"/>
  <c r="F125" i="7"/>
  <c r="D124" i="7"/>
  <c r="E124" i="7"/>
  <c r="F124" i="7"/>
  <c r="D123" i="7"/>
  <c r="E123" i="7"/>
  <c r="F123" i="7"/>
  <c r="D122" i="7"/>
  <c r="E122" i="7"/>
  <c r="F122" i="7"/>
  <c r="D121" i="7"/>
  <c r="E121" i="7"/>
  <c r="F121" i="7"/>
  <c r="D120" i="7"/>
  <c r="E120" i="7"/>
  <c r="F120" i="7"/>
  <c r="D119" i="7"/>
  <c r="E119" i="7"/>
  <c r="F119" i="7"/>
  <c r="D118" i="7"/>
  <c r="E118" i="7"/>
  <c r="F118" i="7"/>
  <c r="D117" i="7"/>
  <c r="E117" i="7"/>
  <c r="F117" i="7"/>
  <c r="D116" i="7"/>
  <c r="E116" i="7"/>
  <c r="F116" i="7"/>
  <c r="D115" i="7"/>
  <c r="E115" i="7"/>
  <c r="F115" i="7"/>
  <c r="D114" i="7"/>
  <c r="E114" i="7"/>
  <c r="F114" i="7"/>
  <c r="D113" i="7"/>
  <c r="E113" i="7"/>
  <c r="F113" i="7"/>
  <c r="D112" i="7"/>
  <c r="E112" i="7"/>
  <c r="F112" i="7"/>
  <c r="D111" i="7"/>
  <c r="E111" i="7"/>
  <c r="F111" i="7"/>
  <c r="D110" i="7"/>
  <c r="E110" i="7"/>
  <c r="F110" i="7"/>
  <c r="D109" i="7"/>
  <c r="E109" i="7"/>
  <c r="F109" i="7"/>
  <c r="D108" i="7"/>
  <c r="E108" i="7"/>
  <c r="F108" i="7"/>
  <c r="D101" i="7"/>
  <c r="E101" i="7"/>
  <c r="F101" i="7"/>
  <c r="D100" i="7"/>
  <c r="E100" i="7"/>
  <c r="F100" i="7"/>
  <c r="D99" i="7"/>
  <c r="E99" i="7"/>
  <c r="F99" i="7"/>
  <c r="D98" i="7"/>
  <c r="E98" i="7"/>
  <c r="F98" i="7"/>
  <c r="D97" i="7"/>
  <c r="E97" i="7"/>
  <c r="F97" i="7"/>
  <c r="D96" i="7"/>
  <c r="E96" i="7"/>
  <c r="F96" i="7"/>
  <c r="D95" i="7"/>
  <c r="E95" i="7"/>
  <c r="F95" i="7"/>
  <c r="D94" i="7"/>
  <c r="E94" i="7"/>
  <c r="F94" i="7"/>
  <c r="D93" i="7"/>
  <c r="E93" i="7"/>
  <c r="F93" i="7"/>
  <c r="D92" i="7"/>
  <c r="E92" i="7"/>
  <c r="F92" i="7"/>
  <c r="D91" i="7"/>
  <c r="E91" i="7"/>
  <c r="F91" i="7"/>
  <c r="D90" i="7"/>
  <c r="E90" i="7"/>
  <c r="F90" i="7"/>
  <c r="D89" i="7"/>
  <c r="E89" i="7"/>
  <c r="F89" i="7"/>
  <c r="D88" i="7"/>
  <c r="E88" i="7"/>
  <c r="F88" i="7"/>
  <c r="D87" i="7"/>
  <c r="E87" i="7"/>
  <c r="F87" i="7"/>
  <c r="D86" i="7"/>
  <c r="E86" i="7"/>
  <c r="F86" i="7"/>
  <c r="D85" i="7"/>
  <c r="E85" i="7"/>
  <c r="F85" i="7"/>
  <c r="D84" i="7"/>
  <c r="E84" i="7"/>
  <c r="F84" i="7"/>
  <c r="D83" i="7"/>
  <c r="E83" i="7"/>
  <c r="F83" i="7"/>
  <c r="D82" i="7"/>
  <c r="E82" i="7"/>
  <c r="F82" i="7"/>
  <c r="D81" i="7"/>
  <c r="E81" i="7"/>
  <c r="F81" i="7"/>
  <c r="D80" i="7"/>
  <c r="E80" i="7"/>
  <c r="F80" i="7"/>
  <c r="D79" i="7"/>
  <c r="E79" i="7"/>
  <c r="F79" i="7"/>
  <c r="D78" i="7"/>
  <c r="E78" i="7"/>
  <c r="F78" i="7"/>
  <c r="D77" i="7"/>
  <c r="E77" i="7"/>
  <c r="F77" i="7"/>
  <c r="D76" i="7"/>
  <c r="E76" i="7"/>
  <c r="F76" i="7"/>
  <c r="D75" i="7"/>
  <c r="E75" i="7"/>
  <c r="F75" i="7"/>
  <c r="D74" i="7"/>
  <c r="E74" i="7"/>
  <c r="F74" i="7"/>
  <c r="D73" i="7"/>
  <c r="E73" i="7"/>
  <c r="F73" i="7"/>
  <c r="D72" i="7"/>
  <c r="E72" i="7"/>
  <c r="F72" i="7"/>
  <c r="D71" i="7"/>
  <c r="E71" i="7"/>
  <c r="F71" i="7"/>
  <c r="D70" i="7"/>
  <c r="E70" i="7"/>
  <c r="F70" i="7"/>
  <c r="D69" i="7"/>
  <c r="E69" i="7"/>
  <c r="F69" i="7"/>
  <c r="D68" i="7"/>
  <c r="E68" i="7"/>
  <c r="F68" i="7"/>
  <c r="D67" i="7"/>
  <c r="E67" i="7"/>
  <c r="F67" i="7"/>
  <c r="D66" i="7"/>
  <c r="E66" i="7"/>
  <c r="F66" i="7"/>
  <c r="D65" i="7"/>
  <c r="E65" i="7"/>
  <c r="F65" i="7"/>
  <c r="D64" i="7"/>
  <c r="E64" i="7"/>
  <c r="F64" i="7"/>
  <c r="D63" i="7"/>
  <c r="E63" i="7"/>
  <c r="F63" i="7"/>
  <c r="D62" i="7"/>
  <c r="E62" i="7"/>
  <c r="F62" i="7"/>
  <c r="D61" i="7"/>
  <c r="E61" i="7"/>
  <c r="F61" i="7"/>
  <c r="D60" i="7"/>
  <c r="E60" i="7"/>
  <c r="F60" i="7"/>
  <c r="D59" i="7"/>
  <c r="E59" i="7"/>
  <c r="F59" i="7"/>
  <c r="D58" i="7"/>
  <c r="E58" i="7"/>
  <c r="F58" i="7"/>
  <c r="D57" i="7"/>
  <c r="E57" i="7"/>
  <c r="F57" i="7"/>
  <c r="D56" i="7"/>
  <c r="E56" i="7"/>
  <c r="F56" i="7"/>
  <c r="D55" i="7"/>
  <c r="E55" i="7"/>
  <c r="F55" i="7"/>
  <c r="D54" i="7"/>
  <c r="E54" i="7"/>
  <c r="F54" i="7"/>
  <c r="D53" i="7"/>
  <c r="E53" i="7"/>
  <c r="F53" i="7"/>
  <c r="D52" i="7"/>
  <c r="E52" i="7"/>
  <c r="F52" i="7"/>
  <c r="D51" i="7"/>
  <c r="E51" i="7"/>
  <c r="F51" i="7"/>
  <c r="D50" i="7"/>
  <c r="E50" i="7"/>
  <c r="F50" i="7"/>
  <c r="D49" i="7"/>
  <c r="E49" i="7"/>
  <c r="F49" i="7"/>
  <c r="D48" i="7"/>
  <c r="E48" i="7"/>
  <c r="F48" i="7"/>
  <c r="D47" i="7"/>
  <c r="E47" i="7"/>
  <c r="F47" i="7"/>
  <c r="D46" i="7"/>
  <c r="E46" i="7"/>
  <c r="F46" i="7"/>
  <c r="D45" i="7"/>
  <c r="E45" i="7"/>
  <c r="F45" i="7"/>
  <c r="D44" i="7"/>
  <c r="E44" i="7"/>
  <c r="F44" i="7"/>
  <c r="D43" i="7"/>
  <c r="E43" i="7"/>
  <c r="F43" i="7"/>
  <c r="D42" i="7"/>
  <c r="E42" i="7"/>
  <c r="F42" i="7"/>
  <c r="D41" i="7"/>
  <c r="E41" i="7"/>
  <c r="F41" i="7"/>
  <c r="D40" i="7"/>
  <c r="E40" i="7"/>
  <c r="F40" i="7"/>
  <c r="D39" i="7"/>
  <c r="E39" i="7"/>
  <c r="F39" i="7"/>
  <c r="D38" i="7"/>
  <c r="E38" i="7"/>
  <c r="F38" i="7"/>
  <c r="D37" i="7"/>
  <c r="E37" i="7"/>
  <c r="F37" i="7"/>
  <c r="D36" i="7"/>
  <c r="E36" i="7"/>
  <c r="F36" i="7"/>
  <c r="D35" i="7"/>
  <c r="E35" i="7"/>
  <c r="F35" i="7"/>
  <c r="D34" i="7"/>
  <c r="E34" i="7"/>
  <c r="F34" i="7"/>
  <c r="D33" i="7"/>
  <c r="E33" i="7"/>
  <c r="F33" i="7"/>
  <c r="D32" i="7"/>
  <c r="E32" i="7"/>
  <c r="F32" i="7"/>
  <c r="D31" i="7"/>
  <c r="E31" i="7"/>
  <c r="F31" i="7"/>
  <c r="D30" i="7"/>
  <c r="E30" i="7"/>
  <c r="F30" i="7"/>
  <c r="D29" i="7"/>
  <c r="E29" i="7"/>
  <c r="F29" i="7"/>
  <c r="D28" i="7"/>
  <c r="E28" i="7"/>
  <c r="F28" i="7"/>
  <c r="D27" i="7"/>
  <c r="E27" i="7"/>
  <c r="F27" i="7"/>
  <c r="D26" i="7"/>
  <c r="E26" i="7"/>
  <c r="F26" i="7"/>
  <c r="D25" i="7"/>
  <c r="E25" i="7"/>
  <c r="F25" i="7"/>
  <c r="D24" i="7"/>
  <c r="E24" i="7"/>
  <c r="F24" i="7"/>
  <c r="D23" i="7"/>
  <c r="E23" i="7"/>
  <c r="F23" i="7"/>
  <c r="D22" i="7"/>
  <c r="E22" i="7"/>
  <c r="F22" i="7"/>
  <c r="D21" i="7"/>
  <c r="E21" i="7"/>
  <c r="F21" i="7"/>
  <c r="D20" i="7"/>
  <c r="E20" i="7"/>
  <c r="F20" i="7"/>
  <c r="D19" i="7"/>
  <c r="E19" i="7"/>
  <c r="F19" i="7"/>
  <c r="D18" i="7"/>
  <c r="E18" i="7"/>
  <c r="F18" i="7"/>
  <c r="D17" i="7"/>
  <c r="E17" i="7"/>
  <c r="F17" i="7"/>
  <c r="D16" i="7"/>
  <c r="E16" i="7"/>
  <c r="F16" i="7"/>
  <c r="D15" i="7"/>
  <c r="E15" i="7"/>
  <c r="F15" i="7"/>
  <c r="D14" i="7"/>
  <c r="E14" i="7"/>
  <c r="F14" i="7"/>
  <c r="D13" i="7"/>
  <c r="E13" i="7"/>
  <c r="F13" i="7"/>
  <c r="D12" i="7"/>
  <c r="E12" i="7"/>
  <c r="F12" i="7"/>
  <c r="D11" i="7"/>
  <c r="E11" i="7"/>
  <c r="F11" i="7"/>
  <c r="D10" i="7"/>
  <c r="E10" i="7"/>
  <c r="F10" i="7"/>
  <c r="D9" i="7"/>
  <c r="E9" i="7"/>
  <c r="F9" i="7"/>
  <c r="D8" i="7"/>
  <c r="E8" i="7"/>
  <c r="F8" i="7"/>
  <c r="D7" i="7"/>
  <c r="E7" i="7"/>
  <c r="F7" i="7"/>
  <c r="D6" i="7"/>
  <c r="E6" i="7"/>
  <c r="F6" i="7"/>
  <c r="D5" i="7"/>
  <c r="E5" i="7"/>
  <c r="F5" i="7"/>
  <c r="D202" i="17"/>
  <c r="E202" i="17"/>
  <c r="F202" i="17"/>
  <c r="D201" i="17"/>
  <c r="E201" i="17"/>
  <c r="F201" i="17"/>
  <c r="D200" i="17"/>
  <c r="E200" i="17"/>
  <c r="F200" i="17"/>
  <c r="D199" i="17"/>
  <c r="E199" i="17"/>
  <c r="F199" i="17"/>
  <c r="D198" i="17"/>
  <c r="E198" i="17"/>
  <c r="F198" i="17"/>
  <c r="D197" i="17"/>
  <c r="E197" i="17"/>
  <c r="F197" i="17"/>
  <c r="D196" i="17"/>
  <c r="E196" i="17"/>
  <c r="F196" i="17"/>
  <c r="D195" i="17"/>
  <c r="E195" i="17"/>
  <c r="F195" i="17"/>
  <c r="D194" i="17"/>
  <c r="E194" i="17"/>
  <c r="F194" i="17"/>
  <c r="D193" i="17"/>
  <c r="E193" i="17"/>
  <c r="F193" i="17"/>
  <c r="D192" i="17"/>
  <c r="E192" i="17"/>
  <c r="F192" i="17"/>
  <c r="D191" i="17"/>
  <c r="E191" i="17"/>
  <c r="F191" i="17"/>
  <c r="D190" i="17"/>
  <c r="E190" i="17"/>
  <c r="F190" i="17"/>
  <c r="D189" i="17"/>
  <c r="E189" i="17"/>
  <c r="F189" i="17"/>
  <c r="D188" i="17"/>
  <c r="E188" i="17"/>
  <c r="F188" i="17"/>
  <c r="D187" i="17"/>
  <c r="E187" i="17"/>
  <c r="F187" i="17"/>
  <c r="D186" i="17"/>
  <c r="E186" i="17"/>
  <c r="F186" i="17"/>
  <c r="D185" i="17"/>
  <c r="E185" i="17"/>
  <c r="F185" i="17"/>
  <c r="D184" i="17"/>
  <c r="E184" i="17"/>
  <c r="F184" i="17"/>
  <c r="D183" i="17"/>
  <c r="E183" i="17"/>
  <c r="F183" i="17"/>
  <c r="D182" i="17"/>
  <c r="E182" i="17"/>
  <c r="F182" i="17"/>
  <c r="D181" i="17"/>
  <c r="E181" i="17"/>
  <c r="F181" i="17"/>
  <c r="D180" i="17"/>
  <c r="E180" i="17"/>
  <c r="F180" i="17"/>
  <c r="D179" i="17"/>
  <c r="E179" i="17"/>
  <c r="F179" i="17"/>
  <c r="D178" i="17"/>
  <c r="E178" i="17"/>
  <c r="F178" i="17"/>
  <c r="D177" i="17"/>
  <c r="E177" i="17"/>
  <c r="F177" i="17"/>
  <c r="D176" i="17"/>
  <c r="E176" i="17"/>
  <c r="F176" i="17"/>
  <c r="D175" i="17"/>
  <c r="E175" i="17"/>
  <c r="F175" i="17"/>
  <c r="D174" i="17"/>
  <c r="E174" i="17"/>
  <c r="F174" i="17"/>
  <c r="D173" i="17"/>
  <c r="E173" i="17"/>
  <c r="F173" i="17"/>
  <c r="D172" i="17"/>
  <c r="E172" i="17"/>
  <c r="F172" i="17"/>
  <c r="D171" i="17"/>
  <c r="E171" i="17"/>
  <c r="F171" i="17"/>
  <c r="D170" i="17"/>
  <c r="E170" i="17"/>
  <c r="F170" i="17"/>
  <c r="D169" i="17"/>
  <c r="E169" i="17"/>
  <c r="F169" i="17"/>
  <c r="D168" i="17"/>
  <c r="E168" i="17"/>
  <c r="F168" i="17"/>
  <c r="D167" i="17"/>
  <c r="E167" i="17"/>
  <c r="F167" i="17"/>
  <c r="D166" i="17"/>
  <c r="E166" i="17"/>
  <c r="F166" i="17"/>
  <c r="D165" i="17"/>
  <c r="E165" i="17"/>
  <c r="F165" i="17"/>
  <c r="D164" i="17"/>
  <c r="E164" i="17"/>
  <c r="F164" i="17"/>
  <c r="D163" i="17"/>
  <c r="E163" i="17"/>
  <c r="F163" i="17"/>
  <c r="D162" i="17"/>
  <c r="E162" i="17"/>
  <c r="F162" i="17"/>
  <c r="D161" i="17"/>
  <c r="E161" i="17"/>
  <c r="F161" i="17"/>
  <c r="D160" i="17"/>
  <c r="E160" i="17"/>
  <c r="F160" i="17"/>
  <c r="D159" i="17"/>
  <c r="E159" i="17"/>
  <c r="F159" i="17"/>
  <c r="D158" i="17"/>
  <c r="E158" i="17"/>
  <c r="F158" i="17"/>
  <c r="D157" i="17"/>
  <c r="E157" i="17"/>
  <c r="F157" i="17"/>
  <c r="D156" i="17"/>
  <c r="E156" i="17"/>
  <c r="F156" i="17"/>
  <c r="D155" i="17"/>
  <c r="E155" i="17"/>
  <c r="F155" i="17"/>
  <c r="D154" i="17"/>
  <c r="E154" i="17"/>
  <c r="F154" i="17"/>
  <c r="D153" i="17"/>
  <c r="E153" i="17"/>
  <c r="F153" i="17"/>
  <c r="D152" i="17"/>
  <c r="E152" i="17"/>
  <c r="F152" i="17"/>
  <c r="D151" i="17"/>
  <c r="E151" i="17"/>
  <c r="F151" i="17"/>
  <c r="D150" i="17"/>
  <c r="E150" i="17"/>
  <c r="F150" i="17"/>
  <c r="D149" i="17"/>
  <c r="E149" i="17"/>
  <c r="F149" i="17"/>
  <c r="D148" i="17"/>
  <c r="E148" i="17"/>
  <c r="F148" i="17"/>
  <c r="D147" i="17"/>
  <c r="E147" i="17"/>
  <c r="F147" i="17"/>
  <c r="D146" i="17"/>
  <c r="E146" i="17"/>
  <c r="F146" i="17"/>
  <c r="D145" i="17"/>
  <c r="E145" i="17"/>
  <c r="F145" i="17"/>
  <c r="D144" i="17"/>
  <c r="E144" i="17"/>
  <c r="F144" i="17"/>
  <c r="D143" i="17"/>
  <c r="E143" i="17"/>
  <c r="F143" i="17"/>
  <c r="D142" i="17"/>
  <c r="E142" i="17"/>
  <c r="F142" i="17"/>
  <c r="D141" i="17"/>
  <c r="E141" i="17"/>
  <c r="F141" i="17"/>
  <c r="D140" i="17"/>
  <c r="E140" i="17"/>
  <c r="F140" i="17"/>
  <c r="D139" i="17"/>
  <c r="E139" i="17"/>
  <c r="F139" i="17"/>
  <c r="D138" i="17"/>
  <c r="E138" i="17"/>
  <c r="F138" i="17"/>
  <c r="D137" i="17"/>
  <c r="E137" i="17"/>
  <c r="F137" i="17"/>
  <c r="D136" i="17"/>
  <c r="E136" i="17"/>
  <c r="F136" i="17"/>
  <c r="D135" i="17"/>
  <c r="E135" i="17"/>
  <c r="F135" i="17"/>
  <c r="D134" i="17"/>
  <c r="E134" i="17"/>
  <c r="F134" i="17"/>
  <c r="D133" i="17"/>
  <c r="E133" i="17"/>
  <c r="F133" i="17"/>
  <c r="D132" i="17"/>
  <c r="E132" i="17"/>
  <c r="F132" i="17"/>
  <c r="D131" i="17"/>
  <c r="E131" i="17"/>
  <c r="F131" i="17"/>
  <c r="D130" i="17"/>
  <c r="E130" i="17"/>
  <c r="F130" i="17"/>
  <c r="D129" i="17"/>
  <c r="E129" i="17"/>
  <c r="F129" i="17"/>
  <c r="D128" i="17"/>
  <c r="E128" i="17"/>
  <c r="F128" i="17"/>
  <c r="D127" i="17"/>
  <c r="E127" i="17"/>
  <c r="F127" i="17"/>
  <c r="D126" i="17"/>
  <c r="E126" i="17"/>
  <c r="F126" i="17"/>
  <c r="D125" i="17"/>
  <c r="E125" i="17"/>
  <c r="F125" i="17"/>
  <c r="D124" i="17"/>
  <c r="E124" i="17"/>
  <c r="F124" i="17"/>
  <c r="D123" i="17"/>
  <c r="E123" i="17"/>
  <c r="F123" i="17"/>
  <c r="D122" i="17"/>
  <c r="E122" i="17"/>
  <c r="F122" i="17"/>
  <c r="D121" i="17"/>
  <c r="E121" i="17"/>
  <c r="F121" i="17"/>
  <c r="D120" i="17"/>
  <c r="E120" i="17"/>
  <c r="F120" i="17"/>
  <c r="D119" i="17"/>
  <c r="E119" i="17"/>
  <c r="F119" i="17"/>
  <c r="D118" i="17"/>
  <c r="E118" i="17"/>
  <c r="F118" i="17"/>
  <c r="D117" i="17"/>
  <c r="E117" i="17"/>
  <c r="F117" i="17"/>
  <c r="D116" i="17"/>
  <c r="E116" i="17"/>
  <c r="F116" i="17"/>
  <c r="D115" i="17"/>
  <c r="E115" i="17"/>
  <c r="F115" i="17"/>
  <c r="D114" i="17"/>
  <c r="E114" i="17"/>
  <c r="F114" i="17"/>
  <c r="D113" i="17"/>
  <c r="E113" i="17"/>
  <c r="F113" i="17"/>
  <c r="D112" i="17"/>
  <c r="E112" i="17"/>
  <c r="F112" i="17"/>
  <c r="D111" i="17"/>
  <c r="E111" i="17"/>
  <c r="F111" i="17"/>
  <c r="D110" i="17"/>
  <c r="E110" i="17"/>
  <c r="F110" i="17"/>
  <c r="D109" i="17"/>
  <c r="E109" i="17"/>
  <c r="F109" i="17"/>
  <c r="D108" i="17"/>
  <c r="E108" i="17"/>
  <c r="F108" i="17"/>
  <c r="D107" i="17"/>
  <c r="E107" i="17"/>
  <c r="F107" i="17"/>
  <c r="D106" i="17"/>
  <c r="E106" i="17"/>
  <c r="F106" i="17"/>
  <c r="D101" i="17"/>
  <c r="E101" i="17"/>
  <c r="F101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D82" i="17"/>
  <c r="E82" i="17"/>
  <c r="F82" i="17"/>
  <c r="D83" i="17"/>
  <c r="E83" i="17"/>
  <c r="F83" i="17"/>
  <c r="D84" i="17"/>
  <c r="E84" i="17"/>
  <c r="F84" i="17"/>
  <c r="D85" i="17"/>
  <c r="E85" i="17"/>
  <c r="F85" i="17"/>
  <c r="D86" i="17"/>
  <c r="E86" i="17"/>
  <c r="F86" i="17"/>
  <c r="D87" i="17"/>
  <c r="E87" i="17"/>
  <c r="F87" i="17"/>
  <c r="D88" i="17"/>
  <c r="E88" i="17"/>
  <c r="F88" i="17"/>
  <c r="D89" i="17"/>
  <c r="E89" i="17"/>
  <c r="F89" i="17"/>
  <c r="D90" i="17"/>
  <c r="E90" i="17"/>
  <c r="F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65" i="17"/>
  <c r="E65" i="17"/>
  <c r="F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2" i="17"/>
  <c r="E42" i="17"/>
  <c r="F42" i="17"/>
  <c r="D41" i="17"/>
  <c r="E41" i="17"/>
  <c r="F41" i="17"/>
  <c r="D40" i="17"/>
  <c r="E40" i="17"/>
  <c r="F40" i="17"/>
  <c r="D39" i="17"/>
  <c r="E39" i="17"/>
  <c r="F39" i="17"/>
  <c r="D38" i="17"/>
  <c r="E38" i="17"/>
  <c r="F38" i="17"/>
  <c r="D37" i="17"/>
  <c r="E37" i="17"/>
  <c r="F37" i="17"/>
  <c r="D35" i="17"/>
  <c r="E35" i="17"/>
  <c r="F35" i="17"/>
  <c r="D36" i="17"/>
  <c r="E36" i="17"/>
  <c r="F36" i="17"/>
  <c r="D34" i="17"/>
  <c r="E34" i="17"/>
  <c r="F34" i="17"/>
  <c r="D32" i="17"/>
  <c r="E32" i="17"/>
  <c r="F32" i="17"/>
  <c r="D33" i="17"/>
  <c r="E33" i="17"/>
  <c r="F33" i="17"/>
  <c r="D31" i="17"/>
  <c r="E31" i="17"/>
  <c r="F31" i="17"/>
  <c r="D30" i="17"/>
  <c r="E30" i="17"/>
  <c r="F30" i="17"/>
  <c r="D29" i="17"/>
  <c r="E29" i="17"/>
  <c r="F29" i="17"/>
  <c r="D27" i="17"/>
  <c r="E27" i="17"/>
  <c r="F27" i="17"/>
  <c r="D28" i="17"/>
  <c r="E28" i="17"/>
  <c r="F28" i="17"/>
  <c r="D26" i="17"/>
  <c r="E26" i="17"/>
  <c r="F26" i="17"/>
  <c r="D21" i="17"/>
  <c r="E21" i="17"/>
  <c r="F21" i="17"/>
  <c r="D22" i="17"/>
  <c r="E22" i="17"/>
  <c r="F22" i="17"/>
  <c r="D23" i="17"/>
  <c r="E23" i="17"/>
  <c r="F23" i="17"/>
  <c r="D24" i="17"/>
  <c r="E24" i="17"/>
  <c r="F24" i="17"/>
  <c r="D25" i="17"/>
  <c r="E25" i="17"/>
  <c r="F25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0" i="17"/>
  <c r="E10" i="17"/>
  <c r="F10" i="17"/>
  <c r="D11" i="17"/>
  <c r="E11" i="17"/>
  <c r="F11" i="17"/>
  <c r="D9" i="17"/>
  <c r="E9" i="17"/>
  <c r="F9" i="17"/>
  <c r="D6" i="17"/>
  <c r="E6" i="17"/>
  <c r="F6" i="17"/>
  <c r="D7" i="17"/>
  <c r="E7" i="17"/>
  <c r="F7" i="17"/>
  <c r="D8" i="17"/>
  <c r="E8" i="17"/>
  <c r="F8" i="17"/>
  <c r="U19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4" i="22"/>
  <c r="Q4" i="22"/>
  <c r="V19" i="22"/>
  <c r="W19" i="22"/>
  <c r="U18" i="22"/>
  <c r="V18" i="22"/>
  <c r="W18" i="22"/>
  <c r="U17" i="22"/>
  <c r="V17" i="22"/>
  <c r="W17" i="22"/>
  <c r="U16" i="22"/>
  <c r="V16" i="22"/>
  <c r="W16" i="22"/>
  <c r="U15" i="22"/>
  <c r="V15" i="22"/>
  <c r="W15" i="22"/>
  <c r="U14" i="22"/>
  <c r="V14" i="22"/>
  <c r="W14" i="22"/>
  <c r="U13" i="22"/>
  <c r="V13" i="22"/>
  <c r="W13" i="22"/>
  <c r="U12" i="22"/>
  <c r="V12" i="22"/>
  <c r="W12" i="22"/>
  <c r="U11" i="22"/>
  <c r="V11" i="22"/>
  <c r="W11" i="22"/>
  <c r="U10" i="22"/>
  <c r="V10" i="22"/>
  <c r="W10" i="22"/>
  <c r="U9" i="22"/>
  <c r="V9" i="22"/>
  <c r="W9" i="22"/>
  <c r="U8" i="22"/>
  <c r="V8" i="22"/>
  <c r="W8" i="22"/>
  <c r="U7" i="22"/>
  <c r="V7" i="22"/>
  <c r="W7" i="22"/>
  <c r="U6" i="22"/>
  <c r="V6" i="22"/>
  <c r="W6" i="22"/>
  <c r="U5" i="22"/>
  <c r="V5" i="22"/>
  <c r="W5" i="22"/>
  <c r="U4" i="22"/>
  <c r="V4" i="22"/>
  <c r="W4" i="22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B8" i="23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B7" i="2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I19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M39" i="8"/>
  <c r="M24" i="8"/>
  <c r="C6" i="23"/>
  <c r="M19" i="8"/>
  <c r="M4" i="8"/>
  <c r="C5" i="23"/>
  <c r="U4" i="8"/>
  <c r="U19" i="8"/>
  <c r="C4" i="23"/>
  <c r="Q4" i="8"/>
  <c r="Q19" i="8"/>
  <c r="C3" i="23"/>
  <c r="I4" i="8"/>
  <c r="I19" i="8"/>
  <c r="C2" i="23"/>
  <c r="L39" i="8"/>
  <c r="L24" i="8"/>
  <c r="B6" i="23"/>
  <c r="L19" i="8"/>
  <c r="L4" i="8"/>
  <c r="B5" i="23"/>
  <c r="T19" i="8"/>
  <c r="T4" i="8"/>
  <c r="B4" i="23"/>
  <c r="P4" i="8"/>
  <c r="P19" i="8"/>
  <c r="B3" i="23"/>
  <c r="H4" i="8"/>
  <c r="H19" i="8"/>
  <c r="B2" i="23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9" i="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4" i="22"/>
  <c r="J19" i="2"/>
  <c r="K19" i="2"/>
  <c r="G7" i="19"/>
  <c r="R73" i="22"/>
  <c r="R78" i="22"/>
  <c r="R68" i="22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D25" i="23"/>
  <c r="D26" i="23"/>
  <c r="C16" i="23"/>
  <c r="C17" i="23"/>
  <c r="C18" i="23"/>
  <c r="C20" i="23"/>
  <c r="C22" i="23"/>
  <c r="C23" i="23"/>
  <c r="C19" i="23"/>
  <c r="C25" i="23"/>
  <c r="C26" i="2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D21" i="23"/>
  <c r="D20" i="23"/>
  <c r="D18" i="23"/>
  <c r="D19" i="23"/>
  <c r="D17" i="23"/>
  <c r="D16" i="23"/>
  <c r="B10" i="23"/>
  <c r="B9" i="2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T73" i="2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4" i="22"/>
  <c r="T13" i="8"/>
  <c r="C21" i="23"/>
  <c r="D24" i="23"/>
  <c r="C24" i="23"/>
  <c r="D22" i="2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3" i="4"/>
  <c r="B12" i="23"/>
  <c r="B13" i="23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14"/>
  <c r="H18" i="14"/>
  <c r="G19" i="14"/>
  <c r="H19" i="14"/>
  <c r="G20" i="14"/>
  <c r="H20" i="14"/>
  <c r="G21" i="14"/>
  <c r="H21" i="14"/>
  <c r="G22" i="14"/>
  <c r="H22" i="14"/>
  <c r="G23" i="14"/>
  <c r="H23" i="14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8"/>
  <c r="H18" i="18"/>
  <c r="G19" i="18"/>
  <c r="H19" i="18"/>
  <c r="G20" i="18"/>
  <c r="H20" i="18"/>
  <c r="G21" i="18"/>
  <c r="H21" i="18"/>
  <c r="G22" i="18"/>
  <c r="H22" i="18"/>
  <c r="G23" i="18"/>
  <c r="H23" i="18"/>
  <c r="G18" i="15"/>
  <c r="H18" i="15"/>
  <c r="G19" i="15"/>
  <c r="H19" i="15"/>
  <c r="G20" i="15"/>
  <c r="H20" i="15"/>
  <c r="G21" i="15"/>
  <c r="H21" i="15"/>
  <c r="G22" i="15"/>
  <c r="H22" i="15"/>
  <c r="G23" i="15"/>
  <c r="H23" i="15"/>
  <c r="H34" i="8"/>
  <c r="I34" i="8"/>
  <c r="L34" i="8"/>
  <c r="M34" i="8"/>
  <c r="P34" i="8"/>
  <c r="Q34" i="8"/>
  <c r="H35" i="8"/>
  <c r="I35" i="8"/>
  <c r="L35" i="8"/>
  <c r="M35" i="8"/>
  <c r="P35" i="8"/>
  <c r="Q35" i="8"/>
  <c r="H36" i="8"/>
  <c r="I36" i="8"/>
  <c r="L36" i="8"/>
  <c r="M36" i="8"/>
  <c r="P36" i="8"/>
  <c r="Q36" i="8"/>
  <c r="H37" i="8"/>
  <c r="I37" i="8"/>
  <c r="L37" i="8"/>
  <c r="M37" i="8"/>
  <c r="P37" i="8"/>
  <c r="Q37" i="8"/>
  <c r="H38" i="8"/>
  <c r="I38" i="8"/>
  <c r="L38" i="8"/>
  <c r="M38" i="8"/>
  <c r="P38" i="8"/>
  <c r="Q38" i="8"/>
  <c r="H39" i="8"/>
  <c r="I39" i="8"/>
  <c r="P39" i="8"/>
  <c r="Q39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3" i="8"/>
  <c r="L23" i="8"/>
  <c r="H23" i="8"/>
  <c r="U3" i="8"/>
  <c r="Q3" i="8"/>
  <c r="M3" i="8"/>
  <c r="Q23" i="8"/>
  <c r="M23" i="8"/>
  <c r="I23" i="8"/>
  <c r="T3" i="8"/>
  <c r="P3" i="8"/>
  <c r="L3" i="8"/>
  <c r="G3" i="5"/>
  <c r="P24" i="8"/>
  <c r="I24" i="8"/>
  <c r="Q24" i="8"/>
  <c r="H24" i="8"/>
  <c r="G4" i="5"/>
  <c r="L25" i="8"/>
  <c r="P5" i="8"/>
  <c r="I5" i="8"/>
  <c r="H5" i="8"/>
  <c r="T5" i="8"/>
  <c r="Q25" i="8"/>
  <c r="Q5" i="8"/>
  <c r="P25" i="8"/>
  <c r="H25" i="8"/>
  <c r="L5" i="8"/>
  <c r="M25" i="8"/>
  <c r="U5" i="8"/>
  <c r="I25" i="8"/>
  <c r="M5" i="8"/>
  <c r="L7" i="8"/>
  <c r="G5" i="5"/>
  <c r="I6" i="8"/>
  <c r="M26" i="8"/>
  <c r="I26" i="8"/>
  <c r="L26" i="8"/>
  <c r="Q26" i="8"/>
  <c r="P6" i="8"/>
  <c r="P26" i="8"/>
  <c r="H26" i="8"/>
  <c r="H6" i="8"/>
  <c r="L6" i="8"/>
  <c r="U6" i="8"/>
  <c r="Q6" i="8"/>
  <c r="T6" i="8"/>
  <c r="M6" i="8"/>
  <c r="P27" i="8"/>
  <c r="Q27" i="8"/>
  <c r="I27" i="8"/>
  <c r="M7" i="8"/>
  <c r="H27" i="8"/>
  <c r="I7" i="8"/>
  <c r="T7" i="8"/>
  <c r="U7" i="8"/>
  <c r="M27" i="8"/>
  <c r="Q7" i="8"/>
  <c r="L27" i="8"/>
  <c r="H7" i="8"/>
  <c r="P7" i="8"/>
  <c r="G6" i="5"/>
  <c r="U8" i="8"/>
  <c r="M8" i="8"/>
  <c r="I28" i="8"/>
  <c r="P28" i="8"/>
  <c r="L28" i="8"/>
  <c r="H8" i="8"/>
  <c r="H28" i="8"/>
  <c r="G7" i="5"/>
  <c r="T8" i="8"/>
  <c r="Q8" i="8"/>
  <c r="M28" i="8"/>
  <c r="T9" i="8"/>
  <c r="L8" i="8"/>
  <c r="I8" i="8"/>
  <c r="P8" i="8"/>
  <c r="Q28" i="8"/>
  <c r="L9" i="8"/>
  <c r="M29" i="8"/>
  <c r="U9" i="8"/>
  <c r="M9" i="8"/>
  <c r="H29" i="8"/>
  <c r="I29" i="8"/>
  <c r="P29" i="8"/>
  <c r="H9" i="8"/>
  <c r="P9" i="8"/>
  <c r="Q9" i="8"/>
  <c r="L29" i="8"/>
  <c r="G8" i="5"/>
  <c r="Q29" i="8"/>
  <c r="I9" i="8"/>
  <c r="Q30" i="8"/>
  <c r="U10" i="8"/>
  <c r="M30" i="8"/>
  <c r="H30" i="8"/>
  <c r="Q10" i="8"/>
  <c r="I10" i="8"/>
  <c r="T10" i="8"/>
  <c r="L10" i="8"/>
  <c r="G9" i="5"/>
  <c r="P30" i="8"/>
  <c r="P10" i="8"/>
  <c r="M10" i="8"/>
  <c r="L30" i="8"/>
  <c r="I30" i="8"/>
  <c r="H10" i="8"/>
  <c r="P31" i="8"/>
  <c r="L31" i="8"/>
  <c r="T11" i="8"/>
  <c r="L11" i="8"/>
  <c r="I31" i="8"/>
  <c r="Q11" i="8"/>
  <c r="I11" i="8"/>
  <c r="G10" i="5"/>
  <c r="M31" i="8"/>
  <c r="H31" i="8"/>
  <c r="P11" i="8"/>
  <c r="Q31" i="8"/>
  <c r="U11" i="8"/>
  <c r="M11" i="8"/>
  <c r="H11" i="8"/>
  <c r="Q32" i="8"/>
  <c r="U12" i="8"/>
  <c r="M12" i="8"/>
  <c r="H12" i="8"/>
  <c r="M32" i="8"/>
  <c r="H32" i="8"/>
  <c r="P12" i="8"/>
  <c r="G11" i="5"/>
  <c r="I32" i="8"/>
  <c r="Q12" i="8"/>
  <c r="I12" i="8"/>
  <c r="P32" i="8"/>
  <c r="L32" i="8"/>
  <c r="T12" i="8"/>
  <c r="L12" i="8"/>
  <c r="G12" i="5"/>
  <c r="H33" i="8"/>
  <c r="H13" i="8"/>
  <c r="U13" i="8"/>
  <c r="L33" i="8"/>
  <c r="L13" i="8"/>
  <c r="Q33" i="8"/>
  <c r="I33" i="8"/>
  <c r="Q13" i="8"/>
  <c r="I13" i="8"/>
  <c r="P33" i="8"/>
  <c r="P13" i="8"/>
  <c r="M33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<sst xmlns="http://schemas.openxmlformats.org/spreadsheetml/2006/main" count="438" uniqueCount="187">
  <si>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</si>
  <si>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</si>
  <si>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</si>
  <si>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</si>
  <si>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</si>
  <si>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</si>
  <si>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</si>
  <si>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</si>
  <si>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</si>
  <si>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</si>
  <si>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</si>
  <si>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</si>
  <si>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</si>
  <si>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</si>
  <si>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</si>
  <si>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</si>
  <si>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</si>
  <si>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</si>
  <si>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</si>
  <si>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</si>
  <si>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</si>
  <si>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</si>
  <si>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</si>
  <si>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</si>
  <si>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</si>
  <si>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</si>
  <si>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</si>
  <si>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</si>
  <si>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</si>
  <si>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</si>
  <si>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</si>
  <si>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</si>
  <si>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</si>
  <si>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</si>
  <si>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</si>
  <si>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</si>
  <si>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</si>
  <si>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</si>
  <si>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</si>
  <si>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</si>
  <si>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</si>
  <si>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</si>
  <si>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</si>
  <si>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</si>
  <si>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</si>
  <si>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</si>
  <si>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</si>
  <si>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</si>
  <si>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</si>
  <si>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</si>
  <si>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</si>
  <si>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</si>
  <si>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</si>
  <si>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</si>
  <si>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</si>
  <si>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</si>
  <si>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</si>
  <si>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</si>
  <si>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</si>
  <si>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</si>
  <si>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</si>
  <si>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</si>
  <si>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</si>
  <si>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</si>
  <si>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</si>
  <si>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</si>
  <si>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</si>
  <si>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</si>
  <si>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</si>
  <si>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</si>
  <si>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</si>
  <si>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</si>
  <si>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</si>
  <si>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</si>
  <si>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</si>
  <si>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</si>
  <si>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</si>
  <si>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</si>
  <si>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</si>
  <si>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</si>
  <si>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</si>
  <si>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</si>
  <si>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</si>
  <si>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</si>
  <si>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</si>
  <si>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</si>
  <si>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</si>
  <si>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</si>
  <si>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</si>
  <si>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</si>
  <si>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</si>
  <si>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</si>
  <si>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</si>
  <si>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</si>
  <si>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</si>
  <si>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</si>
  <si>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</si>
  <si>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</si>
  <si>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</si>
  <si>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</si>
  <si>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</si>
  <si>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</si>
  <si>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</si>
  <si>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</si>
  <si>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</si>
  <si>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</si>
  <si>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</si>
  <si>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</si>
  <si>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</si>
  <si>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</si>
  <si>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</si>
  <si>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</si>
  <si>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</si>
  <si>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</si>
  <si>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</si>
  <si>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</si>
  <si>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Roseburia intestinalis 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</si>
  <si>
    <t>x</t>
  </si>
  <si>
    <t>2x</t>
  </si>
  <si>
    <t>z</t>
  </si>
  <si>
    <t>2x-z</t>
  </si>
  <si>
    <t>y</t>
  </si>
  <si>
    <t>(2x-2+Y)/2</t>
  </si>
  <si>
    <t>2x NAD + H2 wordt NADH + H+</t>
  </si>
  <si>
    <t>2x-z+y NADH + H+ wordt NAD + H2</t>
  </si>
  <si>
    <t>Theoretical</t>
  </si>
  <si>
    <t>Experimental</t>
  </si>
  <si>
    <t>2x-z-y</t>
  </si>
  <si>
    <t>f</t>
  </si>
  <si>
    <t>2x-z -f</t>
  </si>
  <si>
    <t>LN(Count/mL)</t>
  </si>
  <si>
    <t>y = lnN</t>
  </si>
  <si>
    <t>a= umax</t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</si>
  <si>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</si>
  <si>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t>x =t (h)</t>
  </si>
  <si>
    <r>
      <t>b = ln N</t>
    </r>
    <r>
      <rPr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</si>
  <si>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</si>
  <si>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doubling time td</t>
  </si>
  <si>
    <t>h</t>
  </si>
  <si>
    <t>umax average</t>
  </si>
  <si>
    <t>umax STDEV</t>
  </si>
  <si>
    <r>
      <t>h</t>
    </r>
    <r>
      <rPr>
        <vertAlign val="superscript"/>
        <sz val="11"/>
        <color rgb="FF000000"/>
        <rFont val="Calibri"/>
        <family val="2"/>
        <scheme val="minor"/>
      </rPr>
      <t>-1</t>
    </r>
  </si>
  <si>
    <t>doubling time average</t>
  </si>
  <si>
    <t>D-Fructose</t>
  </si>
  <si>
    <t>D Fructose</t>
  </si>
  <si>
    <t>D-Fructose consumed</t>
  </si>
  <si>
    <t>10 ml of a 0,1 g/l stock solution</t>
  </si>
  <si>
    <t>2x-z-y-f</t>
  </si>
  <si>
    <t>2x-z+y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</si>
  <si>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</si>
  <si>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</si>
  <si>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</si>
  <si>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t>22.50  g in 100 ml MilliQ,H20 per 1.5l</t>
  </si>
  <si>
    <t>D - Fructose (83 mM)</t>
  </si>
  <si>
    <t>17 g per 1.5 l</t>
  </si>
  <si>
    <t>Na-acetate trihydrate (83 mM)</t>
  </si>
  <si>
    <t>New calibration 12-12-2-14</t>
  </si>
  <si>
    <t>LOG</t>
  </si>
  <si>
    <t>STDEV LOG(Count/mL)</t>
  </si>
  <si>
    <t>x moles D-fructose consumed</t>
  </si>
  <si>
    <t>2x moles pyruvate produced</t>
  </si>
  <si>
    <t>z moles lactate produced</t>
  </si>
  <si>
    <t>f moles formate produced</t>
  </si>
  <si>
    <t>2x-z moles CO2 produced</t>
  </si>
  <si>
    <t>2x-z-f moles CO2 produced</t>
  </si>
  <si>
    <t>y moles acetate consumed</t>
  </si>
  <si>
    <t>2x-z+y  moles acetyl-CoA produced</t>
  </si>
  <si>
    <t>(2x-2+Y)/2 moles butyrate produced</t>
  </si>
  <si>
    <t>2x-z-y moles H2</t>
  </si>
  <si>
    <t>2x-z-y-f moles H2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</si>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</sst>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  <font>
      <sz val="11"/>
      <color rgb="FF008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7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64" fontId="24" fillId="0" borderId="21" xfId="0" applyNumberFormat="1" applyFont="1" applyFill="1" applyBorder="1" applyAlignment="1" applyProtection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1" fontId="25" fillId="0" borderId="16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" fontId="25" fillId="0" borderId="20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10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5" fontId="0" fillId="0" borderId="0" xfId="0" applyNumberFormat="1"/>
    <xf numFmtId="165" fontId="24" fillId="0" borderId="0" xfId="0" applyNumberFormat="1" applyFont="1"/>
    <xf numFmtId="165" fontId="28" fillId="0" borderId="0" xfId="0" applyNumberFormat="1" applyFont="1"/>
    <xf numFmtId="165" fontId="18" fillId="0" borderId="0" xfId="0" applyNumberFormat="1" applyFont="1"/>
    <xf numFmtId="0" fontId="0" fillId="12" borderId="0" xfId="0" applyFill="1"/>
  </cellXfs>
  <cellStyles count="297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67FF65"/>
      <color rgb="FFFEC109"/>
      <color rgb="FFACB106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10.33333333333333</c:v>
                </c:pt>
                <c:pt idx="1">
                  <c:v>11.66666666666667</c:v>
                </c:pt>
                <c:pt idx="2">
                  <c:v>13.0</c:v>
                </c:pt>
                <c:pt idx="3">
                  <c:v>14.33333333333333</c:v>
                </c:pt>
              </c:numCache>
            </c:numRef>
          </c:xVal>
          <c:yVal>
            <c:numRef>
              <c:f>'Flow cytometer'!$S$10:$S$13</c:f>
              <c:numCache>
                <c:formatCode>0.00</c:formatCode>
                <c:ptCount val="4"/>
                <c:pt idx="0">
                  <c:v>9.643072995139438</c:v>
                </c:pt>
                <c:pt idx="1">
                  <c:v>9.645774700142985</c:v>
                </c:pt>
                <c:pt idx="2">
                  <c:v>9.630198103122046</c:v>
                </c:pt>
                <c:pt idx="3">
                  <c:v>9.653782771233878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57192"/>
        <c:axId val="2142011432"/>
      </c:scatterChart>
      <c:valAx>
        <c:axId val="213155719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42011432"/>
        <c:crossesAt val="0.0"/>
        <c:crossBetween val="midCat"/>
        <c:majorUnit val="6.0"/>
      </c:valAx>
      <c:valAx>
        <c:axId val="2142011432"/>
        <c:scaling>
          <c:orientation val="minMax"/>
          <c:max val="10.0"/>
          <c:min val="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(log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155719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10.33333333333333</c:v>
                </c:pt>
                <c:pt idx="1">
                  <c:v>11.66666666666667</c:v>
                </c:pt>
                <c:pt idx="2">
                  <c:v>13.0</c:v>
                </c:pt>
                <c:pt idx="3">
                  <c:v>14.33333333333333</c:v>
                </c:pt>
              </c:numCache>
            </c:numRef>
          </c:xVal>
          <c:yVal>
            <c:numRef>
              <c:f>'Flow cytometer'!$T$10:$T$13</c:f>
              <c:numCache>
                <c:formatCode>0.00</c:formatCode>
                <c:ptCount val="4"/>
                <c:pt idx="0">
                  <c:v>22.20399612926151</c:v>
                </c:pt>
                <c:pt idx="1">
                  <c:v>22.21021703492834</c:v>
                </c:pt>
                <c:pt idx="2">
                  <c:v>22.17435059482836</c:v>
                </c:pt>
                <c:pt idx="3">
                  <c:v>22.22865630004587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33128"/>
        <c:axId val="2139065944"/>
      </c:scatterChart>
      <c:valAx>
        <c:axId val="213713312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9065944"/>
        <c:crossesAt val="0.0"/>
        <c:crossBetween val="midCat"/>
        <c:majorUnit val="6.0"/>
      </c:valAx>
      <c:valAx>
        <c:axId val="2139065944"/>
        <c:scaling>
          <c:orientation val="minMax"/>
          <c:max val="2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(ln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713312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Metabolites!$M$4:$M$19</c:f>
                <c:numCache>
                  <c:formatCode>General</c:formatCode>
                  <c:ptCount val="16"/>
                  <c:pt idx="0">
                    <c:v>0.0128186116605157</c:v>
                  </c:pt>
                  <c:pt idx="1">
                    <c:v>0.0222175698895667</c:v>
                  </c:pt>
                  <c:pt idx="2">
                    <c:v>0.0</c:v>
                  </c:pt>
                  <c:pt idx="3">
                    <c:v>0.0222810203951303</c:v>
                  </c:pt>
                  <c:pt idx="4">
                    <c:v>0.025804820763821</c:v>
                  </c:pt>
                  <c:pt idx="5">
                    <c:v>1.90651247023761E-16</c:v>
                  </c:pt>
                  <c:pt idx="6">
                    <c:v>0.104035510723071</c:v>
                  </c:pt>
                  <c:pt idx="7">
                    <c:v>0.171507837523643</c:v>
                  </c:pt>
                  <c:pt idx="8">
                    <c:v>0.105330421288833</c:v>
                  </c:pt>
                  <c:pt idx="9">
                    <c:v>0.389911859833506</c:v>
                  </c:pt>
                  <c:pt idx="10">
                    <c:v>0.087934078448191</c:v>
                  </c:pt>
                  <c:pt idx="11">
                    <c:v>0.121023017075443</c:v>
                  </c:pt>
                  <c:pt idx="12">
                    <c:v>0.158841817717336</c:v>
                  </c:pt>
                  <c:pt idx="13">
                    <c:v>0.230915835001438</c:v>
                  </c:pt>
                  <c:pt idx="14">
                    <c:v>0.0619258444050867</c:v>
                  </c:pt>
                  <c:pt idx="15">
                    <c:v>0.105542458737222</c:v>
                  </c:pt>
                </c:numCache>
              </c:numRef>
            </c:plus>
            <c:minus>
              <c:numRef>
                <c:f>Metabolites!$M$4:$M$19</c:f>
                <c:numCache>
                  <c:formatCode>General</c:formatCode>
                  <c:ptCount val="16"/>
                  <c:pt idx="0">
                    <c:v>0.0128186116605157</c:v>
                  </c:pt>
                  <c:pt idx="1">
                    <c:v>0.0222175698895667</c:v>
                  </c:pt>
                  <c:pt idx="2">
                    <c:v>0.0</c:v>
                  </c:pt>
                  <c:pt idx="3">
                    <c:v>0.0222810203951303</c:v>
                  </c:pt>
                  <c:pt idx="4">
                    <c:v>0.025804820763821</c:v>
                  </c:pt>
                  <c:pt idx="5">
                    <c:v>1.90651247023761E-16</c:v>
                  </c:pt>
                  <c:pt idx="6">
                    <c:v>0.104035510723071</c:v>
                  </c:pt>
                  <c:pt idx="7">
                    <c:v>0.171507837523643</c:v>
                  </c:pt>
                  <c:pt idx="8">
                    <c:v>0.105330421288833</c:v>
                  </c:pt>
                  <c:pt idx="9">
                    <c:v>0.389911859833506</c:v>
                  </c:pt>
                  <c:pt idx="10">
                    <c:v>0.087934078448191</c:v>
                  </c:pt>
                  <c:pt idx="11">
                    <c:v>0.121023017075443</c:v>
                  </c:pt>
                  <c:pt idx="12">
                    <c:v>0.158841817717336</c:v>
                  </c:pt>
                  <c:pt idx="13">
                    <c:v>0.230915835001438</c:v>
                  </c:pt>
                  <c:pt idx="14">
                    <c:v>0.0619258444050867</c:v>
                  </c:pt>
                  <c:pt idx="15">
                    <c:v>0.105542458737222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Metabolites!$L$4:$L$19</c:f>
              <c:numCache>
                <c:formatCode>0</c:formatCode>
                <c:ptCount val="16"/>
                <c:pt idx="0">
                  <c:v>0.769686204854944</c:v>
                </c:pt>
                <c:pt idx="1">
                  <c:v>0.777614946134837</c:v>
                </c:pt>
                <c:pt idx="2">
                  <c:v>0.800955087976718</c:v>
                </c:pt>
                <c:pt idx="3">
                  <c:v>0.75755469343443</c:v>
                </c:pt>
                <c:pt idx="4">
                  <c:v>0.879006792648543</c:v>
                </c:pt>
                <c:pt idx="5">
                  <c:v>1.031957009432767</c:v>
                </c:pt>
                <c:pt idx="6">
                  <c:v>5.108042173412823</c:v>
                </c:pt>
                <c:pt idx="7">
                  <c:v>8.94989330698669</c:v>
                </c:pt>
                <c:pt idx="8">
                  <c:v>12.20502560730953</c:v>
                </c:pt>
                <c:pt idx="9">
                  <c:v>13.93573015893559</c:v>
                </c:pt>
                <c:pt idx="10">
                  <c:v>14.09073831012452</c:v>
                </c:pt>
                <c:pt idx="11">
                  <c:v>14.51022477872715</c:v>
                </c:pt>
                <c:pt idx="12">
                  <c:v>14.84918948674451</c:v>
                </c:pt>
                <c:pt idx="13">
                  <c:v>14.91727686919086</c:v>
                </c:pt>
                <c:pt idx="14">
                  <c:v>14.83925763870346</c:v>
                </c:pt>
                <c:pt idx="15">
                  <c:v>14.9640884074833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Metabolites!$Q$4:$Q$19</c:f>
                <c:numCache>
                  <c:formatCode>General</c:formatCode>
                  <c:ptCount val="16"/>
                  <c:pt idx="0">
                    <c:v>0.397347325410457</c:v>
                  </c:pt>
                  <c:pt idx="1">
                    <c:v>0.75731577316663</c:v>
                  </c:pt>
                  <c:pt idx="2">
                    <c:v>0.55144519016616</c:v>
                  </c:pt>
                  <c:pt idx="3">
                    <c:v>0.80239333243663</c:v>
                  </c:pt>
                  <c:pt idx="4">
                    <c:v>1.388825439169176</c:v>
                  </c:pt>
                  <c:pt idx="5">
                    <c:v>2.004805010412763</c:v>
                  </c:pt>
                  <c:pt idx="6">
                    <c:v>1.364913589351608</c:v>
                  </c:pt>
                  <c:pt idx="7">
                    <c:v>1.235438660248283</c:v>
                  </c:pt>
                  <c:pt idx="8">
                    <c:v>0.431107257062349</c:v>
                  </c:pt>
                  <c:pt idx="9">
                    <c:v>0.694030887717793</c:v>
                  </c:pt>
                  <c:pt idx="10">
                    <c:v>0.312281945112226</c:v>
                  </c:pt>
                  <c:pt idx="11">
                    <c:v>0.301226560867766</c:v>
                  </c:pt>
                  <c:pt idx="12">
                    <c:v>0.667858000842241</c:v>
                  </c:pt>
                  <c:pt idx="13">
                    <c:v>1.462192555964636</c:v>
                  </c:pt>
                  <c:pt idx="14">
                    <c:v>0.228443873838575</c:v>
                  </c:pt>
                  <c:pt idx="15">
                    <c:v>0.438999551941931</c:v>
                  </c:pt>
                </c:numCache>
              </c:numRef>
            </c:plus>
            <c:minus>
              <c:numRef>
                <c:f>Metabolites!$Q$4:$Q$19</c:f>
                <c:numCache>
                  <c:formatCode>General</c:formatCode>
                  <c:ptCount val="16"/>
                  <c:pt idx="0">
                    <c:v>0.397347325410457</c:v>
                  </c:pt>
                  <c:pt idx="1">
                    <c:v>0.75731577316663</c:v>
                  </c:pt>
                  <c:pt idx="2">
                    <c:v>0.55144519016616</c:v>
                  </c:pt>
                  <c:pt idx="3">
                    <c:v>0.80239333243663</c:v>
                  </c:pt>
                  <c:pt idx="4">
                    <c:v>1.388825439169176</c:v>
                  </c:pt>
                  <c:pt idx="5">
                    <c:v>2.004805010412763</c:v>
                  </c:pt>
                  <c:pt idx="6">
                    <c:v>1.364913589351608</c:v>
                  </c:pt>
                  <c:pt idx="7">
                    <c:v>1.235438660248283</c:v>
                  </c:pt>
                  <c:pt idx="8">
                    <c:v>0.431107257062349</c:v>
                  </c:pt>
                  <c:pt idx="9">
                    <c:v>0.694030887717793</c:v>
                  </c:pt>
                  <c:pt idx="10">
                    <c:v>0.312281945112226</c:v>
                  </c:pt>
                  <c:pt idx="11">
                    <c:v>0.301226560867766</c:v>
                  </c:pt>
                  <c:pt idx="12">
                    <c:v>0.667858000842241</c:v>
                  </c:pt>
                  <c:pt idx="13">
                    <c:v>1.462192555964636</c:v>
                  </c:pt>
                  <c:pt idx="14">
                    <c:v>0.228443873838575</c:v>
                  </c:pt>
                  <c:pt idx="15">
                    <c:v>0.438999551941931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Metabolites!$P$4:$P$19</c:f>
              <c:numCache>
                <c:formatCode>0</c:formatCode>
                <c:ptCount val="16"/>
                <c:pt idx="0">
                  <c:v>80.12212045517625</c:v>
                </c:pt>
                <c:pt idx="1">
                  <c:v>79.29890851826377</c:v>
                </c:pt>
                <c:pt idx="2">
                  <c:v>78.99858046402977</c:v>
                </c:pt>
                <c:pt idx="3">
                  <c:v>78.46696872602092</c:v>
                </c:pt>
                <c:pt idx="4">
                  <c:v>74.16472782559434</c:v>
                </c:pt>
                <c:pt idx="5">
                  <c:v>70.30036491288813</c:v>
                </c:pt>
                <c:pt idx="6">
                  <c:v>61.96966686767021</c:v>
                </c:pt>
                <c:pt idx="7">
                  <c:v>62.31756722043959</c:v>
                </c:pt>
                <c:pt idx="8">
                  <c:v>65.05111068207405</c:v>
                </c:pt>
                <c:pt idx="9">
                  <c:v>66.13672673160245</c:v>
                </c:pt>
                <c:pt idx="10">
                  <c:v>65.87398693367217</c:v>
                </c:pt>
                <c:pt idx="11">
                  <c:v>65.87029453225529</c:v>
                </c:pt>
                <c:pt idx="12">
                  <c:v>66.22997229365529</c:v>
                </c:pt>
                <c:pt idx="13">
                  <c:v>65.92600810362026</c:v>
                </c:pt>
                <c:pt idx="14">
                  <c:v>65.04824303921915</c:v>
                </c:pt>
                <c:pt idx="15">
                  <c:v>64.50988046638646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0.0252498181012925</c:v>
                  </c:pt>
                  <c:pt idx="5">
                    <c:v>3.73101549682823E-16</c:v>
                  </c:pt>
                  <c:pt idx="6">
                    <c:v>0.117546141762368</c:v>
                  </c:pt>
                  <c:pt idx="7">
                    <c:v>0.136617721237393</c:v>
                  </c:pt>
                  <c:pt idx="8">
                    <c:v>0.0687100032565579</c:v>
                  </c:pt>
                  <c:pt idx="9">
                    <c:v>0.0691239189388263</c:v>
                  </c:pt>
                  <c:pt idx="10">
                    <c:v>0.026242813337335</c:v>
                  </c:pt>
                  <c:pt idx="11">
                    <c:v>0.172562767239624</c:v>
                  </c:pt>
                  <c:pt idx="12">
                    <c:v>0.27400389002443</c:v>
                  </c:pt>
                  <c:pt idx="13">
                    <c:v>0.235051614253329</c:v>
                  </c:pt>
                  <c:pt idx="14">
                    <c:v>0.0458047291916467</c:v>
                  </c:pt>
                  <c:pt idx="15">
                    <c:v>0.115272707249782</c:v>
                  </c:pt>
                </c:numCache>
              </c:numRef>
            </c:plus>
            <c:min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0.0252498181012925</c:v>
                  </c:pt>
                  <c:pt idx="5">
                    <c:v>3.73101549682823E-16</c:v>
                  </c:pt>
                  <c:pt idx="6">
                    <c:v>0.117546141762368</c:v>
                  </c:pt>
                  <c:pt idx="7">
                    <c:v>0.136617721237393</c:v>
                  </c:pt>
                  <c:pt idx="8">
                    <c:v>0.0687100032565579</c:v>
                  </c:pt>
                  <c:pt idx="9">
                    <c:v>0.0691239189388263</c:v>
                  </c:pt>
                  <c:pt idx="10">
                    <c:v>0.026242813337335</c:v>
                  </c:pt>
                  <c:pt idx="11">
                    <c:v>0.172562767239624</c:v>
                  </c:pt>
                  <c:pt idx="12">
                    <c:v>0.27400389002443</c:v>
                  </c:pt>
                  <c:pt idx="13">
                    <c:v>0.235051614253329</c:v>
                  </c:pt>
                  <c:pt idx="14">
                    <c:v>0.0458047291916467</c:v>
                  </c:pt>
                  <c:pt idx="15">
                    <c:v>0.115272707249782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Metabolites!$T$4:$T$19</c:f>
              <c:numCache>
                <c:formatCode>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0.772633431721828</c:v>
                </c:pt>
                <c:pt idx="5">
                  <c:v>2.019523949808899</c:v>
                </c:pt>
                <c:pt idx="6">
                  <c:v>5.375820128583222</c:v>
                </c:pt>
                <c:pt idx="7">
                  <c:v>7.125170984448192</c:v>
                </c:pt>
                <c:pt idx="8">
                  <c:v>10.46563886023045</c:v>
                </c:pt>
                <c:pt idx="9">
                  <c:v>12.42927842267573</c:v>
                </c:pt>
                <c:pt idx="10">
                  <c:v>12.24224663843959</c:v>
                </c:pt>
                <c:pt idx="11">
                  <c:v>12.23061010754184</c:v>
                </c:pt>
                <c:pt idx="12">
                  <c:v>12.4215096811075</c:v>
                </c:pt>
                <c:pt idx="13">
                  <c:v>12.48942282625565</c:v>
                </c:pt>
                <c:pt idx="14">
                  <c:v>12.22986269416965</c:v>
                </c:pt>
                <c:pt idx="15">
                  <c:v>12.21459445110577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'CO2'!$G$108:$G$204</c:f>
              <c:numCache>
                <c:formatCode>0.0</c:formatCode>
                <c:ptCount val="97"/>
                <c:pt idx="0">
                  <c:v>0.0</c:v>
                </c:pt>
                <c:pt idx="1">
                  <c:v>0.0663418181046195</c:v>
                </c:pt>
                <c:pt idx="2">
                  <c:v>0.213037003226902</c:v>
                </c:pt>
                <c:pt idx="3">
                  <c:v>0.392154594089674</c:v>
                </c:pt>
                <c:pt idx="4">
                  <c:v>0.61241511593607</c:v>
                </c:pt>
                <c:pt idx="5">
                  <c:v>0.866362846601473</c:v>
                </c:pt>
                <c:pt idx="6">
                  <c:v>1.155504535764088</c:v>
                </c:pt>
                <c:pt idx="7">
                  <c:v>1.530171864951805</c:v>
                </c:pt>
                <c:pt idx="8">
                  <c:v>2.039778420987454</c:v>
                </c:pt>
                <c:pt idx="9">
                  <c:v>2.726318011223986</c:v>
                </c:pt>
                <c:pt idx="10">
                  <c:v>3.668432207906424</c:v>
                </c:pt>
                <c:pt idx="11">
                  <c:v>4.963386797623185</c:v>
                </c:pt>
                <c:pt idx="12">
                  <c:v>6.68517762609952</c:v>
                </c:pt>
                <c:pt idx="13">
                  <c:v>8.799667493986185</c:v>
                </c:pt>
                <c:pt idx="14">
                  <c:v>11.24711594433582</c:v>
                </c:pt>
                <c:pt idx="15">
                  <c:v>14.06566511302316</c:v>
                </c:pt>
                <c:pt idx="16">
                  <c:v>17.26579762282086</c:v>
                </c:pt>
                <c:pt idx="17">
                  <c:v>20.79343694095314</c:v>
                </c:pt>
                <c:pt idx="18">
                  <c:v>24.56893004773103</c:v>
                </c:pt>
                <c:pt idx="19">
                  <c:v>28.56790687343062</c:v>
                </c:pt>
                <c:pt idx="20">
                  <c:v>32.84945645497152</c:v>
                </c:pt>
                <c:pt idx="21">
                  <c:v>37.4220631962219</c:v>
                </c:pt>
                <c:pt idx="22">
                  <c:v>42.20611738325505</c:v>
                </c:pt>
                <c:pt idx="23">
                  <c:v>47.10128722622802</c:v>
                </c:pt>
                <c:pt idx="24">
                  <c:v>52.09518826327464</c:v>
                </c:pt>
                <c:pt idx="25">
                  <c:v>57.16496152768386</c:v>
                </c:pt>
                <c:pt idx="26">
                  <c:v>62.25560216878094</c:v>
                </c:pt>
                <c:pt idx="27">
                  <c:v>67.33542941177785</c:v>
                </c:pt>
                <c:pt idx="28">
                  <c:v>72.41203683112154</c:v>
                </c:pt>
                <c:pt idx="29">
                  <c:v>77.35662108940007</c:v>
                </c:pt>
                <c:pt idx="30">
                  <c:v>81.92810395997543</c:v>
                </c:pt>
                <c:pt idx="31">
                  <c:v>86.05945057296705</c:v>
                </c:pt>
                <c:pt idx="32">
                  <c:v>89.80042435649133</c:v>
                </c:pt>
                <c:pt idx="33">
                  <c:v>93.13673169716699</c:v>
                </c:pt>
                <c:pt idx="34">
                  <c:v>96.02031936805174</c:v>
                </c:pt>
                <c:pt idx="35">
                  <c:v>98.47547380496599</c:v>
                </c:pt>
                <c:pt idx="36">
                  <c:v>100.5510861155977</c:v>
                </c:pt>
                <c:pt idx="37">
                  <c:v>102.3326820589199</c:v>
                </c:pt>
                <c:pt idx="38">
                  <c:v>103.8526799346216</c:v>
                </c:pt>
                <c:pt idx="39">
                  <c:v>105.115519912031</c:v>
                </c:pt>
                <c:pt idx="40">
                  <c:v>106.1638618378078</c:v>
                </c:pt>
                <c:pt idx="41">
                  <c:v>107.0344485550103</c:v>
                </c:pt>
                <c:pt idx="42">
                  <c:v>107.7543122805258</c:v>
                </c:pt>
                <c:pt idx="43">
                  <c:v>108.3513944751557</c:v>
                </c:pt>
                <c:pt idx="44">
                  <c:v>108.8532313931745</c:v>
                </c:pt>
                <c:pt idx="45">
                  <c:v>109.27283065825</c:v>
                </c:pt>
                <c:pt idx="46">
                  <c:v>109.6253000498297</c:v>
                </c:pt>
                <c:pt idx="47">
                  <c:v>109.9245396342492</c:v>
                </c:pt>
                <c:pt idx="48">
                  <c:v>110.1864338767998</c:v>
                </c:pt>
                <c:pt idx="49">
                  <c:v>110.4187786264789</c:v>
                </c:pt>
                <c:pt idx="50">
                  <c:v>110.6183645617582</c:v>
                </c:pt>
                <c:pt idx="51">
                  <c:v>110.7891265762189</c:v>
                </c:pt>
                <c:pt idx="52">
                  <c:v>110.9382244049785</c:v>
                </c:pt>
                <c:pt idx="53">
                  <c:v>111.0691286566651</c:v>
                </c:pt>
                <c:pt idx="54">
                  <c:v>111.1847225093961</c:v>
                </c:pt>
                <c:pt idx="55">
                  <c:v>111.2897033111618</c:v>
                </c:pt>
                <c:pt idx="56">
                  <c:v>111.3845531637195</c:v>
                </c:pt>
                <c:pt idx="57">
                  <c:v>111.4699648263333</c:v>
                </c:pt>
                <c:pt idx="58">
                  <c:v>111.5474715922005</c:v>
                </c:pt>
                <c:pt idx="59">
                  <c:v>111.6174586187031</c:v>
                </c:pt>
                <c:pt idx="60">
                  <c:v>111.6831592031327</c:v>
                </c:pt>
                <c:pt idx="61">
                  <c:v>111.7476129657816</c:v>
                </c:pt>
                <c:pt idx="62">
                  <c:v>111.8095897870074</c:v>
                </c:pt>
                <c:pt idx="63">
                  <c:v>111.8668948588873</c:v>
                </c:pt>
                <c:pt idx="64">
                  <c:v>111.9195758580563</c:v>
                </c:pt>
                <c:pt idx="65">
                  <c:v>111.9687113982726</c:v>
                </c:pt>
                <c:pt idx="66">
                  <c:v>112.0150514049627</c:v>
                </c:pt>
                <c:pt idx="67">
                  <c:v>112.0587742448322</c:v>
                </c:pt>
                <c:pt idx="68">
                  <c:v>112.1000016335262</c:v>
                </c:pt>
                <c:pt idx="69">
                  <c:v>112.1388558475914</c:v>
                </c:pt>
                <c:pt idx="70">
                  <c:v>112.1744551497278</c:v>
                </c:pt>
                <c:pt idx="71">
                  <c:v>112.2068180496879</c:v>
                </c:pt>
                <c:pt idx="72">
                  <c:v>112.2376048161791</c:v>
                </c:pt>
                <c:pt idx="73">
                  <c:v>112.2676506316695</c:v>
                </c:pt>
                <c:pt idx="74">
                  <c:v>112.2967586197008</c:v>
                </c:pt>
                <c:pt idx="75">
                  <c:v>112.324168758618</c:v>
                </c:pt>
                <c:pt idx="76">
                  <c:v>112.3491400974205</c:v>
                </c:pt>
                <c:pt idx="77">
                  <c:v>112.3724601419409</c:v>
                </c:pt>
                <c:pt idx="78">
                  <c:v>112.3943633490442</c:v>
                </c:pt>
                <c:pt idx="79">
                  <c:v>112.4144374560612</c:v>
                </c:pt>
                <c:pt idx="80">
                  <c:v>112.4340993004094</c:v>
                </c:pt>
                <c:pt idx="81">
                  <c:v>112.4541644330011</c:v>
                </c:pt>
                <c:pt idx="82">
                  <c:v>112.472784683096</c:v>
                </c:pt>
                <c:pt idx="83">
                  <c:v>112.4814147149651</c:v>
                </c:pt>
                <c:pt idx="84">
                  <c:v>112.4814147149651</c:v>
                </c:pt>
                <c:pt idx="85">
                  <c:v>112.4814147149651</c:v>
                </c:pt>
                <c:pt idx="86">
                  <c:v>112.4814147149651</c:v>
                </c:pt>
                <c:pt idx="87">
                  <c:v>112.4814147149651</c:v>
                </c:pt>
                <c:pt idx="88">
                  <c:v>112.4814147149651</c:v>
                </c:pt>
                <c:pt idx="89">
                  <c:v>112.4814147149651</c:v>
                </c:pt>
                <c:pt idx="90">
                  <c:v>112.4814147149651</c:v>
                </c:pt>
                <c:pt idx="91">
                  <c:v>112.4814147149651</c:v>
                </c:pt>
                <c:pt idx="92">
                  <c:v>112.4814147149651</c:v>
                </c:pt>
                <c:pt idx="93">
                  <c:v>112.4814147149651</c:v>
                </c:pt>
                <c:pt idx="94">
                  <c:v>112.4814147149651</c:v>
                </c:pt>
                <c:pt idx="95">
                  <c:v>112.4814147149651</c:v>
                </c:pt>
                <c:pt idx="96">
                  <c:v>112.4814147149651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Metabolites!$I$4:$I$19</c:f>
                <c:numCache>
                  <c:formatCode>General</c:formatCode>
                  <c:ptCount val="16"/>
                  <c:pt idx="0">
                    <c:v>0.373503637683408</c:v>
                  </c:pt>
                  <c:pt idx="1">
                    <c:v>0.695549522748844</c:v>
                  </c:pt>
                  <c:pt idx="2">
                    <c:v>0.534008683560499</c:v>
                  </c:pt>
                  <c:pt idx="3">
                    <c:v>0.746663555987263</c:v>
                  </c:pt>
                  <c:pt idx="4">
                    <c:v>1.314827788398255</c:v>
                  </c:pt>
                  <c:pt idx="5">
                    <c:v>1.583547369140507</c:v>
                  </c:pt>
                  <c:pt idx="6">
                    <c:v>0.647151424310471</c:v>
                  </c:pt>
                  <c:pt idx="7">
                    <c:v>0.343015675047286</c:v>
                  </c:pt>
                  <c:pt idx="8">
                    <c:v>0.0464463500366526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Metabolites!$I$4:$I$19</c:f>
                <c:numCache>
                  <c:formatCode>General</c:formatCode>
                  <c:ptCount val="16"/>
                  <c:pt idx="0">
                    <c:v>0.373503637683408</c:v>
                  </c:pt>
                  <c:pt idx="1">
                    <c:v>0.695549522748844</c:v>
                  </c:pt>
                  <c:pt idx="2">
                    <c:v>0.534008683560499</c:v>
                  </c:pt>
                  <c:pt idx="3">
                    <c:v>0.746663555987263</c:v>
                  </c:pt>
                  <c:pt idx="4">
                    <c:v>1.314827788398255</c:v>
                  </c:pt>
                  <c:pt idx="5">
                    <c:v>1.583547369140507</c:v>
                  </c:pt>
                  <c:pt idx="6">
                    <c:v>0.647151424310471</c:v>
                  </c:pt>
                  <c:pt idx="7">
                    <c:v>0.343015675047286</c:v>
                  </c:pt>
                  <c:pt idx="8">
                    <c:v>0.0464463500366526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Metabolites!$H$4:$H$19</c:f>
              <c:numCache>
                <c:formatCode>0</c:formatCode>
                <c:ptCount val="16"/>
                <c:pt idx="0">
                  <c:v>80.56172291296626</c:v>
                </c:pt>
                <c:pt idx="1">
                  <c:v>79.67961148061627</c:v>
                </c:pt>
                <c:pt idx="2">
                  <c:v>78.99048742629655</c:v>
                </c:pt>
                <c:pt idx="3">
                  <c:v>75.6886262822576</c:v>
                </c:pt>
                <c:pt idx="4">
                  <c:v>65.96648010423028</c:v>
                </c:pt>
                <c:pt idx="5">
                  <c:v>57.18761760606581</c:v>
                </c:pt>
                <c:pt idx="6">
                  <c:v>29.83475002767416</c:v>
                </c:pt>
                <c:pt idx="7">
                  <c:v>16.15170107018321</c:v>
                </c:pt>
                <c:pt idx="8">
                  <c:v>4.75022967767226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Metabolites!$M$24:$M$39</c:f>
                <c:numCache>
                  <c:formatCode>General</c:formatCode>
                  <c:ptCount val="16"/>
                  <c:pt idx="0">
                    <c:v>0.238428498567529</c:v>
                  </c:pt>
                  <c:pt idx="1">
                    <c:v>0.0655705925365896</c:v>
                  </c:pt>
                  <c:pt idx="2">
                    <c:v>0.0601807866141353</c:v>
                  </c:pt>
                  <c:pt idx="3">
                    <c:v>0.116893717571061</c:v>
                  </c:pt>
                  <c:pt idx="4">
                    <c:v>0.390637403100092</c:v>
                  </c:pt>
                  <c:pt idx="5">
                    <c:v>0.720917257928608</c:v>
                  </c:pt>
                  <c:pt idx="6">
                    <c:v>1.130003645016922</c:v>
                  </c:pt>
                  <c:pt idx="7">
                    <c:v>1.227397367255798</c:v>
                  </c:pt>
                  <c:pt idx="8">
                    <c:v>0.464264172574572</c:v>
                  </c:pt>
                  <c:pt idx="9">
                    <c:v>0.268503893946187</c:v>
                  </c:pt>
                  <c:pt idx="10">
                    <c:v>0.486837146568521</c:v>
                  </c:pt>
                  <c:pt idx="11">
                    <c:v>0.288700766644312</c:v>
                  </c:pt>
                  <c:pt idx="12">
                    <c:v>0.635846594032623</c:v>
                  </c:pt>
                  <c:pt idx="13">
                    <c:v>1.740803248758113</c:v>
                  </c:pt>
                  <c:pt idx="14">
                    <c:v>0.180660630395216</c:v>
                  </c:pt>
                  <c:pt idx="15">
                    <c:v>0.420180924702138</c:v>
                  </c:pt>
                </c:numCache>
              </c:numRef>
            </c:plus>
            <c:minus>
              <c:numRef>
                <c:f>Metabolites!$M$24:$M$39</c:f>
                <c:numCache>
                  <c:formatCode>General</c:formatCode>
                  <c:ptCount val="16"/>
                  <c:pt idx="0">
                    <c:v>0.238428498567529</c:v>
                  </c:pt>
                  <c:pt idx="1">
                    <c:v>0.0655705925365896</c:v>
                  </c:pt>
                  <c:pt idx="2">
                    <c:v>0.0601807866141353</c:v>
                  </c:pt>
                  <c:pt idx="3">
                    <c:v>0.116893717571061</c:v>
                  </c:pt>
                  <c:pt idx="4">
                    <c:v>0.390637403100092</c:v>
                  </c:pt>
                  <c:pt idx="5">
                    <c:v>0.720917257928608</c:v>
                  </c:pt>
                  <c:pt idx="6">
                    <c:v>1.130003645016922</c:v>
                  </c:pt>
                  <c:pt idx="7">
                    <c:v>1.227397367255798</c:v>
                  </c:pt>
                  <c:pt idx="8">
                    <c:v>0.464264172574572</c:v>
                  </c:pt>
                  <c:pt idx="9">
                    <c:v>0.268503893946187</c:v>
                  </c:pt>
                  <c:pt idx="10">
                    <c:v>0.486837146568521</c:v>
                  </c:pt>
                  <c:pt idx="11">
                    <c:v>0.288700766644312</c:v>
                  </c:pt>
                  <c:pt idx="12">
                    <c:v>0.635846594032623</c:v>
                  </c:pt>
                  <c:pt idx="13">
                    <c:v>1.740803248758113</c:v>
                  </c:pt>
                  <c:pt idx="14">
                    <c:v>0.180660630395216</c:v>
                  </c:pt>
                  <c:pt idx="15">
                    <c:v>0.420180924702138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Metabolites!$L$24:$L$39</c:f>
              <c:numCache>
                <c:formatCode>0</c:formatCode>
                <c:ptCount val="16"/>
                <c:pt idx="0">
                  <c:v>2.595240797487989</c:v>
                </c:pt>
                <c:pt idx="1">
                  <c:v>3.604005368783092</c:v>
                </c:pt>
                <c:pt idx="2">
                  <c:v>5.026910044834221</c:v>
                </c:pt>
                <c:pt idx="3">
                  <c:v>8.071425866063316</c:v>
                </c:pt>
                <c:pt idx="4">
                  <c:v>17.10500289569467</c:v>
                </c:pt>
                <c:pt idx="5">
                  <c:v>25.80236249547665</c:v>
                </c:pt>
                <c:pt idx="6">
                  <c:v>50.32701573490344</c:v>
                </c:pt>
                <c:pt idx="7">
                  <c:v>60.28875766375978</c:v>
                </c:pt>
                <c:pt idx="8">
                  <c:v>67.84912867854293</c:v>
                </c:pt>
                <c:pt idx="9">
                  <c:v>70.09393329434463</c:v>
                </c:pt>
                <c:pt idx="10">
                  <c:v>70.58043071226614</c:v>
                </c:pt>
                <c:pt idx="11">
                  <c:v>70.69675294093977</c:v>
                </c:pt>
                <c:pt idx="12">
                  <c:v>71.46851179249991</c:v>
                </c:pt>
                <c:pt idx="13">
                  <c:v>72.73644222260712</c:v>
                </c:pt>
                <c:pt idx="14">
                  <c:v>73.43836205105207</c:v>
                </c:pt>
                <c:pt idx="15">
                  <c:v>74.88208351637634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'H2'!$G$106:$G$202</c:f>
              <c:numCache>
                <c:formatCode>0.0</c:formatCode>
                <c:ptCount val="97"/>
                <c:pt idx="0">
                  <c:v>0.0</c:v>
                </c:pt>
                <c:pt idx="1">
                  <c:v>0.0964421280570652</c:v>
                </c:pt>
                <c:pt idx="2">
                  <c:v>0.484750233525815</c:v>
                </c:pt>
                <c:pt idx="3">
                  <c:v>1.070860967221468</c:v>
                </c:pt>
                <c:pt idx="4">
                  <c:v>1.752623080171982</c:v>
                </c:pt>
                <c:pt idx="5">
                  <c:v>2.58761593249428</c:v>
                </c:pt>
                <c:pt idx="6">
                  <c:v>3.776942100123356</c:v>
                </c:pt>
                <c:pt idx="7">
                  <c:v>5.647356849301765</c:v>
                </c:pt>
                <c:pt idx="8">
                  <c:v>8.103115396007588</c:v>
                </c:pt>
                <c:pt idx="9">
                  <c:v>11.18052617643093</c:v>
                </c:pt>
                <c:pt idx="10">
                  <c:v>15.30892550675789</c:v>
                </c:pt>
                <c:pt idx="11">
                  <c:v>20.53746941981643</c:v>
                </c:pt>
                <c:pt idx="12">
                  <c:v>26.49249029878022</c:v>
                </c:pt>
                <c:pt idx="13">
                  <c:v>32.71244465893382</c:v>
                </c:pt>
                <c:pt idx="14">
                  <c:v>39.19966437101758</c:v>
                </c:pt>
                <c:pt idx="15">
                  <c:v>46.50252304338076</c:v>
                </c:pt>
                <c:pt idx="16">
                  <c:v>54.46110038352151</c:v>
                </c:pt>
                <c:pt idx="17">
                  <c:v>62.69819680222666</c:v>
                </c:pt>
                <c:pt idx="18">
                  <c:v>71.23570533199565</c:v>
                </c:pt>
                <c:pt idx="19">
                  <c:v>79.88997707976208</c:v>
                </c:pt>
                <c:pt idx="20">
                  <c:v>88.62147773006183</c:v>
                </c:pt>
                <c:pt idx="21">
                  <c:v>97.80093871802688</c:v>
                </c:pt>
                <c:pt idx="22">
                  <c:v>107.4965147108487</c:v>
                </c:pt>
                <c:pt idx="23">
                  <c:v>117.4893652994736</c:v>
                </c:pt>
                <c:pt idx="24">
                  <c:v>127.8266719789443</c:v>
                </c:pt>
                <c:pt idx="25">
                  <c:v>138.221643578116</c:v>
                </c:pt>
                <c:pt idx="26">
                  <c:v>148.9322193793287</c:v>
                </c:pt>
                <c:pt idx="27">
                  <c:v>159.6528911778332</c:v>
                </c:pt>
                <c:pt idx="28">
                  <c:v>169.6727865245317</c:v>
                </c:pt>
                <c:pt idx="29">
                  <c:v>177.0336739296501</c:v>
                </c:pt>
                <c:pt idx="30">
                  <c:v>180.2697937216243</c:v>
                </c:pt>
                <c:pt idx="31">
                  <c:v>181.2093474043041</c:v>
                </c:pt>
                <c:pt idx="32">
                  <c:v>181.4629059695563</c:v>
                </c:pt>
                <c:pt idx="33">
                  <c:v>181.5695377269747</c:v>
                </c:pt>
                <c:pt idx="34">
                  <c:v>181.6341081178144</c:v>
                </c:pt>
                <c:pt idx="35">
                  <c:v>181.6963969247641</c:v>
                </c:pt>
                <c:pt idx="36">
                  <c:v>181.7558367212658</c:v>
                </c:pt>
                <c:pt idx="37">
                  <c:v>181.8054860116721</c:v>
                </c:pt>
                <c:pt idx="38">
                  <c:v>181.8551366592293</c:v>
                </c:pt>
                <c:pt idx="39">
                  <c:v>181.9098894499455</c:v>
                </c:pt>
                <c:pt idx="40">
                  <c:v>181.9647247644299</c:v>
                </c:pt>
                <c:pt idx="41">
                  <c:v>182.0145824626393</c:v>
                </c:pt>
                <c:pt idx="42">
                  <c:v>182.060997387833</c:v>
                </c:pt>
                <c:pt idx="43">
                  <c:v>182.1049652609277</c:v>
                </c:pt>
                <c:pt idx="44">
                  <c:v>182.1489331340223</c:v>
                </c:pt>
                <c:pt idx="45">
                  <c:v>182.1904534608636</c:v>
                </c:pt>
                <c:pt idx="46">
                  <c:v>182.2295682445671</c:v>
                </c:pt>
                <c:pt idx="47">
                  <c:v>182.2688075551545</c:v>
                </c:pt>
                <c:pt idx="48">
                  <c:v>182.3115415983226</c:v>
                </c:pt>
                <c:pt idx="49">
                  <c:v>182.3557482333605</c:v>
                </c:pt>
                <c:pt idx="50">
                  <c:v>182.3979316130893</c:v>
                </c:pt>
                <c:pt idx="51">
                  <c:v>182.4399829388585</c:v>
                </c:pt>
                <c:pt idx="52">
                  <c:v>182.4885882284069</c:v>
                </c:pt>
                <c:pt idx="53">
                  <c:v>182.536181628289</c:v>
                </c:pt>
                <c:pt idx="54">
                  <c:v>182.5748896831769</c:v>
                </c:pt>
                <c:pt idx="55">
                  <c:v>182.6133336301457</c:v>
                </c:pt>
                <c:pt idx="56">
                  <c:v>182.6525693768483</c:v>
                </c:pt>
                <c:pt idx="57">
                  <c:v>182.6915415396554</c:v>
                </c:pt>
                <c:pt idx="58">
                  <c:v>182.7272584675542</c:v>
                </c:pt>
                <c:pt idx="59">
                  <c:v>182.7605999962518</c:v>
                </c:pt>
                <c:pt idx="60">
                  <c:v>182.7936497478677</c:v>
                </c:pt>
                <c:pt idx="61">
                  <c:v>182.8286786130867</c:v>
                </c:pt>
                <c:pt idx="62">
                  <c:v>182.864931365576</c:v>
                </c:pt>
                <c:pt idx="63">
                  <c:v>182.897794028853</c:v>
                </c:pt>
                <c:pt idx="64">
                  <c:v>182.9297626149951</c:v>
                </c:pt>
                <c:pt idx="65">
                  <c:v>182.9658274654515</c:v>
                </c:pt>
                <c:pt idx="66">
                  <c:v>183.00165673724</c:v>
                </c:pt>
                <c:pt idx="67">
                  <c:v>183.0324956675791</c:v>
                </c:pt>
                <c:pt idx="68">
                  <c:v>183.0611689568779</c:v>
                </c:pt>
                <c:pt idx="69">
                  <c:v>183.0868285219317</c:v>
                </c:pt>
                <c:pt idx="70">
                  <c:v>183.1106045794451</c:v>
                </c:pt>
                <c:pt idx="71">
                  <c:v>183.1327332689876</c:v>
                </c:pt>
                <c:pt idx="72">
                  <c:v>183.1536851869936</c:v>
                </c:pt>
                <c:pt idx="73">
                  <c:v>183.1736011197622</c:v>
                </c:pt>
                <c:pt idx="74">
                  <c:v>183.1924339515598</c:v>
                </c:pt>
                <c:pt idx="75">
                  <c:v>183.2094775072842</c:v>
                </c:pt>
                <c:pt idx="76">
                  <c:v>183.226709525943</c:v>
                </c:pt>
                <c:pt idx="77">
                  <c:v>183.2446477197041</c:v>
                </c:pt>
                <c:pt idx="78">
                  <c:v>183.2617855068956</c:v>
                </c:pt>
                <c:pt idx="79">
                  <c:v>183.2784055819193</c:v>
                </c:pt>
                <c:pt idx="80">
                  <c:v>183.2939896717057</c:v>
                </c:pt>
                <c:pt idx="81">
                  <c:v>183.3085848919882</c:v>
                </c:pt>
                <c:pt idx="82">
                  <c:v>183.3183305571205</c:v>
                </c:pt>
                <c:pt idx="83">
                  <c:v>183.3276056258186</c:v>
                </c:pt>
                <c:pt idx="84">
                  <c:v>183.3377282168197</c:v>
                </c:pt>
                <c:pt idx="85">
                  <c:v>183.3450255465102</c:v>
                </c:pt>
                <c:pt idx="86">
                  <c:v>183.3551481375112</c:v>
                </c:pt>
                <c:pt idx="87">
                  <c:v>183.3654120757131</c:v>
                </c:pt>
                <c:pt idx="88">
                  <c:v>183.373227678473</c:v>
                </c:pt>
                <c:pt idx="89">
                  <c:v>183.3830210202406</c:v>
                </c:pt>
                <c:pt idx="90">
                  <c:v>183.3916370295699</c:v>
                </c:pt>
                <c:pt idx="91">
                  <c:v>183.3997818815635</c:v>
                </c:pt>
                <c:pt idx="92">
                  <c:v>183.4097631253638</c:v>
                </c:pt>
                <c:pt idx="93">
                  <c:v>183.4197914848976</c:v>
                </c:pt>
                <c:pt idx="94">
                  <c:v>183.4262412922851</c:v>
                </c:pt>
                <c:pt idx="95">
                  <c:v>183.4288775297597</c:v>
                </c:pt>
                <c:pt idx="96">
                  <c:v>183.4329514931429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80328"/>
        <c:axId val="212764160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11749.0</c:v>
                </c:pt>
                <c:pt idx="1">
                  <c:v>13236.0</c:v>
                </c:pt>
                <c:pt idx="2">
                  <c:v>21583.0</c:v>
                </c:pt>
                <c:pt idx="3">
                  <c:v>62337.0</c:v>
                </c:pt>
                <c:pt idx="4">
                  <c:v>14560.0</c:v>
                </c:pt>
                <c:pt idx="5">
                  <c:v>20216.0</c:v>
                </c:pt>
                <c:pt idx="6">
                  <c:v>29569.0</c:v>
                </c:pt>
                <c:pt idx="7">
                  <c:v>28635.0</c:v>
                </c:pt>
                <c:pt idx="8">
                  <c:v>29758.0</c:v>
                </c:pt>
                <c:pt idx="9">
                  <c:v>29106.0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cytometer'!$X$4:$X$19</c:f>
                <c:numCache>
                  <c:formatCode>General</c:formatCode>
                  <c:ptCount val="16"/>
                  <c:pt idx="0">
                    <c:v>0.0102232585152976</c:v>
                  </c:pt>
                  <c:pt idx="1">
                    <c:v>0.0183074338998983</c:v>
                  </c:pt>
                  <c:pt idx="2">
                    <c:v>0.00573146538321123</c:v>
                  </c:pt>
                  <c:pt idx="3">
                    <c:v>0.0283608215201751</c:v>
                  </c:pt>
                  <c:pt idx="4">
                    <c:v>0.00799787307746188</c:v>
                  </c:pt>
                  <c:pt idx="5">
                    <c:v>0.00737612680381744</c:v>
                  </c:pt>
                  <c:pt idx="6">
                    <c:v>0.0149158961791273</c:v>
                  </c:pt>
                  <c:pt idx="7">
                    <c:v>0.0119875266282879</c:v>
                  </c:pt>
                  <c:pt idx="8">
                    <c:v>0.0450206997046554</c:v>
                  </c:pt>
                  <c:pt idx="9">
                    <c:v>0.0172514784219327</c:v>
                  </c:pt>
                  <c:pt idx="10">
                    <c:v>0.0131468324320199</c:v>
                  </c:pt>
                  <c:pt idx="11">
                    <c:v>0.0169597816775097</c:v>
                  </c:pt>
                  <c:pt idx="12">
                    <c:v>0.0421491984326444</c:v>
                  </c:pt>
                  <c:pt idx="13">
                    <c:v>0.00253664970754385</c:v>
                  </c:pt>
                  <c:pt idx="14">
                    <c:v>0.00851711855844009</c:v>
                  </c:pt>
                  <c:pt idx="15">
                    <c:v>0.0443039032208242</c:v>
                  </c:pt>
                </c:numCache>
              </c:numRef>
            </c:plus>
            <c:minus>
              <c:numRef>
                <c:f>'Flow cytometer'!$X$4:$X$19</c:f>
                <c:numCache>
                  <c:formatCode>General</c:formatCode>
                  <c:ptCount val="16"/>
                  <c:pt idx="0">
                    <c:v>0.0102232585152976</c:v>
                  </c:pt>
                  <c:pt idx="1">
                    <c:v>0.0183074338998983</c:v>
                  </c:pt>
                  <c:pt idx="2">
                    <c:v>0.00573146538321123</c:v>
                  </c:pt>
                  <c:pt idx="3">
                    <c:v>0.0283608215201751</c:v>
                  </c:pt>
                  <c:pt idx="4">
                    <c:v>0.00799787307746188</c:v>
                  </c:pt>
                  <c:pt idx="5">
                    <c:v>0.00737612680381744</c:v>
                  </c:pt>
                  <c:pt idx="6">
                    <c:v>0.0149158961791273</c:v>
                  </c:pt>
                  <c:pt idx="7">
                    <c:v>0.0119875266282879</c:v>
                  </c:pt>
                  <c:pt idx="8">
                    <c:v>0.0450206997046554</c:v>
                  </c:pt>
                  <c:pt idx="9">
                    <c:v>0.0172514784219327</c:v>
                  </c:pt>
                  <c:pt idx="10">
                    <c:v>0.0131468324320199</c:v>
                  </c:pt>
                  <c:pt idx="11">
                    <c:v>0.0169597816775097</c:v>
                  </c:pt>
                  <c:pt idx="12">
                    <c:v>0.0421491984326444</c:v>
                  </c:pt>
                  <c:pt idx="13">
                    <c:v>0.00253664970754385</c:v>
                  </c:pt>
                  <c:pt idx="14">
                    <c:v>0.00851711855844009</c:v>
                  </c:pt>
                  <c:pt idx="15">
                    <c:v>0.0443039032208242</c:v>
                  </c:pt>
                </c:numCache>
              </c:numRef>
            </c:minus>
          </c:errBars>
          <c:xVal>
            <c:numRef>
              <c:f>'Flow cytometer'!$D$4:$D$19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'Flow cytometer'!$S$4:$S$19</c:f>
              <c:numCache>
                <c:formatCode>0.00</c:formatCode>
                <c:ptCount val="16"/>
                <c:pt idx="0">
                  <c:v>8.24501745908429</c:v>
                </c:pt>
                <c:pt idx="1">
                  <c:v>8.30652015829379</c:v>
                </c:pt>
                <c:pt idx="2">
                  <c:v>8.492466229138287</c:v>
                </c:pt>
                <c:pt idx="3">
                  <c:v>8.949505477754847</c:v>
                </c:pt>
                <c:pt idx="4">
                  <c:v>9.321485769928027</c:v>
                </c:pt>
                <c:pt idx="5">
                  <c:v>9.477506702156595</c:v>
                </c:pt>
                <c:pt idx="6">
                  <c:v>9.643072995139438</c:v>
                </c:pt>
                <c:pt idx="7">
                  <c:v>9.645774700142985</c:v>
                </c:pt>
                <c:pt idx="8">
                  <c:v>9.630198103122046</c:v>
                </c:pt>
                <c:pt idx="9">
                  <c:v>9.653782771233878</c:v>
                </c:pt>
                <c:pt idx="10">
                  <c:v>9.596339176463034</c:v>
                </c:pt>
                <c:pt idx="11">
                  <c:v>9.567431469779567</c:v>
                </c:pt>
                <c:pt idx="12">
                  <c:v>9.550288224337364</c:v>
                </c:pt>
                <c:pt idx="13">
                  <c:v>9.586345084997223</c:v>
                </c:pt>
                <c:pt idx="14">
                  <c:v>9.518282445034698</c:v>
                </c:pt>
                <c:pt idx="15">
                  <c:v>9.18183922935374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85768"/>
        <c:axId val="2131039944"/>
      </c:scatterChart>
      <c:valAx>
        <c:axId val="213738032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27641608"/>
        <c:crosses val="autoZero"/>
        <c:crossBetween val="midCat"/>
        <c:majorUnit val="6.0"/>
      </c:valAx>
      <c:valAx>
        <c:axId val="2127641608"/>
        <c:scaling>
          <c:orientation val="minMax"/>
          <c:max val="1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7380328"/>
        <c:crosses val="autoZero"/>
        <c:crossBetween val="midCat"/>
      </c:valAx>
      <c:valAx>
        <c:axId val="2131039944"/>
        <c:scaling>
          <c:orientation val="minMax"/>
          <c:max val="10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40585768"/>
        <c:crosses val="max"/>
        <c:crossBetween val="midCat"/>
        <c:majorUnit val="1.0"/>
        <c:minorUnit val="0.2"/>
      </c:valAx>
      <c:valAx>
        <c:axId val="2140585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3103994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Metabolites!$M$4:$M$19</c:f>
                <c:numCache>
                  <c:formatCode>General</c:formatCode>
                  <c:ptCount val="16"/>
                  <c:pt idx="0">
                    <c:v>0.0128186116605157</c:v>
                  </c:pt>
                  <c:pt idx="1">
                    <c:v>0.0222175698895667</c:v>
                  </c:pt>
                  <c:pt idx="2">
                    <c:v>0.0</c:v>
                  </c:pt>
                  <c:pt idx="3">
                    <c:v>0.0222810203951303</c:v>
                  </c:pt>
                  <c:pt idx="4">
                    <c:v>0.025804820763821</c:v>
                  </c:pt>
                  <c:pt idx="5">
                    <c:v>1.90651247023761E-16</c:v>
                  </c:pt>
                  <c:pt idx="6">
                    <c:v>0.104035510723071</c:v>
                  </c:pt>
                  <c:pt idx="7">
                    <c:v>0.171507837523643</c:v>
                  </c:pt>
                  <c:pt idx="8">
                    <c:v>0.105330421288833</c:v>
                  </c:pt>
                  <c:pt idx="9">
                    <c:v>0.389911859833506</c:v>
                  </c:pt>
                  <c:pt idx="10">
                    <c:v>0.087934078448191</c:v>
                  </c:pt>
                  <c:pt idx="11">
                    <c:v>0.121023017075443</c:v>
                  </c:pt>
                  <c:pt idx="12">
                    <c:v>0.158841817717336</c:v>
                  </c:pt>
                  <c:pt idx="13">
                    <c:v>0.230915835001438</c:v>
                  </c:pt>
                  <c:pt idx="14">
                    <c:v>0.0619258444050867</c:v>
                  </c:pt>
                  <c:pt idx="15">
                    <c:v>0.105542458737222</c:v>
                  </c:pt>
                </c:numCache>
              </c:numRef>
            </c:plus>
            <c:minus>
              <c:numRef>
                <c:f>Metabolites!$M$4:$M$19</c:f>
                <c:numCache>
                  <c:formatCode>General</c:formatCode>
                  <c:ptCount val="16"/>
                  <c:pt idx="0">
                    <c:v>0.0128186116605157</c:v>
                  </c:pt>
                  <c:pt idx="1">
                    <c:v>0.0222175698895667</c:v>
                  </c:pt>
                  <c:pt idx="2">
                    <c:v>0.0</c:v>
                  </c:pt>
                  <c:pt idx="3">
                    <c:v>0.0222810203951303</c:v>
                  </c:pt>
                  <c:pt idx="4">
                    <c:v>0.025804820763821</c:v>
                  </c:pt>
                  <c:pt idx="5">
                    <c:v>1.90651247023761E-16</c:v>
                  </c:pt>
                  <c:pt idx="6">
                    <c:v>0.104035510723071</c:v>
                  </c:pt>
                  <c:pt idx="7">
                    <c:v>0.171507837523643</c:v>
                  </c:pt>
                  <c:pt idx="8">
                    <c:v>0.105330421288833</c:v>
                  </c:pt>
                  <c:pt idx="9">
                    <c:v>0.389911859833506</c:v>
                  </c:pt>
                  <c:pt idx="10">
                    <c:v>0.087934078448191</c:v>
                  </c:pt>
                  <c:pt idx="11">
                    <c:v>0.121023017075443</c:v>
                  </c:pt>
                  <c:pt idx="12">
                    <c:v>0.158841817717336</c:v>
                  </c:pt>
                  <c:pt idx="13">
                    <c:v>0.230915835001438</c:v>
                  </c:pt>
                  <c:pt idx="14">
                    <c:v>0.0619258444050867</c:v>
                  </c:pt>
                  <c:pt idx="15">
                    <c:v>0.105542458737222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Metabolites!$L$4:$L$19</c:f>
              <c:numCache>
                <c:formatCode>0</c:formatCode>
                <c:ptCount val="16"/>
                <c:pt idx="0">
                  <c:v>0.769686204854944</c:v>
                </c:pt>
                <c:pt idx="1">
                  <c:v>0.777614946134837</c:v>
                </c:pt>
                <c:pt idx="2">
                  <c:v>0.800955087976718</c:v>
                </c:pt>
                <c:pt idx="3">
                  <c:v>0.75755469343443</c:v>
                </c:pt>
                <c:pt idx="4">
                  <c:v>0.879006792648543</c:v>
                </c:pt>
                <c:pt idx="5">
                  <c:v>1.031957009432767</c:v>
                </c:pt>
                <c:pt idx="6">
                  <c:v>5.108042173412823</c:v>
                </c:pt>
                <c:pt idx="7">
                  <c:v>8.94989330698669</c:v>
                </c:pt>
                <c:pt idx="8">
                  <c:v>12.20502560730953</c:v>
                </c:pt>
                <c:pt idx="9">
                  <c:v>13.93573015893559</c:v>
                </c:pt>
                <c:pt idx="10">
                  <c:v>14.09073831012452</c:v>
                </c:pt>
                <c:pt idx="11">
                  <c:v>14.51022477872715</c:v>
                </c:pt>
                <c:pt idx="12">
                  <c:v>14.84918948674451</c:v>
                </c:pt>
                <c:pt idx="13">
                  <c:v>14.91727686919086</c:v>
                </c:pt>
                <c:pt idx="14">
                  <c:v>14.83925763870346</c:v>
                </c:pt>
                <c:pt idx="15">
                  <c:v>14.9640884074833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Metabolites!$Q$4:$Q$19</c:f>
                <c:numCache>
                  <c:formatCode>General</c:formatCode>
                  <c:ptCount val="16"/>
                  <c:pt idx="0">
                    <c:v>0.397347325410457</c:v>
                  </c:pt>
                  <c:pt idx="1">
                    <c:v>0.75731577316663</c:v>
                  </c:pt>
                  <c:pt idx="2">
                    <c:v>0.55144519016616</c:v>
                  </c:pt>
                  <c:pt idx="3">
                    <c:v>0.80239333243663</c:v>
                  </c:pt>
                  <c:pt idx="4">
                    <c:v>1.388825439169176</c:v>
                  </c:pt>
                  <c:pt idx="5">
                    <c:v>2.004805010412763</c:v>
                  </c:pt>
                  <c:pt idx="6">
                    <c:v>1.364913589351608</c:v>
                  </c:pt>
                  <c:pt idx="7">
                    <c:v>1.235438660248283</c:v>
                  </c:pt>
                  <c:pt idx="8">
                    <c:v>0.431107257062349</c:v>
                  </c:pt>
                  <c:pt idx="9">
                    <c:v>0.694030887717793</c:v>
                  </c:pt>
                  <c:pt idx="10">
                    <c:v>0.312281945112226</c:v>
                  </c:pt>
                  <c:pt idx="11">
                    <c:v>0.301226560867766</c:v>
                  </c:pt>
                  <c:pt idx="12">
                    <c:v>0.667858000842241</c:v>
                  </c:pt>
                  <c:pt idx="13">
                    <c:v>1.462192555964636</c:v>
                  </c:pt>
                  <c:pt idx="14">
                    <c:v>0.228443873838575</c:v>
                  </c:pt>
                  <c:pt idx="15">
                    <c:v>0.438999551941931</c:v>
                  </c:pt>
                </c:numCache>
              </c:numRef>
            </c:plus>
            <c:minus>
              <c:numRef>
                <c:f>Metabolites!$Q$4:$Q$19</c:f>
                <c:numCache>
                  <c:formatCode>General</c:formatCode>
                  <c:ptCount val="16"/>
                  <c:pt idx="0">
                    <c:v>0.397347325410457</c:v>
                  </c:pt>
                  <c:pt idx="1">
                    <c:v>0.75731577316663</c:v>
                  </c:pt>
                  <c:pt idx="2">
                    <c:v>0.55144519016616</c:v>
                  </c:pt>
                  <c:pt idx="3">
                    <c:v>0.80239333243663</c:v>
                  </c:pt>
                  <c:pt idx="4">
                    <c:v>1.388825439169176</c:v>
                  </c:pt>
                  <c:pt idx="5">
                    <c:v>2.004805010412763</c:v>
                  </c:pt>
                  <c:pt idx="6">
                    <c:v>1.364913589351608</c:v>
                  </c:pt>
                  <c:pt idx="7">
                    <c:v>1.235438660248283</c:v>
                  </c:pt>
                  <c:pt idx="8">
                    <c:v>0.431107257062349</c:v>
                  </c:pt>
                  <c:pt idx="9">
                    <c:v>0.694030887717793</c:v>
                  </c:pt>
                  <c:pt idx="10">
                    <c:v>0.312281945112226</c:v>
                  </c:pt>
                  <c:pt idx="11">
                    <c:v>0.301226560867766</c:v>
                  </c:pt>
                  <c:pt idx="12">
                    <c:v>0.667858000842241</c:v>
                  </c:pt>
                  <c:pt idx="13">
                    <c:v>1.462192555964636</c:v>
                  </c:pt>
                  <c:pt idx="14">
                    <c:v>0.228443873838575</c:v>
                  </c:pt>
                  <c:pt idx="15">
                    <c:v>0.438999551941931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Metabolites!$P$4:$P$19</c:f>
              <c:numCache>
                <c:formatCode>0</c:formatCode>
                <c:ptCount val="16"/>
                <c:pt idx="0">
                  <c:v>80.12212045517625</c:v>
                </c:pt>
                <c:pt idx="1">
                  <c:v>79.29890851826377</c:v>
                </c:pt>
                <c:pt idx="2">
                  <c:v>78.99858046402977</c:v>
                </c:pt>
                <c:pt idx="3">
                  <c:v>78.46696872602092</c:v>
                </c:pt>
                <c:pt idx="4">
                  <c:v>74.16472782559434</c:v>
                </c:pt>
                <c:pt idx="5">
                  <c:v>70.30036491288813</c:v>
                </c:pt>
                <c:pt idx="6">
                  <c:v>61.96966686767021</c:v>
                </c:pt>
                <c:pt idx="7">
                  <c:v>62.31756722043959</c:v>
                </c:pt>
                <c:pt idx="8">
                  <c:v>65.05111068207405</c:v>
                </c:pt>
                <c:pt idx="9">
                  <c:v>66.13672673160245</c:v>
                </c:pt>
                <c:pt idx="10">
                  <c:v>65.87398693367217</c:v>
                </c:pt>
                <c:pt idx="11">
                  <c:v>65.87029453225529</c:v>
                </c:pt>
                <c:pt idx="12">
                  <c:v>66.22997229365529</c:v>
                </c:pt>
                <c:pt idx="13">
                  <c:v>65.92600810362026</c:v>
                </c:pt>
                <c:pt idx="14">
                  <c:v>65.04824303921915</c:v>
                </c:pt>
                <c:pt idx="15">
                  <c:v>64.50988046638646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0.0252498181012925</c:v>
                  </c:pt>
                  <c:pt idx="5">
                    <c:v>3.73101549682823E-16</c:v>
                  </c:pt>
                  <c:pt idx="6">
                    <c:v>0.117546141762368</c:v>
                  </c:pt>
                  <c:pt idx="7">
                    <c:v>0.136617721237393</c:v>
                  </c:pt>
                  <c:pt idx="8">
                    <c:v>0.0687100032565579</c:v>
                  </c:pt>
                  <c:pt idx="9">
                    <c:v>0.0691239189388263</c:v>
                  </c:pt>
                  <c:pt idx="10">
                    <c:v>0.026242813337335</c:v>
                  </c:pt>
                  <c:pt idx="11">
                    <c:v>0.172562767239624</c:v>
                  </c:pt>
                  <c:pt idx="12">
                    <c:v>0.27400389002443</c:v>
                  </c:pt>
                  <c:pt idx="13">
                    <c:v>0.235051614253329</c:v>
                  </c:pt>
                  <c:pt idx="14">
                    <c:v>0.0458047291916467</c:v>
                  </c:pt>
                  <c:pt idx="15">
                    <c:v>0.115272707249782</c:v>
                  </c:pt>
                </c:numCache>
              </c:numRef>
            </c:plus>
            <c:min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0.0252498181012925</c:v>
                  </c:pt>
                  <c:pt idx="5">
                    <c:v>3.73101549682823E-16</c:v>
                  </c:pt>
                  <c:pt idx="6">
                    <c:v>0.117546141762368</c:v>
                  </c:pt>
                  <c:pt idx="7">
                    <c:v>0.136617721237393</c:v>
                  </c:pt>
                  <c:pt idx="8">
                    <c:v>0.0687100032565579</c:v>
                  </c:pt>
                  <c:pt idx="9">
                    <c:v>0.0691239189388263</c:v>
                  </c:pt>
                  <c:pt idx="10">
                    <c:v>0.026242813337335</c:v>
                  </c:pt>
                  <c:pt idx="11">
                    <c:v>0.172562767239624</c:v>
                  </c:pt>
                  <c:pt idx="12">
                    <c:v>0.27400389002443</c:v>
                  </c:pt>
                  <c:pt idx="13">
                    <c:v>0.235051614253329</c:v>
                  </c:pt>
                  <c:pt idx="14">
                    <c:v>0.0458047291916467</c:v>
                  </c:pt>
                  <c:pt idx="15">
                    <c:v>0.115272707249782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Metabolites!$T$4:$T$19</c:f>
              <c:numCache>
                <c:formatCode>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0.772633431721828</c:v>
                </c:pt>
                <c:pt idx="5">
                  <c:v>2.019523949808899</c:v>
                </c:pt>
                <c:pt idx="6">
                  <c:v>5.375820128583222</c:v>
                </c:pt>
                <c:pt idx="7">
                  <c:v>7.125170984448192</c:v>
                </c:pt>
                <c:pt idx="8">
                  <c:v>10.46563886023045</c:v>
                </c:pt>
                <c:pt idx="9">
                  <c:v>12.42927842267573</c:v>
                </c:pt>
                <c:pt idx="10">
                  <c:v>12.24224663843959</c:v>
                </c:pt>
                <c:pt idx="11">
                  <c:v>12.23061010754184</c:v>
                </c:pt>
                <c:pt idx="12">
                  <c:v>12.4215096811075</c:v>
                </c:pt>
                <c:pt idx="13">
                  <c:v>12.48942282625565</c:v>
                </c:pt>
                <c:pt idx="14">
                  <c:v>12.22986269416965</c:v>
                </c:pt>
                <c:pt idx="15">
                  <c:v>12.21459445110577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'CO2'!$G$108:$G$204</c:f>
              <c:numCache>
                <c:formatCode>0.0</c:formatCode>
                <c:ptCount val="97"/>
                <c:pt idx="0">
                  <c:v>0.0</c:v>
                </c:pt>
                <c:pt idx="1">
                  <c:v>0.0663418181046195</c:v>
                </c:pt>
                <c:pt idx="2">
                  <c:v>0.213037003226902</c:v>
                </c:pt>
                <c:pt idx="3">
                  <c:v>0.392154594089674</c:v>
                </c:pt>
                <c:pt idx="4">
                  <c:v>0.61241511593607</c:v>
                </c:pt>
                <c:pt idx="5">
                  <c:v>0.866362846601473</c:v>
                </c:pt>
                <c:pt idx="6">
                  <c:v>1.155504535764088</c:v>
                </c:pt>
                <c:pt idx="7">
                  <c:v>1.530171864951805</c:v>
                </c:pt>
                <c:pt idx="8">
                  <c:v>2.039778420987454</c:v>
                </c:pt>
                <c:pt idx="9">
                  <c:v>2.726318011223986</c:v>
                </c:pt>
                <c:pt idx="10">
                  <c:v>3.668432207906424</c:v>
                </c:pt>
                <c:pt idx="11">
                  <c:v>4.963386797623185</c:v>
                </c:pt>
                <c:pt idx="12">
                  <c:v>6.68517762609952</c:v>
                </c:pt>
                <c:pt idx="13">
                  <c:v>8.799667493986185</c:v>
                </c:pt>
                <c:pt idx="14">
                  <c:v>11.24711594433582</c:v>
                </c:pt>
                <c:pt idx="15">
                  <c:v>14.06566511302316</c:v>
                </c:pt>
                <c:pt idx="16">
                  <c:v>17.26579762282086</c:v>
                </c:pt>
                <c:pt idx="17">
                  <c:v>20.79343694095314</c:v>
                </c:pt>
                <c:pt idx="18">
                  <c:v>24.56893004773103</c:v>
                </c:pt>
                <c:pt idx="19">
                  <c:v>28.56790687343062</c:v>
                </c:pt>
                <c:pt idx="20">
                  <c:v>32.84945645497152</c:v>
                </c:pt>
                <c:pt idx="21">
                  <c:v>37.4220631962219</c:v>
                </c:pt>
                <c:pt idx="22">
                  <c:v>42.20611738325505</c:v>
                </c:pt>
                <c:pt idx="23">
                  <c:v>47.10128722622802</c:v>
                </c:pt>
                <c:pt idx="24">
                  <c:v>52.09518826327464</c:v>
                </c:pt>
                <c:pt idx="25">
                  <c:v>57.16496152768386</c:v>
                </c:pt>
                <c:pt idx="26">
                  <c:v>62.25560216878094</c:v>
                </c:pt>
                <c:pt idx="27">
                  <c:v>67.33542941177785</c:v>
                </c:pt>
                <c:pt idx="28">
                  <c:v>72.41203683112154</c:v>
                </c:pt>
                <c:pt idx="29">
                  <c:v>77.35662108940007</c:v>
                </c:pt>
                <c:pt idx="30">
                  <c:v>81.92810395997543</c:v>
                </c:pt>
                <c:pt idx="31">
                  <c:v>86.05945057296705</c:v>
                </c:pt>
                <c:pt idx="32">
                  <c:v>89.80042435649133</c:v>
                </c:pt>
                <c:pt idx="33">
                  <c:v>93.13673169716699</c:v>
                </c:pt>
                <c:pt idx="34">
                  <c:v>96.02031936805174</c:v>
                </c:pt>
                <c:pt idx="35">
                  <c:v>98.47547380496599</c:v>
                </c:pt>
                <c:pt idx="36">
                  <c:v>100.5510861155977</c:v>
                </c:pt>
                <c:pt idx="37">
                  <c:v>102.3326820589199</c:v>
                </c:pt>
                <c:pt idx="38">
                  <c:v>103.8526799346216</c:v>
                </c:pt>
                <c:pt idx="39">
                  <c:v>105.115519912031</c:v>
                </c:pt>
                <c:pt idx="40">
                  <c:v>106.1638618378078</c:v>
                </c:pt>
                <c:pt idx="41">
                  <c:v>107.0344485550103</c:v>
                </c:pt>
                <c:pt idx="42">
                  <c:v>107.7543122805258</c:v>
                </c:pt>
                <c:pt idx="43">
                  <c:v>108.3513944751557</c:v>
                </c:pt>
                <c:pt idx="44">
                  <c:v>108.8532313931745</c:v>
                </c:pt>
                <c:pt idx="45">
                  <c:v>109.27283065825</c:v>
                </c:pt>
                <c:pt idx="46">
                  <c:v>109.6253000498297</c:v>
                </c:pt>
                <c:pt idx="47">
                  <c:v>109.9245396342492</c:v>
                </c:pt>
                <c:pt idx="48">
                  <c:v>110.1864338767998</c:v>
                </c:pt>
                <c:pt idx="49">
                  <c:v>110.4187786264789</c:v>
                </c:pt>
                <c:pt idx="50">
                  <c:v>110.6183645617582</c:v>
                </c:pt>
                <c:pt idx="51">
                  <c:v>110.7891265762189</c:v>
                </c:pt>
                <c:pt idx="52">
                  <c:v>110.9382244049785</c:v>
                </c:pt>
                <c:pt idx="53">
                  <c:v>111.0691286566651</c:v>
                </c:pt>
                <c:pt idx="54">
                  <c:v>111.1847225093961</c:v>
                </c:pt>
                <c:pt idx="55">
                  <c:v>111.2897033111618</c:v>
                </c:pt>
                <c:pt idx="56">
                  <c:v>111.3845531637195</c:v>
                </c:pt>
                <c:pt idx="57">
                  <c:v>111.4699648263333</c:v>
                </c:pt>
                <c:pt idx="58">
                  <c:v>111.5474715922005</c:v>
                </c:pt>
                <c:pt idx="59">
                  <c:v>111.6174586187031</c:v>
                </c:pt>
                <c:pt idx="60">
                  <c:v>111.6831592031327</c:v>
                </c:pt>
                <c:pt idx="61">
                  <c:v>111.7476129657816</c:v>
                </c:pt>
                <c:pt idx="62">
                  <c:v>111.8095897870074</c:v>
                </c:pt>
                <c:pt idx="63">
                  <c:v>111.8668948588873</c:v>
                </c:pt>
                <c:pt idx="64">
                  <c:v>111.9195758580563</c:v>
                </c:pt>
                <c:pt idx="65">
                  <c:v>111.9687113982726</c:v>
                </c:pt>
                <c:pt idx="66">
                  <c:v>112.0150514049627</c:v>
                </c:pt>
                <c:pt idx="67">
                  <c:v>112.0587742448322</c:v>
                </c:pt>
                <c:pt idx="68">
                  <c:v>112.1000016335262</c:v>
                </c:pt>
                <c:pt idx="69">
                  <c:v>112.1388558475914</c:v>
                </c:pt>
                <c:pt idx="70">
                  <c:v>112.1744551497278</c:v>
                </c:pt>
                <c:pt idx="71">
                  <c:v>112.2068180496879</c:v>
                </c:pt>
                <c:pt idx="72">
                  <c:v>112.2376048161791</c:v>
                </c:pt>
                <c:pt idx="73">
                  <c:v>112.2676506316695</c:v>
                </c:pt>
                <c:pt idx="74">
                  <c:v>112.2967586197008</c:v>
                </c:pt>
                <c:pt idx="75">
                  <c:v>112.324168758618</c:v>
                </c:pt>
                <c:pt idx="76">
                  <c:v>112.3491400974205</c:v>
                </c:pt>
                <c:pt idx="77">
                  <c:v>112.3724601419409</c:v>
                </c:pt>
                <c:pt idx="78">
                  <c:v>112.3943633490442</c:v>
                </c:pt>
                <c:pt idx="79">
                  <c:v>112.4144374560612</c:v>
                </c:pt>
                <c:pt idx="80">
                  <c:v>112.4340993004094</c:v>
                </c:pt>
                <c:pt idx="81">
                  <c:v>112.4541644330011</c:v>
                </c:pt>
                <c:pt idx="82">
                  <c:v>112.472784683096</c:v>
                </c:pt>
                <c:pt idx="83">
                  <c:v>112.4814147149651</c:v>
                </c:pt>
                <c:pt idx="84">
                  <c:v>112.4814147149651</c:v>
                </c:pt>
                <c:pt idx="85">
                  <c:v>112.4814147149651</c:v>
                </c:pt>
                <c:pt idx="86">
                  <c:v>112.4814147149651</c:v>
                </c:pt>
                <c:pt idx="87">
                  <c:v>112.4814147149651</c:v>
                </c:pt>
                <c:pt idx="88">
                  <c:v>112.4814147149651</c:v>
                </c:pt>
                <c:pt idx="89">
                  <c:v>112.4814147149651</c:v>
                </c:pt>
                <c:pt idx="90">
                  <c:v>112.4814147149651</c:v>
                </c:pt>
                <c:pt idx="91">
                  <c:v>112.4814147149651</c:v>
                </c:pt>
                <c:pt idx="92">
                  <c:v>112.4814147149651</c:v>
                </c:pt>
                <c:pt idx="93">
                  <c:v>112.4814147149651</c:v>
                </c:pt>
                <c:pt idx="94">
                  <c:v>112.4814147149651</c:v>
                </c:pt>
                <c:pt idx="95">
                  <c:v>112.4814147149651</c:v>
                </c:pt>
                <c:pt idx="96">
                  <c:v>112.4814147149651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Metabolites!$I$4:$I$19</c:f>
                <c:numCache>
                  <c:formatCode>General</c:formatCode>
                  <c:ptCount val="16"/>
                  <c:pt idx="0">
                    <c:v>0.373503637683408</c:v>
                  </c:pt>
                  <c:pt idx="1">
                    <c:v>0.695549522748844</c:v>
                  </c:pt>
                  <c:pt idx="2">
                    <c:v>0.534008683560499</c:v>
                  </c:pt>
                  <c:pt idx="3">
                    <c:v>0.746663555987263</c:v>
                  </c:pt>
                  <c:pt idx="4">
                    <c:v>1.314827788398255</c:v>
                  </c:pt>
                  <c:pt idx="5">
                    <c:v>1.583547369140507</c:v>
                  </c:pt>
                  <c:pt idx="6">
                    <c:v>0.647151424310471</c:v>
                  </c:pt>
                  <c:pt idx="7">
                    <c:v>0.343015675047286</c:v>
                  </c:pt>
                  <c:pt idx="8">
                    <c:v>0.0464463500366526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Metabolites!$I$4:$I$19</c:f>
                <c:numCache>
                  <c:formatCode>General</c:formatCode>
                  <c:ptCount val="16"/>
                  <c:pt idx="0">
                    <c:v>0.373503637683408</c:v>
                  </c:pt>
                  <c:pt idx="1">
                    <c:v>0.695549522748844</c:v>
                  </c:pt>
                  <c:pt idx="2">
                    <c:v>0.534008683560499</c:v>
                  </c:pt>
                  <c:pt idx="3">
                    <c:v>0.746663555987263</c:v>
                  </c:pt>
                  <c:pt idx="4">
                    <c:v>1.314827788398255</c:v>
                  </c:pt>
                  <c:pt idx="5">
                    <c:v>1.583547369140507</c:v>
                  </c:pt>
                  <c:pt idx="6">
                    <c:v>0.647151424310471</c:v>
                  </c:pt>
                  <c:pt idx="7">
                    <c:v>0.343015675047286</c:v>
                  </c:pt>
                  <c:pt idx="8">
                    <c:v>0.0464463500366526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Metabolites!$H$4:$H$19</c:f>
              <c:numCache>
                <c:formatCode>0</c:formatCode>
                <c:ptCount val="16"/>
                <c:pt idx="0">
                  <c:v>80.56172291296626</c:v>
                </c:pt>
                <c:pt idx="1">
                  <c:v>79.67961148061627</c:v>
                </c:pt>
                <c:pt idx="2">
                  <c:v>78.99048742629655</c:v>
                </c:pt>
                <c:pt idx="3">
                  <c:v>75.6886262822576</c:v>
                </c:pt>
                <c:pt idx="4">
                  <c:v>65.96648010423028</c:v>
                </c:pt>
                <c:pt idx="5">
                  <c:v>57.18761760606581</c:v>
                </c:pt>
                <c:pt idx="6">
                  <c:v>29.83475002767416</c:v>
                </c:pt>
                <c:pt idx="7">
                  <c:v>16.15170107018321</c:v>
                </c:pt>
                <c:pt idx="8">
                  <c:v>4.75022967767226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Metabolites!$M$24:$M$39</c:f>
                <c:numCache>
                  <c:formatCode>General</c:formatCode>
                  <c:ptCount val="16"/>
                  <c:pt idx="0">
                    <c:v>0.238428498567529</c:v>
                  </c:pt>
                  <c:pt idx="1">
                    <c:v>0.0655705925365896</c:v>
                  </c:pt>
                  <c:pt idx="2">
                    <c:v>0.0601807866141353</c:v>
                  </c:pt>
                  <c:pt idx="3">
                    <c:v>0.116893717571061</c:v>
                  </c:pt>
                  <c:pt idx="4">
                    <c:v>0.390637403100092</c:v>
                  </c:pt>
                  <c:pt idx="5">
                    <c:v>0.720917257928608</c:v>
                  </c:pt>
                  <c:pt idx="6">
                    <c:v>1.130003645016922</c:v>
                  </c:pt>
                  <c:pt idx="7">
                    <c:v>1.227397367255798</c:v>
                  </c:pt>
                  <c:pt idx="8">
                    <c:v>0.464264172574572</c:v>
                  </c:pt>
                  <c:pt idx="9">
                    <c:v>0.268503893946187</c:v>
                  </c:pt>
                  <c:pt idx="10">
                    <c:v>0.486837146568521</c:v>
                  </c:pt>
                  <c:pt idx="11">
                    <c:v>0.288700766644312</c:v>
                  </c:pt>
                  <c:pt idx="12">
                    <c:v>0.635846594032623</c:v>
                  </c:pt>
                  <c:pt idx="13">
                    <c:v>1.740803248758113</c:v>
                  </c:pt>
                  <c:pt idx="14">
                    <c:v>0.180660630395216</c:v>
                  </c:pt>
                  <c:pt idx="15">
                    <c:v>0.420180924702138</c:v>
                  </c:pt>
                </c:numCache>
              </c:numRef>
            </c:plus>
            <c:minus>
              <c:numRef>
                <c:f>Metabolites!$M$24:$M$39</c:f>
                <c:numCache>
                  <c:formatCode>General</c:formatCode>
                  <c:ptCount val="16"/>
                  <c:pt idx="0">
                    <c:v>0.238428498567529</c:v>
                  </c:pt>
                  <c:pt idx="1">
                    <c:v>0.0655705925365896</c:v>
                  </c:pt>
                  <c:pt idx="2">
                    <c:v>0.0601807866141353</c:v>
                  </c:pt>
                  <c:pt idx="3">
                    <c:v>0.116893717571061</c:v>
                  </c:pt>
                  <c:pt idx="4">
                    <c:v>0.390637403100092</c:v>
                  </c:pt>
                  <c:pt idx="5">
                    <c:v>0.720917257928608</c:v>
                  </c:pt>
                  <c:pt idx="6">
                    <c:v>1.130003645016922</c:v>
                  </c:pt>
                  <c:pt idx="7">
                    <c:v>1.227397367255798</c:v>
                  </c:pt>
                  <c:pt idx="8">
                    <c:v>0.464264172574572</c:v>
                  </c:pt>
                  <c:pt idx="9">
                    <c:v>0.268503893946187</c:v>
                  </c:pt>
                  <c:pt idx="10">
                    <c:v>0.486837146568521</c:v>
                  </c:pt>
                  <c:pt idx="11">
                    <c:v>0.288700766644312</c:v>
                  </c:pt>
                  <c:pt idx="12">
                    <c:v>0.635846594032623</c:v>
                  </c:pt>
                  <c:pt idx="13">
                    <c:v>1.740803248758113</c:v>
                  </c:pt>
                  <c:pt idx="14">
                    <c:v>0.180660630395216</c:v>
                  </c:pt>
                  <c:pt idx="15">
                    <c:v>0.420180924702138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Metabolites!$L$24:$L$39</c:f>
              <c:numCache>
                <c:formatCode>0</c:formatCode>
                <c:ptCount val="16"/>
                <c:pt idx="0">
                  <c:v>2.595240797487989</c:v>
                </c:pt>
                <c:pt idx="1">
                  <c:v>3.604005368783092</c:v>
                </c:pt>
                <c:pt idx="2">
                  <c:v>5.026910044834221</c:v>
                </c:pt>
                <c:pt idx="3">
                  <c:v>8.071425866063316</c:v>
                </c:pt>
                <c:pt idx="4">
                  <c:v>17.10500289569467</c:v>
                </c:pt>
                <c:pt idx="5">
                  <c:v>25.80236249547665</c:v>
                </c:pt>
                <c:pt idx="6">
                  <c:v>50.32701573490344</c:v>
                </c:pt>
                <c:pt idx="7">
                  <c:v>60.28875766375978</c:v>
                </c:pt>
                <c:pt idx="8">
                  <c:v>67.84912867854293</c:v>
                </c:pt>
                <c:pt idx="9">
                  <c:v>70.09393329434463</c:v>
                </c:pt>
                <c:pt idx="10">
                  <c:v>70.58043071226614</c:v>
                </c:pt>
                <c:pt idx="11">
                  <c:v>70.69675294093977</c:v>
                </c:pt>
                <c:pt idx="12">
                  <c:v>71.46851179249991</c:v>
                </c:pt>
                <c:pt idx="13">
                  <c:v>72.73644222260712</c:v>
                </c:pt>
                <c:pt idx="14">
                  <c:v>73.43836205105207</c:v>
                </c:pt>
                <c:pt idx="15">
                  <c:v>74.88208351637634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'H2'!$G$106:$G$202</c:f>
              <c:numCache>
                <c:formatCode>0.0</c:formatCode>
                <c:ptCount val="97"/>
                <c:pt idx="0">
                  <c:v>0.0</c:v>
                </c:pt>
                <c:pt idx="1">
                  <c:v>0.0964421280570652</c:v>
                </c:pt>
                <c:pt idx="2">
                  <c:v>0.484750233525815</c:v>
                </c:pt>
                <c:pt idx="3">
                  <c:v>1.070860967221468</c:v>
                </c:pt>
                <c:pt idx="4">
                  <c:v>1.752623080171982</c:v>
                </c:pt>
                <c:pt idx="5">
                  <c:v>2.58761593249428</c:v>
                </c:pt>
                <c:pt idx="6">
                  <c:v>3.776942100123356</c:v>
                </c:pt>
                <c:pt idx="7">
                  <c:v>5.647356849301765</c:v>
                </c:pt>
                <c:pt idx="8">
                  <c:v>8.103115396007588</c:v>
                </c:pt>
                <c:pt idx="9">
                  <c:v>11.18052617643093</c:v>
                </c:pt>
                <c:pt idx="10">
                  <c:v>15.30892550675789</c:v>
                </c:pt>
                <c:pt idx="11">
                  <c:v>20.53746941981643</c:v>
                </c:pt>
                <c:pt idx="12">
                  <c:v>26.49249029878022</c:v>
                </c:pt>
                <c:pt idx="13">
                  <c:v>32.71244465893382</c:v>
                </c:pt>
                <c:pt idx="14">
                  <c:v>39.19966437101758</c:v>
                </c:pt>
                <c:pt idx="15">
                  <c:v>46.50252304338076</c:v>
                </c:pt>
                <c:pt idx="16">
                  <c:v>54.46110038352151</c:v>
                </c:pt>
                <c:pt idx="17">
                  <c:v>62.69819680222666</c:v>
                </c:pt>
                <c:pt idx="18">
                  <c:v>71.23570533199565</c:v>
                </c:pt>
                <c:pt idx="19">
                  <c:v>79.88997707976208</c:v>
                </c:pt>
                <c:pt idx="20">
                  <c:v>88.62147773006183</c:v>
                </c:pt>
                <c:pt idx="21">
                  <c:v>97.80093871802688</c:v>
                </c:pt>
                <c:pt idx="22">
                  <c:v>107.4965147108487</c:v>
                </c:pt>
                <c:pt idx="23">
                  <c:v>117.4893652994736</c:v>
                </c:pt>
                <c:pt idx="24">
                  <c:v>127.8266719789443</c:v>
                </c:pt>
                <c:pt idx="25">
                  <c:v>138.221643578116</c:v>
                </c:pt>
                <c:pt idx="26">
                  <c:v>148.9322193793287</c:v>
                </c:pt>
                <c:pt idx="27">
                  <c:v>159.6528911778332</c:v>
                </c:pt>
                <c:pt idx="28">
                  <c:v>169.6727865245317</c:v>
                </c:pt>
                <c:pt idx="29">
                  <c:v>177.0336739296501</c:v>
                </c:pt>
                <c:pt idx="30">
                  <c:v>180.2697937216243</c:v>
                </c:pt>
                <c:pt idx="31">
                  <c:v>181.2093474043041</c:v>
                </c:pt>
                <c:pt idx="32">
                  <c:v>181.4629059695563</c:v>
                </c:pt>
                <c:pt idx="33">
                  <c:v>181.5695377269747</c:v>
                </c:pt>
                <c:pt idx="34">
                  <c:v>181.6341081178144</c:v>
                </c:pt>
                <c:pt idx="35">
                  <c:v>181.6963969247641</c:v>
                </c:pt>
                <c:pt idx="36">
                  <c:v>181.7558367212658</c:v>
                </c:pt>
                <c:pt idx="37">
                  <c:v>181.8054860116721</c:v>
                </c:pt>
                <c:pt idx="38">
                  <c:v>181.8551366592293</c:v>
                </c:pt>
                <c:pt idx="39">
                  <c:v>181.9098894499455</c:v>
                </c:pt>
                <c:pt idx="40">
                  <c:v>181.9647247644299</c:v>
                </c:pt>
                <c:pt idx="41">
                  <c:v>182.0145824626393</c:v>
                </c:pt>
                <c:pt idx="42">
                  <c:v>182.060997387833</c:v>
                </c:pt>
                <c:pt idx="43">
                  <c:v>182.1049652609277</c:v>
                </c:pt>
                <c:pt idx="44">
                  <c:v>182.1489331340223</c:v>
                </c:pt>
                <c:pt idx="45">
                  <c:v>182.1904534608636</c:v>
                </c:pt>
                <c:pt idx="46">
                  <c:v>182.2295682445671</c:v>
                </c:pt>
                <c:pt idx="47">
                  <c:v>182.2688075551545</c:v>
                </c:pt>
                <c:pt idx="48">
                  <c:v>182.3115415983226</c:v>
                </c:pt>
                <c:pt idx="49">
                  <c:v>182.3557482333605</c:v>
                </c:pt>
                <c:pt idx="50">
                  <c:v>182.3979316130893</c:v>
                </c:pt>
                <c:pt idx="51">
                  <c:v>182.4399829388585</c:v>
                </c:pt>
                <c:pt idx="52">
                  <c:v>182.4885882284069</c:v>
                </c:pt>
                <c:pt idx="53">
                  <c:v>182.536181628289</c:v>
                </c:pt>
                <c:pt idx="54">
                  <c:v>182.5748896831769</c:v>
                </c:pt>
                <c:pt idx="55">
                  <c:v>182.6133336301457</c:v>
                </c:pt>
                <c:pt idx="56">
                  <c:v>182.6525693768483</c:v>
                </c:pt>
                <c:pt idx="57">
                  <c:v>182.6915415396554</c:v>
                </c:pt>
                <c:pt idx="58">
                  <c:v>182.7272584675542</c:v>
                </c:pt>
                <c:pt idx="59">
                  <c:v>182.7605999962518</c:v>
                </c:pt>
                <c:pt idx="60">
                  <c:v>182.7936497478677</c:v>
                </c:pt>
                <c:pt idx="61">
                  <c:v>182.8286786130867</c:v>
                </c:pt>
                <c:pt idx="62">
                  <c:v>182.864931365576</c:v>
                </c:pt>
                <c:pt idx="63">
                  <c:v>182.897794028853</c:v>
                </c:pt>
                <c:pt idx="64">
                  <c:v>182.9297626149951</c:v>
                </c:pt>
                <c:pt idx="65">
                  <c:v>182.9658274654515</c:v>
                </c:pt>
                <c:pt idx="66">
                  <c:v>183.00165673724</c:v>
                </c:pt>
                <c:pt idx="67">
                  <c:v>183.0324956675791</c:v>
                </c:pt>
                <c:pt idx="68">
                  <c:v>183.0611689568779</c:v>
                </c:pt>
                <c:pt idx="69">
                  <c:v>183.0868285219317</c:v>
                </c:pt>
                <c:pt idx="70">
                  <c:v>183.1106045794451</c:v>
                </c:pt>
                <c:pt idx="71">
                  <c:v>183.1327332689876</c:v>
                </c:pt>
                <c:pt idx="72">
                  <c:v>183.1536851869936</c:v>
                </c:pt>
                <c:pt idx="73">
                  <c:v>183.1736011197622</c:v>
                </c:pt>
                <c:pt idx="74">
                  <c:v>183.1924339515598</c:v>
                </c:pt>
                <c:pt idx="75">
                  <c:v>183.2094775072842</c:v>
                </c:pt>
                <c:pt idx="76">
                  <c:v>183.226709525943</c:v>
                </c:pt>
                <c:pt idx="77">
                  <c:v>183.2446477197041</c:v>
                </c:pt>
                <c:pt idx="78">
                  <c:v>183.2617855068956</c:v>
                </c:pt>
                <c:pt idx="79">
                  <c:v>183.2784055819193</c:v>
                </c:pt>
                <c:pt idx="80">
                  <c:v>183.2939896717057</c:v>
                </c:pt>
                <c:pt idx="81">
                  <c:v>183.3085848919882</c:v>
                </c:pt>
                <c:pt idx="82">
                  <c:v>183.3183305571205</c:v>
                </c:pt>
                <c:pt idx="83">
                  <c:v>183.3276056258186</c:v>
                </c:pt>
                <c:pt idx="84">
                  <c:v>183.3377282168197</c:v>
                </c:pt>
                <c:pt idx="85">
                  <c:v>183.3450255465102</c:v>
                </c:pt>
                <c:pt idx="86">
                  <c:v>183.3551481375112</c:v>
                </c:pt>
                <c:pt idx="87">
                  <c:v>183.3654120757131</c:v>
                </c:pt>
                <c:pt idx="88">
                  <c:v>183.373227678473</c:v>
                </c:pt>
                <c:pt idx="89">
                  <c:v>183.3830210202406</c:v>
                </c:pt>
                <c:pt idx="90">
                  <c:v>183.3916370295699</c:v>
                </c:pt>
                <c:pt idx="91">
                  <c:v>183.3997818815635</c:v>
                </c:pt>
                <c:pt idx="92">
                  <c:v>183.4097631253638</c:v>
                </c:pt>
                <c:pt idx="93">
                  <c:v>183.4197914848976</c:v>
                </c:pt>
                <c:pt idx="94">
                  <c:v>183.4262412922851</c:v>
                </c:pt>
                <c:pt idx="95">
                  <c:v>183.4288775297597</c:v>
                </c:pt>
                <c:pt idx="96">
                  <c:v>183.4329514931429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40456"/>
        <c:axId val="214060701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11749.0</c:v>
                </c:pt>
                <c:pt idx="1">
                  <c:v>13236.0</c:v>
                </c:pt>
                <c:pt idx="2">
                  <c:v>21583.0</c:v>
                </c:pt>
                <c:pt idx="3">
                  <c:v>62337.0</c:v>
                </c:pt>
                <c:pt idx="4">
                  <c:v>14560.0</c:v>
                </c:pt>
                <c:pt idx="5">
                  <c:v>20216.0</c:v>
                </c:pt>
                <c:pt idx="6">
                  <c:v>29569.0</c:v>
                </c:pt>
                <c:pt idx="7">
                  <c:v>28635.0</c:v>
                </c:pt>
                <c:pt idx="8">
                  <c:v>29758.0</c:v>
                </c:pt>
                <c:pt idx="9">
                  <c:v>29106.0</c:v>
                </c:pt>
              </c:numCache>
            </c:numRef>
          </c:yVal>
          <c:smooth val="0"/>
        </c:ser>
        <c:ser>
          <c:idx val="5"/>
          <c:order val="8"/>
          <c:tx>
            <c:v>OD600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OD600nm!$J$4:$J$19</c:f>
                <c:numCache>
                  <c:formatCode>General</c:formatCode>
                  <c:ptCount val="16"/>
                  <c:pt idx="0">
                    <c:v>5.44133936696422E-17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0.0333212276534544</c:v>
                  </c:pt>
                  <c:pt idx="4">
                    <c:v>0.790525430021706</c:v>
                  </c:pt>
                  <c:pt idx="5">
                    <c:v>0.112429473081276</c:v>
                  </c:pt>
                  <c:pt idx="6">
                    <c:v>0.209929836917004</c:v>
                  </c:pt>
                  <c:pt idx="7">
                    <c:v>0.0847010824724219</c:v>
                  </c:pt>
                  <c:pt idx="8">
                    <c:v>0.716093380827761</c:v>
                  </c:pt>
                  <c:pt idx="9">
                    <c:v>0.479498050016195</c:v>
                  </c:pt>
                  <c:pt idx="10">
                    <c:v>0.310937090887101</c:v>
                  </c:pt>
                  <c:pt idx="11">
                    <c:v>0.164283088482453</c:v>
                  </c:pt>
                  <c:pt idx="12">
                    <c:v>0.241700399610758</c:v>
                  </c:pt>
                  <c:pt idx="13">
                    <c:v>0.064028</c:v>
                  </c:pt>
                  <c:pt idx="14">
                    <c:v>0.0739331660713468</c:v>
                  </c:pt>
                  <c:pt idx="15">
                    <c:v>0.078960655977096</c:v>
                  </c:pt>
                </c:numCache>
              </c:numRef>
            </c:plus>
            <c:minus>
              <c:numRef>
                <c:f>OD600nm!$J$4:$J$19</c:f>
                <c:numCache>
                  <c:formatCode>General</c:formatCode>
                  <c:ptCount val="16"/>
                  <c:pt idx="0">
                    <c:v>5.44133936696422E-17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0.0333212276534544</c:v>
                  </c:pt>
                  <c:pt idx="4">
                    <c:v>0.790525430021706</c:v>
                  </c:pt>
                  <c:pt idx="5">
                    <c:v>0.112429473081276</c:v>
                  </c:pt>
                  <c:pt idx="6">
                    <c:v>0.209929836917004</c:v>
                  </c:pt>
                  <c:pt idx="7">
                    <c:v>0.0847010824724219</c:v>
                  </c:pt>
                  <c:pt idx="8">
                    <c:v>0.716093380827761</c:v>
                  </c:pt>
                  <c:pt idx="9">
                    <c:v>0.479498050016195</c:v>
                  </c:pt>
                  <c:pt idx="10">
                    <c:v>0.310937090887101</c:v>
                  </c:pt>
                  <c:pt idx="11">
                    <c:v>0.164283088482453</c:v>
                  </c:pt>
                  <c:pt idx="12">
                    <c:v>0.241700399610758</c:v>
                  </c:pt>
                  <c:pt idx="13">
                    <c:v>0.064028</c:v>
                  </c:pt>
                  <c:pt idx="14">
                    <c:v>0.0739331660713468</c:v>
                  </c:pt>
                  <c:pt idx="15">
                    <c:v>0.078960655977096</c:v>
                  </c:pt>
                </c:numCache>
              </c:numRef>
            </c:minus>
          </c:errBars>
          <c:xVal>
            <c:numRef>
              <c:f>OD600nm!$D$4:$D$19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OD600nm!$I$4:$I$19</c:f>
              <c:numCache>
                <c:formatCode>0.000</c:formatCode>
                <c:ptCount val="16"/>
                <c:pt idx="0">
                  <c:v>0.30834</c:v>
                </c:pt>
                <c:pt idx="1">
                  <c:v>0.5244345</c:v>
                </c:pt>
                <c:pt idx="2">
                  <c:v>0.917119333333333</c:v>
                </c:pt>
                <c:pt idx="3">
                  <c:v>1.648105666666666</c:v>
                </c:pt>
                <c:pt idx="4">
                  <c:v>2.715239</c:v>
                </c:pt>
                <c:pt idx="5">
                  <c:v>4.480729333333332</c:v>
                </c:pt>
                <c:pt idx="6">
                  <c:v>6.935136000000001</c:v>
                </c:pt>
                <c:pt idx="7">
                  <c:v>7.479374</c:v>
                </c:pt>
                <c:pt idx="8">
                  <c:v>8.076968666666667</c:v>
                </c:pt>
                <c:pt idx="9">
                  <c:v>6.049415333333333</c:v>
                </c:pt>
                <c:pt idx="10">
                  <c:v>4.864897333333332</c:v>
                </c:pt>
                <c:pt idx="11">
                  <c:v>3.819106666666667</c:v>
                </c:pt>
                <c:pt idx="12">
                  <c:v>3.637694</c:v>
                </c:pt>
                <c:pt idx="13">
                  <c:v>2.101022</c:v>
                </c:pt>
                <c:pt idx="14">
                  <c:v>1.738196666666667</c:v>
                </c:pt>
                <c:pt idx="15">
                  <c:v>2.128315666666666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34552"/>
        <c:axId val="2122578920"/>
      </c:scatterChart>
      <c:valAx>
        <c:axId val="211264045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40607016"/>
        <c:crosses val="autoZero"/>
        <c:crossBetween val="midCat"/>
        <c:majorUnit val="6.0"/>
      </c:valAx>
      <c:valAx>
        <c:axId val="2140607016"/>
        <c:scaling>
          <c:orientation val="minMax"/>
          <c:max val="1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2640456"/>
        <c:crosses val="autoZero"/>
        <c:crossBetween val="midCat"/>
      </c:valAx>
      <c:valAx>
        <c:axId val="2122578920"/>
        <c:scaling>
          <c:orientation val="minMax"/>
          <c:max val="9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 600 nm)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40634552"/>
        <c:crosses val="max"/>
        <c:crossBetween val="midCat"/>
        <c:majorUnit val="1.0"/>
        <c:minorUnit val="0.2"/>
      </c:valAx>
      <c:valAx>
        <c:axId val="214063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2257892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73100" y="3733800"/>
    <xdr:ext cx="9296400" cy="6070600"/>
    <xdr:graphicFrame macro="">
      <xdr:nvGraphicFramePr>
        <xdr:cNvPr id="3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73100" y="10312400"/>
    <xdr:ext cx="9296400" cy="6070600"/>
    <xdr:graphicFrame macro="">
      <xdr:nvGraphicFramePr>
        <xdr:cNvPr id="4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I9" sqref="I9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6.5" style="2" bestFit="1" customWidth="1"/>
    <col min="4" max="16384" width="8.83203125" style="2"/>
  </cols>
  <sheetData>
    <row r="1" spans="1:3">
      <c r="A1" s="82" t="s">
        <v>0</v>
      </c>
      <c r="B1" s="83"/>
      <c r="C1" s="73">
        <v>41843</v>
      </c>
    </row>
    <row r="2" spans="1:3" ht="16">
      <c r="A2" s="82" t="s">
        <v>1</v>
      </c>
      <c r="B2" s="84"/>
      <c r="C2" s="30" t="s">
        <v>116</v>
      </c>
    </row>
    <row r="3" spans="1:3">
      <c r="A3" s="10"/>
      <c r="B3" s="10"/>
      <c r="C3" s="9"/>
    </row>
    <row r="4" spans="1:3">
      <c r="A4" s="85" t="s">
        <v>48</v>
      </c>
      <c r="B4" s="85"/>
      <c r="C4" s="30" t="s">
        <v>94</v>
      </c>
    </row>
    <row r="6" spans="1:3">
      <c r="A6" s="68" t="s">
        <v>82</v>
      </c>
      <c r="B6" s="68" t="s">
        <v>83</v>
      </c>
      <c r="C6" s="68" t="s">
        <v>68</v>
      </c>
    </row>
    <row r="7" spans="1:3">
      <c r="A7" s="30" t="s">
        <v>84</v>
      </c>
      <c r="B7" s="44">
        <v>6.5</v>
      </c>
      <c r="C7" s="30" t="s">
        <v>90</v>
      </c>
    </row>
    <row r="8" spans="1:3">
      <c r="A8" s="30" t="s">
        <v>85</v>
      </c>
      <c r="B8" s="44">
        <v>5</v>
      </c>
      <c r="C8" s="30" t="s">
        <v>90</v>
      </c>
    </row>
    <row r="9" spans="1:3">
      <c r="A9" s="30" t="s">
        <v>86</v>
      </c>
      <c r="B9" s="44">
        <v>2.5</v>
      </c>
      <c r="C9" s="30" t="s">
        <v>90</v>
      </c>
    </row>
    <row r="10" spans="1:3">
      <c r="A10" s="30" t="s">
        <v>87</v>
      </c>
      <c r="B10" s="44">
        <v>3</v>
      </c>
      <c r="C10" s="30" t="s">
        <v>90</v>
      </c>
    </row>
    <row r="11" spans="1:3">
      <c r="A11" s="30" t="s">
        <v>155</v>
      </c>
      <c r="B11" s="44">
        <v>11.33</v>
      </c>
      <c r="C11" s="30" t="s">
        <v>154</v>
      </c>
    </row>
    <row r="12" spans="1:3">
      <c r="A12" s="30" t="s">
        <v>72</v>
      </c>
      <c r="B12" s="44">
        <v>1.5</v>
      </c>
      <c r="C12" s="30" t="s">
        <v>90</v>
      </c>
    </row>
    <row r="13" spans="1:3" ht="16">
      <c r="A13" s="30" t="s">
        <v>76</v>
      </c>
      <c r="B13" s="44">
        <v>1</v>
      </c>
      <c r="C13" s="30" t="s">
        <v>90</v>
      </c>
    </row>
    <row r="14" spans="1:3" ht="16">
      <c r="A14" s="9" t="s">
        <v>75</v>
      </c>
      <c r="B14" s="44">
        <v>1</v>
      </c>
      <c r="C14" s="30" t="s">
        <v>90</v>
      </c>
    </row>
    <row r="15" spans="1:3" ht="16">
      <c r="A15" s="72" t="s">
        <v>151</v>
      </c>
      <c r="B15" s="71">
        <v>2</v>
      </c>
      <c r="C15" s="71" t="s">
        <v>90</v>
      </c>
    </row>
    <row r="16" spans="1:3" ht="16">
      <c r="A16" s="30" t="s">
        <v>95</v>
      </c>
      <c r="B16" s="44">
        <v>1</v>
      </c>
      <c r="C16" s="30" t="s">
        <v>90</v>
      </c>
    </row>
    <row r="17" spans="1:3" ht="16">
      <c r="A17" s="30" t="s">
        <v>96</v>
      </c>
      <c r="B17" s="44">
        <v>1</v>
      </c>
      <c r="C17" s="30" t="s">
        <v>90</v>
      </c>
    </row>
    <row r="18" spans="1:3" ht="16">
      <c r="A18" s="30" t="s">
        <v>97</v>
      </c>
      <c r="B18" s="44">
        <v>0.4</v>
      </c>
      <c r="C18" s="30" t="s">
        <v>90</v>
      </c>
    </row>
    <row r="19" spans="1:3" ht="16">
      <c r="A19" s="30" t="s">
        <v>74</v>
      </c>
      <c r="B19" s="44">
        <v>0.2</v>
      </c>
      <c r="C19" s="30" t="s">
        <v>90</v>
      </c>
    </row>
    <row r="20" spans="1:3" ht="16">
      <c r="A20" s="30" t="s">
        <v>98</v>
      </c>
      <c r="B20" s="44">
        <v>0.1</v>
      </c>
      <c r="C20" s="30" t="s">
        <v>90</v>
      </c>
    </row>
    <row r="21" spans="1:3" ht="16">
      <c r="A21" s="30" t="s">
        <v>99</v>
      </c>
      <c r="B21" s="44">
        <v>0.05</v>
      </c>
      <c r="C21" s="30" t="s">
        <v>90</v>
      </c>
    </row>
    <row r="22" spans="1:3" ht="16">
      <c r="A22" s="30" t="s">
        <v>100</v>
      </c>
      <c r="B22" s="112">
        <v>5.0000000000000001E-3</v>
      </c>
      <c r="C22" s="30" t="s">
        <v>90</v>
      </c>
    </row>
    <row r="23" spans="1:3" ht="16">
      <c r="A23" s="30" t="s">
        <v>101</v>
      </c>
      <c r="B23" s="112">
        <v>5.0000000000000001E-3</v>
      </c>
      <c r="C23" s="30" t="s">
        <v>90</v>
      </c>
    </row>
    <row r="24" spans="1:3">
      <c r="A24" s="30" t="s">
        <v>88</v>
      </c>
      <c r="B24" s="112">
        <v>5.0000000000000001E-3</v>
      </c>
      <c r="C24" s="30" t="s">
        <v>90</v>
      </c>
    </row>
    <row r="25" spans="1:3">
      <c r="A25" s="30" t="s">
        <v>89</v>
      </c>
      <c r="B25" s="112">
        <v>5.0000000000000001E-3</v>
      </c>
      <c r="C25" s="30" t="s">
        <v>90</v>
      </c>
    </row>
    <row r="26" spans="1:3">
      <c r="A26" s="30" t="s">
        <v>73</v>
      </c>
      <c r="B26" s="112">
        <v>1E-3</v>
      </c>
      <c r="C26" s="30" t="s">
        <v>146</v>
      </c>
    </row>
    <row r="27" spans="1:3">
      <c r="A27" s="30" t="s">
        <v>91</v>
      </c>
      <c r="B27" s="44" t="s">
        <v>90</v>
      </c>
      <c r="C27" s="30" t="s">
        <v>92</v>
      </c>
    </row>
    <row r="28" spans="1:3">
      <c r="A28" s="30" t="s">
        <v>93</v>
      </c>
      <c r="B28" s="44" t="s">
        <v>90</v>
      </c>
      <c r="C28" s="30" t="s">
        <v>92</v>
      </c>
    </row>
    <row r="29" spans="1:3" ht="28">
      <c r="A29" s="70" t="s">
        <v>153</v>
      </c>
      <c r="B29" s="111">
        <v>15</v>
      </c>
      <c r="C29" s="69" t="s">
        <v>152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4" max="6" width="9.164062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143</v>
      </c>
      <c r="B2" s="16">
        <v>180.16</v>
      </c>
    </row>
    <row r="4" spans="1:8">
      <c r="A4" s="103" t="s">
        <v>144</v>
      </c>
      <c r="B4" s="104"/>
      <c r="C4" s="104"/>
      <c r="D4" s="104"/>
      <c r="E4" s="104"/>
      <c r="F4" s="104"/>
      <c r="G4" s="104"/>
      <c r="H4" s="105"/>
    </row>
    <row r="5" spans="1:8">
      <c r="A5" s="106" t="s">
        <v>61</v>
      </c>
      <c r="B5" s="104"/>
      <c r="C5" s="105"/>
      <c r="D5" s="107" t="s">
        <v>44</v>
      </c>
      <c r="E5" s="107" t="s">
        <v>45</v>
      </c>
      <c r="F5" s="107" t="s">
        <v>46</v>
      </c>
      <c r="G5" s="109" t="s">
        <v>62</v>
      </c>
      <c r="H5" s="109" t="s">
        <v>63</v>
      </c>
    </row>
    <row r="6" spans="1:8">
      <c r="A6" s="28" t="s">
        <v>4</v>
      </c>
      <c r="B6" s="28" t="s">
        <v>5</v>
      </c>
      <c r="C6" s="28" t="s">
        <v>19</v>
      </c>
      <c r="D6" s="108"/>
      <c r="E6" s="108"/>
      <c r="F6" s="108"/>
      <c r="G6" s="110"/>
      <c r="H6" s="110"/>
    </row>
    <row r="7" spans="1:8">
      <c r="A7" s="15">
        <v>0</v>
      </c>
      <c r="B7" s="64">
        <v>-0.16666666666666666</v>
      </c>
      <c r="C7" s="15">
        <v>2</v>
      </c>
      <c r="D7" s="18">
        <v>7.4980000000000002</v>
      </c>
      <c r="E7" s="18">
        <v>7.5279999999999996</v>
      </c>
      <c r="F7" s="18">
        <v>7.524</v>
      </c>
      <c r="G7" s="18">
        <f>(C7*1000*AVERAGE(D7:F7)/$B$2)</f>
        <v>83.444345766725874</v>
      </c>
      <c r="H7" s="18">
        <f>(C7*1000*STDEV(D7:F7))/$B$2</f>
        <v>0.18082877032075809</v>
      </c>
    </row>
    <row r="8" spans="1:8">
      <c r="A8" s="15">
        <v>0</v>
      </c>
      <c r="B8" s="66">
        <v>0.16666666666666666</v>
      </c>
      <c r="C8" s="15">
        <v>2</v>
      </c>
      <c r="D8" s="18">
        <v>7.2190000000000003</v>
      </c>
      <c r="E8" s="18">
        <v>7.2830000000000004</v>
      </c>
      <c r="F8" s="18">
        <v>7.2690000000000001</v>
      </c>
      <c r="G8" s="18">
        <f t="shared" ref="G8:G17" si="0">(C8*1000*AVERAGE(D8:F8))/$B$2</f>
        <v>80.56172291296626</v>
      </c>
      <c r="H8" s="18">
        <f t="shared" ref="H8:H17" si="1">(C8*1000*STDEV(D8:F8))/$B$2</f>
        <v>0.37350363768340844</v>
      </c>
    </row>
    <row r="9" spans="1:8">
      <c r="A9" s="15">
        <v>1</v>
      </c>
      <c r="B9" s="66">
        <v>2</v>
      </c>
      <c r="C9" s="15">
        <v>2</v>
      </c>
      <c r="D9" s="18">
        <v>7.1079999999999997</v>
      </c>
      <c r="E9" s="18">
        <v>7.2329999999999997</v>
      </c>
      <c r="F9" s="18">
        <v>7.1769999999999996</v>
      </c>
      <c r="G9" s="18">
        <f t="shared" si="0"/>
        <v>79.625518058022507</v>
      </c>
      <c r="H9" s="18">
        <f t="shared" si="1"/>
        <v>0.69507732348017526</v>
      </c>
    </row>
    <row r="10" spans="1:8">
      <c r="A10" s="15">
        <v>2</v>
      </c>
      <c r="B10" s="66">
        <v>3.3333333333333335</v>
      </c>
      <c r="C10" s="15">
        <v>2</v>
      </c>
      <c r="D10" s="18">
        <v>7.0529999999999999</v>
      </c>
      <c r="E10" s="18">
        <v>7.149</v>
      </c>
      <c r="F10" s="18">
        <v>7.1</v>
      </c>
      <c r="G10" s="18">
        <f t="shared" si="0"/>
        <v>78.826228537596208</v>
      </c>
      <c r="H10" s="18">
        <f t="shared" si="1"/>
        <v>0.53289822487394101</v>
      </c>
    </row>
    <row r="11" spans="1:8">
      <c r="A11" s="15">
        <v>3</v>
      </c>
      <c r="B11" s="66">
        <v>4.666666666666667</v>
      </c>
      <c r="C11" s="15">
        <v>2</v>
      </c>
      <c r="D11" s="18">
        <v>6.7279999999999998</v>
      </c>
      <c r="E11" s="18">
        <v>6.7919999999999998</v>
      </c>
      <c r="F11" s="18">
        <v>6.8620000000000001</v>
      </c>
      <c r="G11" s="18">
        <f t="shared" si="0"/>
        <v>75.421847246891659</v>
      </c>
      <c r="H11" s="18">
        <f t="shared" si="1"/>
        <v>0.74403179751847626</v>
      </c>
    </row>
    <row r="12" spans="1:8">
      <c r="A12" s="15">
        <v>4</v>
      </c>
      <c r="B12" s="66">
        <v>6</v>
      </c>
      <c r="C12" s="15">
        <v>2</v>
      </c>
      <c r="D12" s="18">
        <v>5.7679999999999998</v>
      </c>
      <c r="E12" s="18">
        <v>5.9649999999999999</v>
      </c>
      <c r="F12" s="18">
        <v>5.9779999999999998</v>
      </c>
      <c r="G12" s="18">
        <f t="shared" si="0"/>
        <v>65.538040260509177</v>
      </c>
      <c r="H12" s="18">
        <f t="shared" si="1"/>
        <v>1.3062882299544594</v>
      </c>
    </row>
    <row r="13" spans="1:8">
      <c r="A13" s="15">
        <v>5</v>
      </c>
      <c r="B13" s="66">
        <v>7.333333333333333</v>
      </c>
      <c r="C13" s="15">
        <v>2</v>
      </c>
      <c r="D13" s="18">
        <v>4.9379999999999997</v>
      </c>
      <c r="E13" s="18">
        <v>5.2039999999999997</v>
      </c>
      <c r="F13" s="18">
        <v>5.1529999999999996</v>
      </c>
      <c r="G13" s="18">
        <f t="shared" si="0"/>
        <v>56.59783895796329</v>
      </c>
      <c r="H13" s="18">
        <f t="shared" si="1"/>
        <v>1.5672161690368167</v>
      </c>
    </row>
    <row r="14" spans="1:8">
      <c r="A14" s="15">
        <v>6</v>
      </c>
      <c r="B14" s="66">
        <v>10.333333333333334</v>
      </c>
      <c r="C14" s="15">
        <v>2</v>
      </c>
      <c r="D14" s="18">
        <v>2.5819999999999999</v>
      </c>
      <c r="E14" s="18">
        <v>2.6110000000000002</v>
      </c>
      <c r="F14" s="18">
        <v>2.6920000000000002</v>
      </c>
      <c r="G14" s="18">
        <f t="shared" si="0"/>
        <v>29.177767910005922</v>
      </c>
      <c r="H14" s="18">
        <f t="shared" si="1"/>
        <v>0.63290069612266509</v>
      </c>
    </row>
    <row r="15" spans="1:8">
      <c r="A15" s="15">
        <v>7</v>
      </c>
      <c r="B15" s="66">
        <v>11.666666666666666</v>
      </c>
      <c r="C15" s="15">
        <v>2</v>
      </c>
      <c r="D15" s="18">
        <v>1.383</v>
      </c>
      <c r="E15" s="18">
        <v>1.4430000000000001</v>
      </c>
      <c r="F15" s="18">
        <v>1.415</v>
      </c>
      <c r="G15" s="18">
        <f t="shared" si="0"/>
        <v>15.693457667258732</v>
      </c>
      <c r="H15" s="18">
        <f t="shared" si="1"/>
        <v>0.33328390317340773</v>
      </c>
    </row>
    <row r="16" spans="1:8">
      <c r="A16" s="15">
        <v>8</v>
      </c>
      <c r="B16" s="66">
        <v>13</v>
      </c>
      <c r="C16" s="15">
        <v>2</v>
      </c>
      <c r="D16" s="18">
        <v>0.40899999999999997</v>
      </c>
      <c r="E16" s="18">
        <v>0.41399999999999998</v>
      </c>
      <c r="F16" s="18">
        <v>0.41699999999999998</v>
      </c>
      <c r="G16" s="18">
        <f t="shared" si="0"/>
        <v>4.5885139135583186</v>
      </c>
      <c r="H16" s="18">
        <f t="shared" si="1"/>
        <v>4.4865140811804878E-2</v>
      </c>
    </row>
    <row r="17" spans="1:8">
      <c r="A17" s="15">
        <v>9</v>
      </c>
      <c r="B17" s="66">
        <v>14.333333333333334</v>
      </c>
      <c r="C17" s="15">
        <v>2</v>
      </c>
      <c r="D17" s="18">
        <v>0</v>
      </c>
      <c r="E17" s="18">
        <v>0</v>
      </c>
      <c r="F17" s="18">
        <v>0</v>
      </c>
      <c r="G17" s="18">
        <f t="shared" si="0"/>
        <v>0</v>
      </c>
      <c r="H17" s="18">
        <f t="shared" si="1"/>
        <v>0</v>
      </c>
    </row>
    <row r="18" spans="1:8">
      <c r="A18" s="15">
        <v>10</v>
      </c>
      <c r="B18" s="66">
        <v>15.666666666666666</v>
      </c>
      <c r="C18" s="15">
        <v>2</v>
      </c>
      <c r="D18" s="18">
        <v>0</v>
      </c>
      <c r="E18" s="18">
        <v>0</v>
      </c>
      <c r="F18" s="18">
        <v>0</v>
      </c>
      <c r="G18" s="18">
        <f t="shared" ref="G18:G23" si="2">(C18*1000*AVERAGE(D18:F18))/$B$2</f>
        <v>0</v>
      </c>
      <c r="H18" s="18">
        <f t="shared" ref="H18:H23" si="3">(C18*1000*STDEV(D18:F18))/$B$2</f>
        <v>0</v>
      </c>
    </row>
    <row r="19" spans="1:8">
      <c r="A19" s="15">
        <v>11</v>
      </c>
      <c r="B19" s="66">
        <v>17</v>
      </c>
      <c r="C19" s="15">
        <v>2</v>
      </c>
      <c r="D19" s="18">
        <v>0</v>
      </c>
      <c r="E19" s="18">
        <v>0</v>
      </c>
      <c r="F19" s="18">
        <v>0</v>
      </c>
      <c r="G19" s="18">
        <f t="shared" si="2"/>
        <v>0</v>
      </c>
      <c r="H19" s="18">
        <f t="shared" si="3"/>
        <v>0</v>
      </c>
    </row>
    <row r="20" spans="1:8">
      <c r="A20" s="15">
        <v>12</v>
      </c>
      <c r="B20" s="66">
        <v>18.333333333333332</v>
      </c>
      <c r="C20" s="15">
        <v>2</v>
      </c>
      <c r="D20" s="18">
        <v>0</v>
      </c>
      <c r="E20" s="18">
        <v>0</v>
      </c>
      <c r="F20" s="18">
        <v>0</v>
      </c>
      <c r="G20" s="18">
        <f t="shared" si="2"/>
        <v>0</v>
      </c>
      <c r="H20" s="18">
        <f t="shared" si="3"/>
        <v>0</v>
      </c>
    </row>
    <row r="21" spans="1:8">
      <c r="A21" s="15">
        <v>13</v>
      </c>
      <c r="B21" s="66">
        <v>24</v>
      </c>
      <c r="C21" s="15">
        <v>2</v>
      </c>
      <c r="D21" s="18">
        <v>0</v>
      </c>
      <c r="E21" s="18">
        <v>0</v>
      </c>
      <c r="F21" s="18">
        <v>0</v>
      </c>
      <c r="G21" s="18">
        <f t="shared" si="2"/>
        <v>0</v>
      </c>
      <c r="H21" s="18">
        <f t="shared" si="3"/>
        <v>0</v>
      </c>
    </row>
    <row r="22" spans="1:8">
      <c r="A22" s="15">
        <v>14</v>
      </c>
      <c r="B22" s="66">
        <v>30</v>
      </c>
      <c r="C22" s="15">
        <v>2</v>
      </c>
      <c r="D22" s="18">
        <v>0</v>
      </c>
      <c r="E22" s="18">
        <v>0</v>
      </c>
      <c r="F22" s="18">
        <v>0</v>
      </c>
      <c r="G22" s="18">
        <f t="shared" si="2"/>
        <v>0</v>
      </c>
      <c r="H22" s="18">
        <f t="shared" si="3"/>
        <v>0</v>
      </c>
    </row>
    <row r="23" spans="1:8">
      <c r="A23" s="15">
        <v>15</v>
      </c>
      <c r="B23" s="66">
        <v>48</v>
      </c>
      <c r="C23" s="15">
        <v>2</v>
      </c>
      <c r="D23" s="18">
        <v>0</v>
      </c>
      <c r="E23" s="18">
        <v>0</v>
      </c>
      <c r="F23" s="18">
        <v>0</v>
      </c>
      <c r="G23" s="18">
        <f t="shared" si="2"/>
        <v>0</v>
      </c>
      <c r="H23" s="18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topLeftCell="A2"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64</v>
      </c>
      <c r="B2" s="16">
        <v>46.03</v>
      </c>
    </row>
    <row r="4" spans="1:8">
      <c r="A4" s="103" t="s">
        <v>64</v>
      </c>
      <c r="B4" s="104"/>
      <c r="C4" s="104"/>
      <c r="D4" s="104"/>
      <c r="E4" s="104"/>
      <c r="F4" s="104"/>
      <c r="G4" s="104"/>
      <c r="H4" s="105"/>
    </row>
    <row r="5" spans="1:8">
      <c r="A5" s="106" t="s">
        <v>61</v>
      </c>
      <c r="B5" s="104"/>
      <c r="C5" s="105"/>
      <c r="D5" s="107" t="s">
        <v>44</v>
      </c>
      <c r="E5" s="107" t="s">
        <v>45</v>
      </c>
      <c r="F5" s="107" t="s">
        <v>46</v>
      </c>
      <c r="G5" s="109" t="s">
        <v>62</v>
      </c>
      <c r="H5" s="109" t="s">
        <v>63</v>
      </c>
    </row>
    <row r="6" spans="1:8">
      <c r="A6" s="28" t="s">
        <v>4</v>
      </c>
      <c r="B6" s="28" t="s">
        <v>59</v>
      </c>
      <c r="C6" s="28" t="s">
        <v>19</v>
      </c>
      <c r="D6" s="108"/>
      <c r="E6" s="108"/>
      <c r="F6" s="108"/>
      <c r="G6" s="110"/>
      <c r="H6" s="110"/>
    </row>
    <row r="7" spans="1:8">
      <c r="A7" s="15">
        <v>0</v>
      </c>
      <c r="B7" s="64">
        <v>-0.16666666666666666</v>
      </c>
      <c r="C7" s="15">
        <v>2</v>
      </c>
      <c r="D7" s="39">
        <v>0</v>
      </c>
      <c r="E7" s="39">
        <v>0</v>
      </c>
      <c r="F7" s="39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15">
        <v>0</v>
      </c>
      <c r="B8" s="64">
        <v>0.16666666666666666</v>
      </c>
      <c r="C8" s="15">
        <v>2</v>
      </c>
      <c r="D8" s="39">
        <v>0</v>
      </c>
      <c r="E8" s="39">
        <v>0</v>
      </c>
      <c r="F8" s="39">
        <v>0</v>
      </c>
      <c r="G8" s="15">
        <f t="shared" ref="G8:G17" si="0">(C8*1000*AVERAGE(D8:F8))/$B$2</f>
        <v>0</v>
      </c>
      <c r="H8" s="18">
        <f t="shared" ref="H8:H17" si="1">(C8*1000*STDEV(D8:F8))/$B$2</f>
        <v>0</v>
      </c>
    </row>
    <row r="9" spans="1:8">
      <c r="A9" s="15">
        <v>1</v>
      </c>
      <c r="B9" s="64">
        <v>2</v>
      </c>
      <c r="C9" s="15">
        <v>2</v>
      </c>
      <c r="D9" s="39">
        <v>0</v>
      </c>
      <c r="E9" s="39">
        <v>0</v>
      </c>
      <c r="F9" s="39">
        <v>0</v>
      </c>
      <c r="G9" s="15">
        <f t="shared" si="0"/>
        <v>0</v>
      </c>
      <c r="H9" s="18">
        <f t="shared" si="1"/>
        <v>0</v>
      </c>
    </row>
    <row r="10" spans="1:8">
      <c r="A10" s="15">
        <v>2</v>
      </c>
      <c r="B10" s="64">
        <v>3.3333333333333335</v>
      </c>
      <c r="C10" s="15">
        <v>2</v>
      </c>
      <c r="D10" s="39">
        <v>0</v>
      </c>
      <c r="E10" s="39">
        <v>0</v>
      </c>
      <c r="F10" s="39">
        <v>0</v>
      </c>
      <c r="G10" s="15">
        <f t="shared" si="0"/>
        <v>0</v>
      </c>
      <c r="H10" s="18">
        <f t="shared" si="1"/>
        <v>0</v>
      </c>
    </row>
    <row r="11" spans="1:8">
      <c r="A11" s="15">
        <v>3</v>
      </c>
      <c r="B11" s="64">
        <v>4.666666666666667</v>
      </c>
      <c r="C11" s="15">
        <v>2</v>
      </c>
      <c r="D11" s="39">
        <v>0</v>
      </c>
      <c r="E11" s="39">
        <v>0</v>
      </c>
      <c r="F11" s="39">
        <v>0</v>
      </c>
      <c r="G11" s="15">
        <f t="shared" si="0"/>
        <v>0</v>
      </c>
      <c r="H11" s="18">
        <f t="shared" si="1"/>
        <v>0</v>
      </c>
    </row>
    <row r="12" spans="1:8">
      <c r="A12" s="15">
        <v>4</v>
      </c>
      <c r="B12" s="64">
        <v>6</v>
      </c>
      <c r="C12" s="15">
        <v>2</v>
      </c>
      <c r="D12" s="39">
        <v>1.7999999999999999E-2</v>
      </c>
      <c r="E12" s="39">
        <v>1.7999999999999999E-2</v>
      </c>
      <c r="F12" s="39">
        <v>1.7000000000000001E-2</v>
      </c>
      <c r="G12" s="15">
        <f t="shared" si="0"/>
        <v>0.76761532333985083</v>
      </c>
      <c r="H12" s="18">
        <f t="shared" si="1"/>
        <v>2.5085825296094908E-2</v>
      </c>
    </row>
    <row r="13" spans="1:8">
      <c r="A13" s="15">
        <v>5</v>
      </c>
      <c r="B13" s="64">
        <v>7.333333333333333</v>
      </c>
      <c r="C13" s="15">
        <v>2</v>
      </c>
      <c r="D13" s="39">
        <v>4.5999999999999999E-2</v>
      </c>
      <c r="E13" s="39">
        <v>4.5999999999999999E-2</v>
      </c>
      <c r="F13" s="39">
        <v>4.5999999999999999E-2</v>
      </c>
      <c r="G13" s="15">
        <f t="shared" si="0"/>
        <v>1.9986965022811212</v>
      </c>
      <c r="H13" s="18">
        <f t="shared" si="1"/>
        <v>3.6925373547428803E-16</v>
      </c>
    </row>
    <row r="14" spans="1:8">
      <c r="A14" s="15">
        <v>6</v>
      </c>
      <c r="B14" s="64">
        <v>10.333333333333334</v>
      </c>
      <c r="C14" s="15">
        <v>2</v>
      </c>
      <c r="D14" s="39">
        <v>0.11899999999999999</v>
      </c>
      <c r="E14" s="39">
        <v>0.12</v>
      </c>
      <c r="F14" s="39">
        <v>0.124</v>
      </c>
      <c r="G14" s="15">
        <f t="shared" si="0"/>
        <v>5.2574407994786005</v>
      </c>
      <c r="H14" s="18">
        <f t="shared" si="1"/>
        <v>0.1149576932897933</v>
      </c>
    </row>
    <row r="15" spans="1:8">
      <c r="A15" s="15">
        <v>7</v>
      </c>
      <c r="B15" s="64">
        <v>11.666666666666666</v>
      </c>
      <c r="C15" s="15">
        <v>2</v>
      </c>
      <c r="D15" s="39">
        <v>0.156</v>
      </c>
      <c r="E15" s="39">
        <v>0.16200000000000001</v>
      </c>
      <c r="F15" s="39">
        <v>0.16</v>
      </c>
      <c r="G15" s="15">
        <f t="shared" si="0"/>
        <v>6.923021218046201</v>
      </c>
      <c r="H15" s="18">
        <f t="shared" si="1"/>
        <v>0.13274171033256119</v>
      </c>
    </row>
    <row r="16" spans="1:8">
      <c r="A16" s="15">
        <v>8</v>
      </c>
      <c r="B16" s="64">
        <v>13</v>
      </c>
      <c r="C16" s="15">
        <v>2</v>
      </c>
      <c r="D16" s="39">
        <v>0.23100000000000001</v>
      </c>
      <c r="E16" s="39">
        <v>0.23300000000000001</v>
      </c>
      <c r="F16" s="39">
        <v>0.23400000000000001</v>
      </c>
      <c r="G16" s="15">
        <f t="shared" si="0"/>
        <v>10.109348975305961</v>
      </c>
      <c r="H16" s="18">
        <f t="shared" si="1"/>
        <v>6.6370855166280593E-2</v>
      </c>
    </row>
    <row r="17" spans="1:8">
      <c r="A17" s="15">
        <v>9</v>
      </c>
      <c r="B17" s="64">
        <v>14.333333333333334</v>
      </c>
      <c r="C17" s="15">
        <v>2</v>
      </c>
      <c r="D17" s="39">
        <v>0.27300000000000002</v>
      </c>
      <c r="E17" s="39">
        <v>0.27500000000000002</v>
      </c>
      <c r="F17" s="39">
        <v>0.27600000000000002</v>
      </c>
      <c r="G17" s="15">
        <f t="shared" si="0"/>
        <v>11.93424578173655</v>
      </c>
      <c r="H17" s="18">
        <f t="shared" si="1"/>
        <v>6.6370855166280607E-2</v>
      </c>
    </row>
    <row r="18" spans="1:8">
      <c r="A18" s="15">
        <v>10</v>
      </c>
      <c r="B18" s="64">
        <v>15.666666666666666</v>
      </c>
      <c r="C18" s="15">
        <v>2</v>
      </c>
      <c r="D18" s="39">
        <v>0.26900000000000002</v>
      </c>
      <c r="E18" s="39">
        <v>0.26900000000000002</v>
      </c>
      <c r="F18" s="39">
        <v>0.27</v>
      </c>
      <c r="G18" s="15">
        <f t="shared" ref="G18:G23" si="2">(C18*1000*AVERAGE(D18:F18))/$B$2</f>
        <v>11.70251285393584</v>
      </c>
      <c r="H18" s="18">
        <f t="shared" ref="H18:H23" si="3">(C18*1000*STDEV(D18:F18))/$B$2</f>
        <v>2.5085825296094995E-2</v>
      </c>
    </row>
    <row r="19" spans="1:8">
      <c r="A19" s="15">
        <v>11</v>
      </c>
      <c r="B19" s="64">
        <v>17</v>
      </c>
      <c r="C19" s="15">
        <v>2</v>
      </c>
      <c r="D19" s="39">
        <v>0.27100000000000002</v>
      </c>
      <c r="E19" s="39">
        <v>0.26400000000000001</v>
      </c>
      <c r="F19" s="39">
        <v>0.27</v>
      </c>
      <c r="G19" s="15">
        <f t="shared" si="2"/>
        <v>11.659062929973206</v>
      </c>
      <c r="H19" s="18">
        <f t="shared" si="3"/>
        <v>0.16449875721052293</v>
      </c>
    </row>
    <row r="20" spans="1:8">
      <c r="A20" s="15">
        <v>12</v>
      </c>
      <c r="B20" s="64">
        <v>18.333333333333332</v>
      </c>
      <c r="C20" s="15">
        <v>2</v>
      </c>
      <c r="D20" s="39">
        <v>0.27800000000000002</v>
      </c>
      <c r="E20" s="39">
        <v>0.27200000000000002</v>
      </c>
      <c r="F20" s="39">
        <v>0.26600000000000001</v>
      </c>
      <c r="G20" s="15">
        <f>(C20*1000*AVERAGE(D20:F20))/$B$2</f>
        <v>11.818379317836193</v>
      </c>
      <c r="H20" s="18">
        <f>(C20*1000*STDEV(D20:F20))/$B$2</f>
        <v>0.26069954377579863</v>
      </c>
    </row>
    <row r="21" spans="1:8">
      <c r="A21" s="15">
        <v>13</v>
      </c>
      <c r="B21" s="64">
        <v>24</v>
      </c>
      <c r="C21" s="15">
        <v>2</v>
      </c>
      <c r="D21" s="39">
        <v>0.27400000000000002</v>
      </c>
      <c r="E21" s="74">
        <v>0.27700000000000002</v>
      </c>
      <c r="F21" s="74">
        <v>0.26700000000000002</v>
      </c>
      <c r="G21" s="15">
        <f t="shared" si="2"/>
        <v>11.847345933811283</v>
      </c>
      <c r="H21" s="18">
        <f t="shared" si="3"/>
        <v>0.22296769235050573</v>
      </c>
    </row>
    <row r="22" spans="1:8">
      <c r="A22" s="15">
        <v>14</v>
      </c>
      <c r="B22" s="64">
        <v>30</v>
      </c>
      <c r="C22" s="15">
        <v>2</v>
      </c>
      <c r="D22" s="39">
        <v>0.26800000000000002</v>
      </c>
      <c r="E22" s="39">
        <v>0.26600000000000001</v>
      </c>
      <c r="F22" s="39">
        <v>0.26700000000000002</v>
      </c>
      <c r="G22" s="15">
        <f t="shared" si="2"/>
        <v>11.601129698023028</v>
      </c>
      <c r="H22" s="18">
        <f t="shared" si="3"/>
        <v>4.34499239626331E-2</v>
      </c>
    </row>
    <row r="23" spans="1:8">
      <c r="A23" s="15">
        <v>15</v>
      </c>
      <c r="B23" s="64">
        <v>48</v>
      </c>
      <c r="C23" s="15">
        <v>2</v>
      </c>
      <c r="D23" s="39">
        <v>0.26400000000000001</v>
      </c>
      <c r="E23" s="39">
        <v>0.26700000000000002</v>
      </c>
      <c r="F23" s="39">
        <v>0.26900000000000002</v>
      </c>
      <c r="G23" s="15">
        <f t="shared" si="2"/>
        <v>11.586646390035485</v>
      </c>
      <c r="H23" s="18">
        <f t="shared" si="3"/>
        <v>0.10934657738099436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0" t="s">
        <v>35</v>
      </c>
      <c r="B1" s="20" t="s">
        <v>60</v>
      </c>
    </row>
    <row r="2" spans="1:8">
      <c r="A2" s="20" t="s">
        <v>42</v>
      </c>
      <c r="B2" s="16">
        <v>60.05</v>
      </c>
    </row>
    <row r="4" spans="1:8">
      <c r="A4" s="103" t="s">
        <v>42</v>
      </c>
      <c r="B4" s="104"/>
      <c r="C4" s="104"/>
      <c r="D4" s="104"/>
      <c r="E4" s="104"/>
      <c r="F4" s="104"/>
      <c r="G4" s="104"/>
      <c r="H4" s="105"/>
    </row>
    <row r="5" spans="1:8">
      <c r="A5" s="106" t="s">
        <v>61</v>
      </c>
      <c r="B5" s="104"/>
      <c r="C5" s="105"/>
      <c r="D5" s="107" t="s">
        <v>44</v>
      </c>
      <c r="E5" s="107" t="s">
        <v>45</v>
      </c>
      <c r="F5" s="107" t="s">
        <v>46</v>
      </c>
      <c r="G5" s="109" t="s">
        <v>62</v>
      </c>
      <c r="H5" s="109" t="s">
        <v>63</v>
      </c>
    </row>
    <row r="6" spans="1:8">
      <c r="A6" s="21" t="s">
        <v>4</v>
      </c>
      <c r="B6" s="21" t="s">
        <v>59</v>
      </c>
      <c r="C6" s="21" t="s">
        <v>19</v>
      </c>
      <c r="D6" s="108"/>
      <c r="E6" s="108"/>
      <c r="F6" s="108"/>
      <c r="G6" s="110"/>
      <c r="H6" s="110"/>
    </row>
    <row r="7" spans="1:8">
      <c r="A7" s="15">
        <v>0</v>
      </c>
      <c r="B7" s="64">
        <v>-0.16666666666666666</v>
      </c>
      <c r="C7" s="15">
        <v>2</v>
      </c>
      <c r="D7" s="18">
        <v>2.5030000000000001</v>
      </c>
      <c r="E7" s="18">
        <v>2.5009999999999999</v>
      </c>
      <c r="F7" s="18">
        <v>2.5099999999999998</v>
      </c>
      <c r="G7" s="15">
        <f>(C7*1000*AVERAGE(D7:F7))/$B$2</f>
        <v>83.419372744934776</v>
      </c>
      <c r="H7" s="18">
        <f>(C7*1000*STDEV(D7:F7))/$B$2</f>
        <v>0.15739602418826013</v>
      </c>
    </row>
    <row r="8" spans="1:8">
      <c r="A8" s="15">
        <v>0</v>
      </c>
      <c r="B8" s="64">
        <v>0.16666666666666666</v>
      </c>
      <c r="C8" s="15">
        <v>2</v>
      </c>
      <c r="D8" s="18">
        <v>2.3919999999999999</v>
      </c>
      <c r="E8" s="18">
        <v>2.4140000000000001</v>
      </c>
      <c r="F8" s="18">
        <v>2.411</v>
      </c>
      <c r="G8" s="15">
        <f t="shared" ref="G8:G17" si="0">(C8*1000*AVERAGE(D8:F8))/$B$2</f>
        <v>80.122120455176258</v>
      </c>
      <c r="H8" s="18">
        <f t="shared" ref="H8:H17" si="1">(C8*1000*STDEV(D8:F8))/$B$2</f>
        <v>0.39734732541045686</v>
      </c>
    </row>
    <row r="9" spans="1:8">
      <c r="A9" s="15">
        <v>1</v>
      </c>
      <c r="B9" s="64">
        <v>2</v>
      </c>
      <c r="C9" s="15">
        <v>2</v>
      </c>
      <c r="D9" s="18">
        <v>2.355</v>
      </c>
      <c r="E9" s="18">
        <v>2.4</v>
      </c>
      <c r="F9" s="18">
        <v>2.383</v>
      </c>
      <c r="G9" s="15">
        <f t="shared" si="0"/>
        <v>79.245073549819608</v>
      </c>
      <c r="H9" s="18">
        <f t="shared" si="1"/>
        <v>0.75680164161661911</v>
      </c>
    </row>
    <row r="10" spans="1:8">
      <c r="A10" s="15">
        <v>2</v>
      </c>
      <c r="B10" s="64">
        <v>3.3333333333333335</v>
      </c>
      <c r="C10" s="15">
        <v>2</v>
      </c>
      <c r="D10" s="18">
        <v>2.351</v>
      </c>
      <c r="E10" s="18">
        <v>2.3839999999999999</v>
      </c>
      <c r="F10" s="18">
        <v>2.3660000000000001</v>
      </c>
      <c r="G10" s="15">
        <f t="shared" si="0"/>
        <v>78.83430474604495</v>
      </c>
      <c r="H10" s="18">
        <f t="shared" si="1"/>
        <v>0.55029847266805187</v>
      </c>
    </row>
    <row r="11" spans="1:8">
      <c r="A11" s="15">
        <v>3</v>
      </c>
      <c r="B11" s="64">
        <v>4.666666666666667</v>
      </c>
      <c r="C11" s="15">
        <v>2</v>
      </c>
      <c r="D11" s="18">
        <v>2.3239999999999998</v>
      </c>
      <c r="E11" s="18">
        <v>2.347</v>
      </c>
      <c r="F11" s="18">
        <v>2.3719999999999999</v>
      </c>
      <c r="G11" s="15">
        <f t="shared" si="0"/>
        <v>78.190396891479324</v>
      </c>
      <c r="H11" s="18">
        <f t="shared" si="1"/>
        <v>0.79956514371494214</v>
      </c>
    </row>
    <row r="12" spans="1:8">
      <c r="A12" s="15">
        <v>4</v>
      </c>
      <c r="B12" s="64">
        <v>6</v>
      </c>
      <c r="C12" s="15">
        <v>2</v>
      </c>
      <c r="D12" s="18">
        <v>2.165</v>
      </c>
      <c r="E12" s="18">
        <v>2.23</v>
      </c>
      <c r="F12" s="18">
        <v>2.242</v>
      </c>
      <c r="G12" s="15">
        <f t="shared" si="0"/>
        <v>73.683041909519844</v>
      </c>
      <c r="H12" s="18">
        <f t="shared" si="1"/>
        <v>1.379805279943257</v>
      </c>
    </row>
    <row r="13" spans="1:8">
      <c r="A13" s="15">
        <v>5</v>
      </c>
      <c r="B13" s="64">
        <v>7.333333333333333</v>
      </c>
      <c r="C13" s="15">
        <v>2</v>
      </c>
      <c r="D13" s="18">
        <v>2.0209999999999999</v>
      </c>
      <c r="E13" s="18">
        <v>2.1320000000000001</v>
      </c>
      <c r="F13" s="18">
        <v>2.1139999999999999</v>
      </c>
      <c r="G13" s="15">
        <f t="shared" si="0"/>
        <v>69.57535387177353</v>
      </c>
      <c r="H13" s="18">
        <f t="shared" si="1"/>
        <v>1.984129360014188</v>
      </c>
    </row>
    <row r="14" spans="1:8">
      <c r="A14" s="15">
        <v>6</v>
      </c>
      <c r="B14" s="64">
        <v>10.333333333333334</v>
      </c>
      <c r="C14" s="15">
        <v>2</v>
      </c>
      <c r="D14" s="18">
        <v>1.786</v>
      </c>
      <c r="E14" s="18">
        <v>1.8089999999999999</v>
      </c>
      <c r="F14" s="18">
        <v>1.8640000000000001</v>
      </c>
      <c r="G14" s="15">
        <f t="shared" si="0"/>
        <v>60.605051346100467</v>
      </c>
      <c r="H14" s="18">
        <f t="shared" si="1"/>
        <v>1.3348572349482832</v>
      </c>
    </row>
    <row r="15" spans="1:8">
      <c r="A15" s="15">
        <v>7</v>
      </c>
      <c r="B15" s="64">
        <v>11.666666666666666</v>
      </c>
      <c r="C15" s="15">
        <v>2</v>
      </c>
      <c r="D15" s="18">
        <v>1.7809999999999999</v>
      </c>
      <c r="E15" s="18">
        <v>1.853</v>
      </c>
      <c r="F15" s="18">
        <v>1.82</v>
      </c>
      <c r="G15" s="15">
        <f t="shared" si="0"/>
        <v>60.549542048293084</v>
      </c>
      <c r="H15" s="18">
        <f t="shared" si="1"/>
        <v>1.2003877629269022</v>
      </c>
    </row>
    <row r="16" spans="1:8">
      <c r="A16" s="15">
        <v>8</v>
      </c>
      <c r="B16" s="64">
        <v>13</v>
      </c>
      <c r="C16" s="15">
        <v>2</v>
      </c>
      <c r="D16" s="18">
        <v>1.8740000000000001</v>
      </c>
      <c r="E16" s="18">
        <v>1.887</v>
      </c>
      <c r="F16" s="18">
        <v>1.899</v>
      </c>
      <c r="G16" s="15">
        <f t="shared" si="0"/>
        <v>62.836525117957265</v>
      </c>
      <c r="H16" s="18">
        <f t="shared" si="1"/>
        <v>0.41643073735245034</v>
      </c>
    </row>
    <row r="17" spans="1:8">
      <c r="A17" s="15">
        <v>9</v>
      </c>
      <c r="B17" s="64">
        <v>14.333333333333334</v>
      </c>
      <c r="C17" s="15">
        <v>2</v>
      </c>
      <c r="D17" s="18">
        <v>1.927</v>
      </c>
      <c r="E17" s="18">
        <v>1.887</v>
      </c>
      <c r="F17" s="18">
        <v>1.9059999999999999</v>
      </c>
      <c r="G17" s="15">
        <f t="shared" si="0"/>
        <v>63.502636691645847</v>
      </c>
      <c r="H17" s="18">
        <f t="shared" si="1"/>
        <v>0.66638906237952522</v>
      </c>
    </row>
    <row r="18" spans="1:8">
      <c r="A18" s="15">
        <v>10</v>
      </c>
      <c r="B18" s="64">
        <v>15.666666666666666</v>
      </c>
      <c r="C18" s="15">
        <v>2</v>
      </c>
      <c r="D18" s="18">
        <v>1.8859999999999999</v>
      </c>
      <c r="E18" s="18">
        <v>1.885</v>
      </c>
      <c r="F18" s="18">
        <v>1.901</v>
      </c>
      <c r="G18" s="15">
        <f t="shared" ref="G18:G23" si="2">(C18*1000*AVERAGE(D18:F18))/$B$2</f>
        <v>62.969747432694973</v>
      </c>
      <c r="H18" s="18">
        <f t="shared" ref="H18:H23" si="3">(C18*1000*STDEV(D18:F18))/$B$2</f>
        <v>0.29851411956145008</v>
      </c>
    </row>
    <row r="19" spans="1:8">
      <c r="A19" s="15">
        <v>11</v>
      </c>
      <c r="B19" s="64">
        <v>17</v>
      </c>
      <c r="C19" s="15">
        <v>2</v>
      </c>
      <c r="D19" s="18">
        <v>1.887</v>
      </c>
      <c r="E19" s="18">
        <v>1.8759999999999999</v>
      </c>
      <c r="F19" s="18">
        <v>1.893</v>
      </c>
      <c r="G19" s="15">
        <f t="shared" si="2"/>
        <v>62.792117679711353</v>
      </c>
      <c r="H19" s="18">
        <f t="shared" si="3"/>
        <v>0.28714997849298174</v>
      </c>
    </row>
    <row r="20" spans="1:8">
      <c r="A20" s="15">
        <v>12</v>
      </c>
      <c r="B20" s="64">
        <v>18.333333333333332</v>
      </c>
      <c r="C20" s="15">
        <v>2</v>
      </c>
      <c r="D20" s="18">
        <v>1.9139999999999999</v>
      </c>
      <c r="E20" s="18">
        <v>1.8819999999999999</v>
      </c>
      <c r="F20" s="18">
        <v>1.88</v>
      </c>
      <c r="G20" s="15">
        <f t="shared" si="2"/>
        <v>63.014154870940892</v>
      </c>
      <c r="H20" s="18">
        <f t="shared" si="3"/>
        <v>0.63542994265908181</v>
      </c>
    </row>
    <row r="21" spans="1:8">
      <c r="A21" s="15">
        <v>13</v>
      </c>
      <c r="B21" s="64">
        <v>24</v>
      </c>
      <c r="C21" s="15">
        <v>2</v>
      </c>
      <c r="D21" s="18">
        <v>1.907</v>
      </c>
      <c r="E21" s="18">
        <v>1.8959999999999999</v>
      </c>
      <c r="F21" s="18">
        <v>1.83</v>
      </c>
      <c r="G21" s="15">
        <f t="shared" si="2"/>
        <v>62.536774909797387</v>
      </c>
      <c r="H21" s="18">
        <f t="shared" si="3"/>
        <v>1.3870217441865764</v>
      </c>
    </row>
    <row r="22" spans="1:8">
      <c r="A22" s="15">
        <v>14</v>
      </c>
      <c r="B22" s="64">
        <v>30</v>
      </c>
      <c r="C22" s="15">
        <v>2</v>
      </c>
      <c r="D22" s="18">
        <v>1.859</v>
      </c>
      <c r="E22" s="18">
        <v>1.8460000000000001</v>
      </c>
      <c r="F22" s="18">
        <v>1.853</v>
      </c>
      <c r="G22" s="15">
        <f t="shared" si="2"/>
        <v>61.704135442686656</v>
      </c>
      <c r="H22" s="18">
        <f t="shared" si="3"/>
        <v>0.21669965357694124</v>
      </c>
    </row>
    <row r="23" spans="1:8">
      <c r="A23" s="15">
        <v>15</v>
      </c>
      <c r="B23" s="64">
        <v>48</v>
      </c>
      <c r="C23" s="15">
        <v>2</v>
      </c>
      <c r="D23" s="18">
        <v>1.825</v>
      </c>
      <c r="E23" s="18">
        <v>1.837</v>
      </c>
      <c r="F23" s="18">
        <v>1.85</v>
      </c>
      <c r="G23" s="15">
        <f t="shared" si="2"/>
        <v>61.193449902858738</v>
      </c>
      <c r="H23" s="18">
        <f t="shared" si="3"/>
        <v>0.41643073735245417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66</v>
      </c>
      <c r="B2" s="16">
        <v>74.08</v>
      </c>
    </row>
    <row r="4" spans="1:8">
      <c r="A4" s="103" t="s">
        <v>66</v>
      </c>
      <c r="B4" s="104"/>
      <c r="C4" s="104"/>
      <c r="D4" s="104"/>
      <c r="E4" s="104"/>
      <c r="F4" s="104"/>
      <c r="G4" s="104"/>
      <c r="H4" s="105"/>
    </row>
    <row r="5" spans="1:8">
      <c r="A5" s="106" t="s">
        <v>61</v>
      </c>
      <c r="B5" s="104"/>
      <c r="C5" s="105"/>
      <c r="D5" s="107" t="s">
        <v>44</v>
      </c>
      <c r="E5" s="107" t="s">
        <v>45</v>
      </c>
      <c r="F5" s="107" t="s">
        <v>46</v>
      </c>
      <c r="G5" s="109" t="s">
        <v>62</v>
      </c>
      <c r="H5" s="109" t="s">
        <v>63</v>
      </c>
    </row>
    <row r="6" spans="1:8">
      <c r="A6" s="28" t="s">
        <v>4</v>
      </c>
      <c r="B6" s="28" t="s">
        <v>59</v>
      </c>
      <c r="C6" s="28" t="s">
        <v>19</v>
      </c>
      <c r="D6" s="108"/>
      <c r="E6" s="108"/>
      <c r="F6" s="108"/>
      <c r="G6" s="110"/>
      <c r="H6" s="110"/>
    </row>
    <row r="7" spans="1:8">
      <c r="A7" s="15">
        <v>0</v>
      </c>
      <c r="B7" s="64">
        <v>-0.16666666666666666</v>
      </c>
      <c r="C7" s="15">
        <v>2</v>
      </c>
      <c r="D7" s="39">
        <v>0</v>
      </c>
      <c r="E7" s="39">
        <v>0</v>
      </c>
      <c r="F7" s="39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15">
        <v>0</v>
      </c>
      <c r="B8" s="64">
        <v>0.16666666666666666</v>
      </c>
      <c r="C8" s="15">
        <v>2</v>
      </c>
      <c r="D8" s="39">
        <v>0</v>
      </c>
      <c r="E8" s="39">
        <v>0</v>
      </c>
      <c r="F8" s="39">
        <v>0</v>
      </c>
      <c r="G8" s="15">
        <f t="shared" ref="G8:G17" si="0">(C8*1000*AVERAGE(D8:F8))/$B$2</f>
        <v>0</v>
      </c>
      <c r="H8" s="18">
        <f t="shared" ref="H8:H17" si="1">(C8*1000*STDEV(D8:F8))/$B$2</f>
        <v>0</v>
      </c>
    </row>
    <row r="9" spans="1:8">
      <c r="A9" s="15">
        <v>1</v>
      </c>
      <c r="B9" s="64">
        <v>2</v>
      </c>
      <c r="C9" s="15">
        <v>2</v>
      </c>
      <c r="D9" s="39">
        <v>0</v>
      </c>
      <c r="E9" s="39">
        <v>0</v>
      </c>
      <c r="F9" s="39">
        <v>0</v>
      </c>
      <c r="G9" s="15">
        <f t="shared" si="0"/>
        <v>0</v>
      </c>
      <c r="H9" s="18">
        <f t="shared" si="1"/>
        <v>0</v>
      </c>
    </row>
    <row r="10" spans="1:8">
      <c r="A10" s="15">
        <v>2</v>
      </c>
      <c r="B10" s="64">
        <v>3.3333333333333335</v>
      </c>
      <c r="C10" s="15">
        <v>2</v>
      </c>
      <c r="D10" s="39">
        <v>0</v>
      </c>
      <c r="E10" s="39">
        <v>0</v>
      </c>
      <c r="F10" s="39">
        <v>0</v>
      </c>
      <c r="G10" s="15">
        <f t="shared" si="0"/>
        <v>0</v>
      </c>
      <c r="H10" s="18">
        <f t="shared" si="1"/>
        <v>0</v>
      </c>
    </row>
    <row r="11" spans="1:8">
      <c r="A11" s="15">
        <v>3</v>
      </c>
      <c r="B11" s="64">
        <v>4.666666666666667</v>
      </c>
      <c r="C11" s="15">
        <v>2</v>
      </c>
      <c r="D11" s="39">
        <v>0</v>
      </c>
      <c r="E11" s="39">
        <v>0</v>
      </c>
      <c r="F11" s="39">
        <v>0</v>
      </c>
      <c r="G11" s="15">
        <f t="shared" si="0"/>
        <v>0</v>
      </c>
      <c r="H11" s="18">
        <f t="shared" si="1"/>
        <v>0</v>
      </c>
    </row>
    <row r="12" spans="1:8">
      <c r="A12" s="15">
        <v>4</v>
      </c>
      <c r="B12" s="64">
        <v>6</v>
      </c>
      <c r="C12" s="15">
        <v>2</v>
      </c>
      <c r="D12" s="39">
        <v>0</v>
      </c>
      <c r="E12" s="39">
        <v>0</v>
      </c>
      <c r="F12" s="39">
        <v>0</v>
      </c>
      <c r="G12" s="15">
        <f t="shared" si="0"/>
        <v>0</v>
      </c>
      <c r="H12" s="18">
        <f t="shared" si="1"/>
        <v>0</v>
      </c>
    </row>
    <row r="13" spans="1:8">
      <c r="A13" s="15">
        <v>5</v>
      </c>
      <c r="B13" s="64">
        <v>7.333333333333333</v>
      </c>
      <c r="C13" s="15">
        <v>2</v>
      </c>
      <c r="D13" s="39">
        <v>0</v>
      </c>
      <c r="E13" s="39">
        <v>0</v>
      </c>
      <c r="F13" s="39">
        <v>0</v>
      </c>
      <c r="G13" s="15">
        <f t="shared" si="0"/>
        <v>0</v>
      </c>
      <c r="H13" s="18">
        <f t="shared" si="1"/>
        <v>0</v>
      </c>
    </row>
    <row r="14" spans="1:8">
      <c r="A14" s="15">
        <v>6</v>
      </c>
      <c r="B14" s="64">
        <v>10.333333333333334</v>
      </c>
      <c r="C14" s="15">
        <v>2</v>
      </c>
      <c r="D14" s="39">
        <v>0</v>
      </c>
      <c r="E14" s="39">
        <v>0</v>
      </c>
      <c r="F14" s="39">
        <v>0</v>
      </c>
      <c r="G14" s="15">
        <f t="shared" si="0"/>
        <v>0</v>
      </c>
      <c r="H14" s="18">
        <f t="shared" si="1"/>
        <v>0</v>
      </c>
    </row>
    <row r="15" spans="1:8">
      <c r="A15" s="15">
        <v>7</v>
      </c>
      <c r="B15" s="64">
        <v>11.666666666666666</v>
      </c>
      <c r="C15" s="15">
        <v>2</v>
      </c>
      <c r="D15" s="39">
        <v>0</v>
      </c>
      <c r="E15" s="39">
        <v>0</v>
      </c>
      <c r="F15" s="39">
        <v>0</v>
      </c>
      <c r="G15" s="15">
        <f t="shared" si="0"/>
        <v>0</v>
      </c>
      <c r="H15" s="18">
        <f t="shared" si="1"/>
        <v>0</v>
      </c>
    </row>
    <row r="16" spans="1:8">
      <c r="A16" s="15">
        <v>8</v>
      </c>
      <c r="B16" s="64">
        <v>13</v>
      </c>
      <c r="C16" s="15">
        <v>2</v>
      </c>
      <c r="D16" s="39">
        <v>0</v>
      </c>
      <c r="E16" s="39">
        <v>0</v>
      </c>
      <c r="F16" s="39">
        <v>0</v>
      </c>
      <c r="G16" s="15">
        <f t="shared" si="0"/>
        <v>0</v>
      </c>
      <c r="H16" s="18">
        <f t="shared" si="1"/>
        <v>0</v>
      </c>
    </row>
    <row r="17" spans="1:8">
      <c r="A17" s="15">
        <v>9</v>
      </c>
      <c r="B17" s="64">
        <v>14.333333333333334</v>
      </c>
      <c r="C17" s="15">
        <v>2</v>
      </c>
      <c r="D17" s="39">
        <v>0</v>
      </c>
      <c r="E17" s="39">
        <v>0</v>
      </c>
      <c r="F17" s="39">
        <v>0</v>
      </c>
      <c r="G17" s="15">
        <f t="shared" si="0"/>
        <v>0</v>
      </c>
      <c r="H17" s="18">
        <f t="shared" si="1"/>
        <v>0</v>
      </c>
    </row>
    <row r="18" spans="1:8">
      <c r="A18" s="15">
        <v>10</v>
      </c>
      <c r="B18" s="64">
        <v>15.666666666666666</v>
      </c>
      <c r="C18" s="15">
        <v>2</v>
      </c>
      <c r="D18" s="39">
        <v>0</v>
      </c>
      <c r="E18" s="39">
        <v>0</v>
      </c>
      <c r="F18" s="39">
        <v>0</v>
      </c>
      <c r="G18" s="15">
        <f t="shared" ref="G18:G23" si="2">(C18*1000*AVERAGE(D18:F18))/$B$2</f>
        <v>0</v>
      </c>
      <c r="H18" s="18">
        <f t="shared" ref="H18:H23" si="3">(C18*1000*STDEV(D18:F18))/$B$2</f>
        <v>0</v>
      </c>
    </row>
    <row r="19" spans="1:8">
      <c r="A19" s="15">
        <v>11</v>
      </c>
      <c r="B19" s="64">
        <v>17</v>
      </c>
      <c r="C19" s="15">
        <v>2</v>
      </c>
      <c r="D19" s="39">
        <v>0</v>
      </c>
      <c r="E19" s="39">
        <v>0</v>
      </c>
      <c r="F19" s="39">
        <v>0</v>
      </c>
      <c r="G19" s="15">
        <f t="shared" si="2"/>
        <v>0</v>
      </c>
      <c r="H19" s="18">
        <f t="shared" si="3"/>
        <v>0</v>
      </c>
    </row>
    <row r="20" spans="1:8">
      <c r="A20" s="15">
        <v>12</v>
      </c>
      <c r="B20" s="64">
        <v>18.333333333333332</v>
      </c>
      <c r="C20" s="15">
        <v>2</v>
      </c>
      <c r="D20" s="39">
        <v>0</v>
      </c>
      <c r="E20" s="39">
        <v>0</v>
      </c>
      <c r="F20" s="39">
        <v>0</v>
      </c>
      <c r="G20" s="15">
        <f t="shared" si="2"/>
        <v>0</v>
      </c>
      <c r="H20" s="18">
        <f t="shared" si="3"/>
        <v>0</v>
      </c>
    </row>
    <row r="21" spans="1:8">
      <c r="A21" s="15">
        <v>13</v>
      </c>
      <c r="B21" s="64">
        <v>24</v>
      </c>
      <c r="C21" s="15">
        <v>2</v>
      </c>
      <c r="D21" s="39">
        <v>0</v>
      </c>
      <c r="E21" s="39">
        <v>0</v>
      </c>
      <c r="F21" s="39">
        <v>0</v>
      </c>
      <c r="G21" s="15">
        <f t="shared" si="2"/>
        <v>0</v>
      </c>
      <c r="H21" s="18">
        <f t="shared" si="3"/>
        <v>0</v>
      </c>
    </row>
    <row r="22" spans="1:8">
      <c r="A22" s="15">
        <v>14</v>
      </c>
      <c r="B22" s="64">
        <v>30</v>
      </c>
      <c r="C22" s="15">
        <v>2</v>
      </c>
      <c r="D22" s="39">
        <v>0</v>
      </c>
      <c r="E22" s="39">
        <v>0</v>
      </c>
      <c r="F22" s="39">
        <v>0</v>
      </c>
      <c r="G22" s="15">
        <f t="shared" si="2"/>
        <v>0</v>
      </c>
      <c r="H22" s="18">
        <f t="shared" si="3"/>
        <v>0</v>
      </c>
    </row>
    <row r="23" spans="1:8">
      <c r="A23" s="15">
        <v>15</v>
      </c>
      <c r="B23" s="64">
        <v>48</v>
      </c>
      <c r="C23" s="15">
        <v>2</v>
      </c>
      <c r="D23" s="39">
        <v>0</v>
      </c>
      <c r="E23" s="39">
        <v>0</v>
      </c>
      <c r="F23" s="39">
        <v>0</v>
      </c>
      <c r="G23" s="15">
        <f t="shared" si="2"/>
        <v>0</v>
      </c>
      <c r="H23" s="18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65</v>
      </c>
      <c r="B2" s="16">
        <v>88.11</v>
      </c>
    </row>
    <row r="4" spans="1:8">
      <c r="A4" s="103" t="s">
        <v>65</v>
      </c>
      <c r="B4" s="104"/>
      <c r="C4" s="104"/>
      <c r="D4" s="104"/>
      <c r="E4" s="104"/>
      <c r="F4" s="104"/>
      <c r="G4" s="104"/>
      <c r="H4" s="105"/>
    </row>
    <row r="5" spans="1:8">
      <c r="A5" s="106" t="s">
        <v>61</v>
      </c>
      <c r="B5" s="104"/>
      <c r="C5" s="105"/>
      <c r="D5" s="107" t="s">
        <v>44</v>
      </c>
      <c r="E5" s="107" t="s">
        <v>45</v>
      </c>
      <c r="F5" s="107" t="s">
        <v>46</v>
      </c>
      <c r="G5" s="109" t="s">
        <v>62</v>
      </c>
      <c r="H5" s="109" t="s">
        <v>63</v>
      </c>
    </row>
    <row r="6" spans="1:8">
      <c r="A6" s="28" t="s">
        <v>4</v>
      </c>
      <c r="B6" s="28" t="s">
        <v>59</v>
      </c>
      <c r="C6" s="28" t="s">
        <v>19</v>
      </c>
      <c r="D6" s="108"/>
      <c r="E6" s="108"/>
      <c r="F6" s="108"/>
      <c r="G6" s="110"/>
      <c r="H6" s="110"/>
    </row>
    <row r="7" spans="1:8">
      <c r="A7" s="15">
        <v>0</v>
      </c>
      <c r="B7" s="64">
        <v>-0.16666666666666666</v>
      </c>
      <c r="C7" s="15">
        <v>2</v>
      </c>
      <c r="D7" s="39">
        <v>0</v>
      </c>
      <c r="E7" s="39">
        <v>0</v>
      </c>
      <c r="F7" s="39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15">
        <v>0</v>
      </c>
      <c r="B8" s="64">
        <v>0.16666666666666666</v>
      </c>
      <c r="C8" s="15">
        <v>2</v>
      </c>
      <c r="D8" s="39">
        <v>0.114</v>
      </c>
      <c r="E8" s="39">
        <v>0.104</v>
      </c>
      <c r="F8" s="39">
        <v>0.125</v>
      </c>
      <c r="G8" s="15">
        <f>(C8*1000*AVERAGE(D8:F8))/$B$2</f>
        <v>2.5952407974879885</v>
      </c>
      <c r="H8" s="18">
        <f t="shared" ref="H8:H17" si="0">(C8*1000*STDEV(D8:F8))/$B$2</f>
        <v>0.23842849856752898</v>
      </c>
    </row>
    <row r="9" spans="1:8">
      <c r="A9" s="15">
        <v>1</v>
      </c>
      <c r="B9" s="64">
        <v>2</v>
      </c>
      <c r="C9" s="15">
        <v>2</v>
      </c>
      <c r="D9" s="39">
        <v>0.157</v>
      </c>
      <c r="E9" s="39">
        <v>0.16200000000000001</v>
      </c>
      <c r="F9" s="39">
        <v>0.157</v>
      </c>
      <c r="G9" s="15">
        <f t="shared" ref="G9:G17" si="1">(C9*1000*AVERAGE(D9:F9))/$B$2</f>
        <v>3.6015586577384329</v>
      </c>
      <c r="H9" s="18">
        <f t="shared" si="0"/>
        <v>6.5526077538261979E-2</v>
      </c>
    </row>
    <row r="10" spans="1:8">
      <c r="A10" s="15">
        <v>2</v>
      </c>
      <c r="B10" s="64">
        <v>3.3333333333333335</v>
      </c>
      <c r="C10" s="15">
        <v>2</v>
      </c>
      <c r="D10" s="60">
        <v>0.222</v>
      </c>
      <c r="E10" s="60">
        <v>0.218</v>
      </c>
      <c r="F10" s="60">
        <v>0.223</v>
      </c>
      <c r="G10" s="15">
        <f t="shared" si="1"/>
        <v>5.0164567018499602</v>
      </c>
      <c r="H10" s="18">
        <f t="shared" si="0"/>
        <v>6.0055642062526227E-2</v>
      </c>
    </row>
    <row r="11" spans="1:8">
      <c r="A11" s="15">
        <v>3</v>
      </c>
      <c r="B11" s="64">
        <v>4.666666666666667</v>
      </c>
      <c r="C11" s="15">
        <v>2</v>
      </c>
      <c r="D11" s="60">
        <v>0.35</v>
      </c>
      <c r="E11" s="60">
        <v>0.35299999999999998</v>
      </c>
      <c r="F11" s="60">
        <v>0.36</v>
      </c>
      <c r="G11" s="15">
        <f t="shared" si="1"/>
        <v>8.0429765823024244</v>
      </c>
      <c r="H11" s="18">
        <f t="shared" si="0"/>
        <v>0.11648170331283372</v>
      </c>
    </row>
    <row r="12" spans="1:8">
      <c r="A12" s="15">
        <v>4</v>
      </c>
      <c r="B12" s="64">
        <v>6</v>
      </c>
      <c r="C12" s="15">
        <v>2</v>
      </c>
      <c r="D12" s="75">
        <v>0.72899999999999998</v>
      </c>
      <c r="E12" s="75">
        <v>0.76</v>
      </c>
      <c r="F12" s="75">
        <v>0.75700000000000001</v>
      </c>
      <c r="G12" s="15">
        <f t="shared" si="1"/>
        <v>16.99390912874059</v>
      </c>
      <c r="H12" s="18">
        <f t="shared" si="0"/>
        <v>0.38810028686058096</v>
      </c>
    </row>
    <row r="13" spans="1:8">
      <c r="A13" s="15">
        <v>5</v>
      </c>
      <c r="B13" s="64">
        <v>7.333333333333333</v>
      </c>
      <c r="C13" s="15">
        <v>2</v>
      </c>
      <c r="D13" s="75">
        <v>1.089</v>
      </c>
      <c r="E13" s="75">
        <v>1.147</v>
      </c>
      <c r="F13" s="75">
        <v>1.139</v>
      </c>
      <c r="G13" s="15">
        <f t="shared" si="1"/>
        <v>25.536261491317671</v>
      </c>
      <c r="H13" s="18">
        <f t="shared" si="0"/>
        <v>0.71348240360920323</v>
      </c>
    </row>
    <row r="14" spans="1:8">
      <c r="A14" s="15">
        <v>6</v>
      </c>
      <c r="B14" s="64">
        <v>10.333333333333334</v>
      </c>
      <c r="C14" s="15">
        <v>2</v>
      </c>
      <c r="D14" s="75">
        <v>2.1269999999999998</v>
      </c>
      <c r="E14" s="75">
        <v>2.1560000000000001</v>
      </c>
      <c r="F14" s="75">
        <v>2.222</v>
      </c>
      <c r="G14" s="15">
        <f t="shared" si="1"/>
        <v>49.218779555858198</v>
      </c>
      <c r="H14" s="18">
        <f t="shared" si="0"/>
        <v>1.1051201723219128</v>
      </c>
    </row>
    <row r="15" spans="1:8">
      <c r="A15" s="15">
        <v>7</v>
      </c>
      <c r="B15" s="64">
        <v>11.666666666666666</v>
      </c>
      <c r="C15" s="15">
        <v>2</v>
      </c>
      <c r="D15" s="75">
        <v>2.5270000000000001</v>
      </c>
      <c r="E15" s="75">
        <v>2.6320000000000001</v>
      </c>
      <c r="F15" s="75">
        <v>2.5830000000000002</v>
      </c>
      <c r="G15" s="15">
        <f t="shared" si="1"/>
        <v>58.578292286157463</v>
      </c>
      <c r="H15" s="18">
        <f t="shared" si="0"/>
        <v>1.1925746111963667</v>
      </c>
    </row>
    <row r="16" spans="1:8">
      <c r="A16" s="15">
        <v>8</v>
      </c>
      <c r="B16" s="64">
        <v>13</v>
      </c>
      <c r="C16" s="15">
        <v>2</v>
      </c>
      <c r="D16" s="50">
        <v>2.8660000000000001</v>
      </c>
      <c r="E16" s="50">
        <v>2.891</v>
      </c>
      <c r="F16" s="50">
        <v>2.9049999999999998</v>
      </c>
      <c r="G16" s="15">
        <f t="shared" si="1"/>
        <v>65.539288011198124</v>
      </c>
      <c r="H16" s="18">
        <f t="shared" si="0"/>
        <v>0.44845886619717285</v>
      </c>
    </row>
    <row r="17" spans="1:8">
      <c r="A17" s="15">
        <v>9</v>
      </c>
      <c r="B17" s="64">
        <v>14.333333333333334</v>
      </c>
      <c r="C17" s="15">
        <v>2</v>
      </c>
      <c r="D17" s="50">
        <v>2.97</v>
      </c>
      <c r="E17" s="50">
        <v>2.952</v>
      </c>
      <c r="F17" s="50">
        <v>2.9729999999999999</v>
      </c>
      <c r="G17" s="15">
        <f t="shared" si="1"/>
        <v>67.302235841561682</v>
      </c>
      <c r="H17" s="18">
        <f t="shared" si="0"/>
        <v>0.25780993511747968</v>
      </c>
    </row>
    <row r="18" spans="1:8">
      <c r="A18" s="15">
        <v>10</v>
      </c>
      <c r="B18" s="64">
        <v>15.666666666666666</v>
      </c>
      <c r="C18" s="15">
        <v>2</v>
      </c>
      <c r="D18" s="50">
        <v>2.9609999999999999</v>
      </c>
      <c r="E18" s="50">
        <v>2.96</v>
      </c>
      <c r="F18" s="50">
        <v>2.996</v>
      </c>
      <c r="G18" s="15">
        <f t="shared" ref="G18:G23" si="2">(C18*1000*AVERAGE(D18:F18))/$B$2</f>
        <v>67.468694434986574</v>
      </c>
      <c r="H18" s="18">
        <f t="shared" ref="H18:H23" si="3">(C18*1000*STDEV(D18:F18))/$B$2</f>
        <v>0.4653735653064523</v>
      </c>
    </row>
    <row r="19" spans="1:8">
      <c r="A19" s="15">
        <v>11</v>
      </c>
      <c r="B19" s="64">
        <v>17</v>
      </c>
      <c r="C19" s="15">
        <v>2</v>
      </c>
      <c r="D19" s="50">
        <v>2.976</v>
      </c>
      <c r="E19" s="50">
        <v>2.9550000000000001</v>
      </c>
      <c r="F19" s="50">
        <v>2.976</v>
      </c>
      <c r="G19" s="15">
        <f t="shared" si="2"/>
        <v>67.393031437975253</v>
      </c>
      <c r="H19" s="18">
        <f t="shared" si="3"/>
        <v>0.27520952566069884</v>
      </c>
    </row>
    <row r="20" spans="1:8">
      <c r="A20" s="15">
        <v>12</v>
      </c>
      <c r="B20" s="64">
        <v>18.333333333333332</v>
      </c>
      <c r="C20" s="15">
        <v>2</v>
      </c>
      <c r="D20" s="50">
        <v>3.0259999999999998</v>
      </c>
      <c r="E20" s="50">
        <v>2.976</v>
      </c>
      <c r="F20" s="50">
        <v>2.9849999999999999</v>
      </c>
      <c r="G20" s="15">
        <f t="shared" si="2"/>
        <v>67.99833541406575</v>
      </c>
      <c r="H20" s="18">
        <f t="shared" si="3"/>
        <v>0.60497285991421668</v>
      </c>
    </row>
    <row r="21" spans="1:8">
      <c r="A21" s="15">
        <v>13</v>
      </c>
      <c r="B21" s="64">
        <v>24</v>
      </c>
      <c r="C21" s="15">
        <v>2</v>
      </c>
      <c r="D21" s="50">
        <v>3.0880000000000001</v>
      </c>
      <c r="E21" s="50">
        <v>3.0750000000000002</v>
      </c>
      <c r="F21" s="50">
        <v>2.956</v>
      </c>
      <c r="G21" s="15">
        <f t="shared" si="2"/>
        <v>68.997086974615058</v>
      </c>
      <c r="H21" s="18">
        <f t="shared" si="3"/>
        <v>1.6513091579687493</v>
      </c>
    </row>
    <row r="22" spans="1:8">
      <c r="A22" s="15">
        <v>14</v>
      </c>
      <c r="B22" s="64">
        <v>30</v>
      </c>
      <c r="C22" s="15">
        <v>2</v>
      </c>
      <c r="D22" s="50">
        <v>3.07</v>
      </c>
      <c r="E22" s="50">
        <v>3.0609999999999999</v>
      </c>
      <c r="F22" s="50">
        <v>3.0760000000000001</v>
      </c>
      <c r="G22" s="15">
        <f t="shared" si="2"/>
        <v>69.662921348314612</v>
      </c>
      <c r="H22" s="18">
        <f t="shared" si="3"/>
        <v>0.17137293009353763</v>
      </c>
    </row>
    <row r="23" spans="1:8">
      <c r="A23" s="15">
        <v>15</v>
      </c>
      <c r="B23" s="64">
        <v>48</v>
      </c>
      <c r="C23" s="15">
        <v>2</v>
      </c>
      <c r="D23" s="50">
        <v>3.1110000000000002</v>
      </c>
      <c r="E23" s="50">
        <v>3.1309999999999998</v>
      </c>
      <c r="F23" s="50">
        <v>3.1459999999999999</v>
      </c>
      <c r="G23" s="15">
        <f t="shared" si="2"/>
        <v>71.032421594219358</v>
      </c>
      <c r="H23" s="18">
        <f t="shared" si="3"/>
        <v>0.39857956920715165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0" t="s">
        <v>35</v>
      </c>
      <c r="B1" s="20" t="s">
        <v>60</v>
      </c>
    </row>
    <row r="2" spans="1:8">
      <c r="A2" s="20" t="s">
        <v>41</v>
      </c>
      <c r="B2" s="16">
        <v>90.08</v>
      </c>
    </row>
    <row r="4" spans="1:8">
      <c r="A4" s="103" t="s">
        <v>41</v>
      </c>
      <c r="B4" s="104"/>
      <c r="C4" s="104"/>
      <c r="D4" s="104"/>
      <c r="E4" s="104"/>
      <c r="F4" s="104"/>
      <c r="G4" s="104"/>
      <c r="H4" s="105"/>
    </row>
    <row r="5" spans="1:8">
      <c r="A5" s="106" t="s">
        <v>61</v>
      </c>
      <c r="B5" s="104"/>
      <c r="C5" s="105"/>
      <c r="D5" s="107" t="s">
        <v>44</v>
      </c>
      <c r="E5" s="107" t="s">
        <v>45</v>
      </c>
      <c r="F5" s="107" t="s">
        <v>46</v>
      </c>
      <c r="G5" s="109" t="s">
        <v>62</v>
      </c>
      <c r="H5" s="109" t="s">
        <v>63</v>
      </c>
    </row>
    <row r="6" spans="1:8">
      <c r="A6" s="21" t="s">
        <v>4</v>
      </c>
      <c r="B6" s="21" t="s">
        <v>59</v>
      </c>
      <c r="C6" s="21" t="s">
        <v>19</v>
      </c>
      <c r="D6" s="108"/>
      <c r="E6" s="108"/>
      <c r="F6" s="108"/>
      <c r="G6" s="110"/>
      <c r="H6" s="110"/>
    </row>
    <row r="7" spans="1:8">
      <c r="A7" s="15">
        <v>0</v>
      </c>
      <c r="B7" s="64">
        <v>-0.16666666666666666</v>
      </c>
      <c r="C7" s="15">
        <v>2</v>
      </c>
      <c r="D7" s="39">
        <v>0.02</v>
      </c>
      <c r="E7" s="39">
        <v>0.02</v>
      </c>
      <c r="F7" s="39">
        <v>0.02</v>
      </c>
      <c r="G7" s="15">
        <f>(C7*1000*AVERAGE(D7:F7))/$B$2</f>
        <v>0.44404973357015987</v>
      </c>
      <c r="H7" s="18">
        <f>(C7*1000*STDEV(D7:F7))/$B$2</f>
        <v>0</v>
      </c>
    </row>
    <row r="8" spans="1:8">
      <c r="A8" s="15">
        <v>0</v>
      </c>
      <c r="B8" s="64">
        <v>0.16666666666666666</v>
      </c>
      <c r="C8" s="15">
        <v>2</v>
      </c>
      <c r="D8" s="39">
        <v>3.4000000000000002E-2</v>
      </c>
      <c r="E8" s="39">
        <v>3.5000000000000003E-2</v>
      </c>
      <c r="F8" s="39">
        <v>3.5000000000000003E-2</v>
      </c>
      <c r="G8" s="15">
        <f t="shared" ref="G8:G17" si="0">(C8*1000*AVERAGE(D8:F8))/$B$2</f>
        <v>0.76968620485494388</v>
      </c>
      <c r="H8" s="18">
        <f t="shared" ref="H8:H17" si="1">(C8*1000*STDEV(D8:F8))/$B$2</f>
        <v>1.2818611660515681E-2</v>
      </c>
    </row>
    <row r="9" spans="1:8">
      <c r="A9" s="15">
        <v>1</v>
      </c>
      <c r="B9" s="64">
        <v>2</v>
      </c>
      <c r="C9" s="15">
        <v>2</v>
      </c>
      <c r="D9" s="39">
        <v>3.4000000000000002E-2</v>
      </c>
      <c r="E9" s="39">
        <v>3.5000000000000003E-2</v>
      </c>
      <c r="F9" s="39">
        <v>3.5999999999999997E-2</v>
      </c>
      <c r="G9" s="15">
        <f t="shared" si="0"/>
        <v>0.77708703374777977</v>
      </c>
      <c r="H9" s="18">
        <f t="shared" si="1"/>
        <v>2.2202486678507938E-2</v>
      </c>
    </row>
    <row r="10" spans="1:8">
      <c r="A10" s="15">
        <v>2</v>
      </c>
      <c r="B10" s="64">
        <v>3.3333333333333335</v>
      </c>
      <c r="C10" s="15">
        <v>2</v>
      </c>
      <c r="D10" s="39">
        <v>3.5999999999999997E-2</v>
      </c>
      <c r="E10" s="39">
        <v>3.5999999999999997E-2</v>
      </c>
      <c r="F10" s="39">
        <v>3.5999999999999997E-2</v>
      </c>
      <c r="G10" s="15">
        <f t="shared" si="0"/>
        <v>0.79928952042628776</v>
      </c>
      <c r="H10" s="18">
        <f t="shared" si="1"/>
        <v>0</v>
      </c>
    </row>
    <row r="11" spans="1:8">
      <c r="A11" s="15">
        <v>3</v>
      </c>
      <c r="B11" s="64">
        <v>4.666666666666667</v>
      </c>
      <c r="C11" s="15">
        <v>2</v>
      </c>
      <c r="D11" s="39">
        <v>3.3000000000000002E-2</v>
      </c>
      <c r="E11" s="39">
        <v>3.4000000000000002E-2</v>
      </c>
      <c r="F11" s="39">
        <v>3.5000000000000003E-2</v>
      </c>
      <c r="G11" s="15">
        <f t="shared" si="0"/>
        <v>0.75488454706927177</v>
      </c>
      <c r="H11" s="18">
        <f t="shared" si="1"/>
        <v>2.2202486678508014E-2</v>
      </c>
    </row>
    <row r="12" spans="1:8">
      <c r="A12" s="15">
        <v>4</v>
      </c>
      <c r="B12" s="64">
        <v>6</v>
      </c>
      <c r="C12" s="15">
        <v>2</v>
      </c>
      <c r="D12" s="40">
        <v>3.7999999999999999E-2</v>
      </c>
      <c r="E12" s="40">
        <v>0.04</v>
      </c>
      <c r="F12" s="40">
        <v>0.04</v>
      </c>
      <c r="G12" s="15">
        <f t="shared" si="0"/>
        <v>0.87329780935464763</v>
      </c>
      <c r="H12" s="18">
        <f t="shared" si="1"/>
        <v>2.5637223321031358E-2</v>
      </c>
    </row>
    <row r="13" spans="1:8">
      <c r="A13" s="15">
        <v>5</v>
      </c>
      <c r="B13" s="64">
        <v>7.333333333333333</v>
      </c>
      <c r="C13" s="15">
        <v>2</v>
      </c>
      <c r="D13" s="40">
        <v>4.5999999999999999E-2</v>
      </c>
      <c r="E13" s="40">
        <v>4.5999999999999999E-2</v>
      </c>
      <c r="F13" s="40">
        <v>4.5999999999999999E-2</v>
      </c>
      <c r="G13" s="15">
        <f t="shared" si="0"/>
        <v>1.0213143872113679</v>
      </c>
      <c r="H13" s="18">
        <f t="shared" si="1"/>
        <v>1.8868505155285834E-16</v>
      </c>
    </row>
    <row r="14" spans="1:8">
      <c r="A14" s="15">
        <v>6</v>
      </c>
      <c r="B14" s="64">
        <v>10.333333333333334</v>
      </c>
      <c r="C14" s="15">
        <v>2</v>
      </c>
      <c r="D14" s="40">
        <v>0.221</v>
      </c>
      <c r="E14" s="40">
        <v>0.224</v>
      </c>
      <c r="F14" s="40">
        <v>0.23</v>
      </c>
      <c r="G14" s="15">
        <f t="shared" si="0"/>
        <v>4.9955595026642987</v>
      </c>
      <c r="H14" s="18">
        <f t="shared" si="1"/>
        <v>0.10174457582051165</v>
      </c>
    </row>
    <row r="15" spans="1:8">
      <c r="A15" s="15">
        <v>7</v>
      </c>
      <c r="B15" s="64">
        <v>11.666666666666666</v>
      </c>
      <c r="C15" s="15">
        <v>2</v>
      </c>
      <c r="D15" s="75">
        <v>0.38400000000000001</v>
      </c>
      <c r="E15" s="75">
        <v>0.39900000000000002</v>
      </c>
      <c r="F15" s="75">
        <v>0.39200000000000002</v>
      </c>
      <c r="G15" s="15">
        <f t="shared" si="0"/>
        <v>8.6959739490822976</v>
      </c>
      <c r="H15" s="18">
        <f t="shared" si="1"/>
        <v>0.16664195158670386</v>
      </c>
    </row>
    <row r="16" spans="1:8">
      <c r="A16" s="15">
        <v>8</v>
      </c>
      <c r="B16" s="64">
        <v>13</v>
      </c>
      <c r="C16" s="15">
        <v>2</v>
      </c>
      <c r="D16" s="75">
        <v>0.52600000000000002</v>
      </c>
      <c r="E16" s="75">
        <v>0.53200000000000003</v>
      </c>
      <c r="F16" s="75">
        <v>0.53500000000000003</v>
      </c>
      <c r="G16" s="15">
        <f t="shared" si="0"/>
        <v>11.789520426287744</v>
      </c>
      <c r="H16" s="18">
        <f t="shared" si="1"/>
        <v>0.10174457582051165</v>
      </c>
    </row>
    <row r="17" spans="1:8">
      <c r="A17" s="15">
        <v>9</v>
      </c>
      <c r="B17" s="64">
        <v>14.333333333333334</v>
      </c>
      <c r="C17" s="15">
        <v>2</v>
      </c>
      <c r="D17" s="75">
        <v>0.622</v>
      </c>
      <c r="E17" s="75">
        <v>0.59099999999999997</v>
      </c>
      <c r="F17" s="75">
        <v>0.59499999999999997</v>
      </c>
      <c r="G17" s="15">
        <f t="shared" si="0"/>
        <v>13.380698638247484</v>
      </c>
      <c r="H17" s="18">
        <f t="shared" si="1"/>
        <v>0.37438247098702637</v>
      </c>
    </row>
    <row r="18" spans="1:8">
      <c r="A18" s="15">
        <v>10</v>
      </c>
      <c r="B18" s="64">
        <v>15.666666666666666</v>
      </c>
      <c r="C18" s="15">
        <v>2</v>
      </c>
      <c r="D18" s="17">
        <v>0.60399999999999998</v>
      </c>
      <c r="E18" s="17">
        <v>0.60499999999999998</v>
      </c>
      <c r="F18" s="17">
        <v>0.61099999999999999</v>
      </c>
      <c r="G18" s="15">
        <f t="shared" ref="G18:G23" si="2">(C18*1000*AVERAGE(D18:F18))/$B$2</f>
        <v>13.469508584961517</v>
      </c>
      <c r="H18" s="18">
        <f t="shared" ref="H18:H23" si="3">(C18*1000*STDEV(D18:F18))/$B$2</f>
        <v>8.4057257930732363E-2</v>
      </c>
    </row>
    <row r="19" spans="1:8">
      <c r="A19" s="15">
        <v>11</v>
      </c>
      <c r="B19" s="64">
        <v>17</v>
      </c>
      <c r="C19" s="15">
        <v>2</v>
      </c>
      <c r="D19" s="75">
        <v>0.62</v>
      </c>
      <c r="E19" s="75">
        <v>0.62</v>
      </c>
      <c r="F19" s="75">
        <v>0.629</v>
      </c>
      <c r="G19" s="15">
        <f t="shared" si="2"/>
        <v>13.83214920071048</v>
      </c>
      <c r="H19" s="18">
        <f t="shared" si="3"/>
        <v>0.11536750494464112</v>
      </c>
    </row>
    <row r="20" spans="1:8">
      <c r="A20" s="15">
        <v>12</v>
      </c>
      <c r="B20" s="64">
        <v>18.333333333333332</v>
      </c>
      <c r="C20" s="15">
        <v>2</v>
      </c>
      <c r="D20" s="75">
        <v>0.64400000000000002</v>
      </c>
      <c r="E20" s="75">
        <v>0.63400000000000001</v>
      </c>
      <c r="F20" s="75">
        <v>0.63100000000000001</v>
      </c>
      <c r="G20" s="15">
        <f t="shared" si="2"/>
        <v>14.128182356423919</v>
      </c>
      <c r="H20" s="18">
        <f t="shared" si="3"/>
        <v>0.15112920260999227</v>
      </c>
    </row>
    <row r="21" spans="1:8">
      <c r="A21" s="15">
        <v>13</v>
      </c>
      <c r="B21" s="64">
        <v>24</v>
      </c>
      <c r="C21" s="15">
        <v>2</v>
      </c>
      <c r="D21" s="75">
        <v>0.64400000000000002</v>
      </c>
      <c r="E21" s="75">
        <v>0.64200000000000002</v>
      </c>
      <c r="F21" s="75">
        <v>0.626</v>
      </c>
      <c r="G21" s="15">
        <f t="shared" si="2"/>
        <v>14.150384843102426</v>
      </c>
      <c r="H21" s="18">
        <f t="shared" si="3"/>
        <v>0.21904453207443392</v>
      </c>
    </row>
    <row r="22" spans="1:8">
      <c r="A22" s="15">
        <v>14</v>
      </c>
      <c r="B22" s="64">
        <v>30</v>
      </c>
      <c r="C22" s="15">
        <v>2</v>
      </c>
      <c r="D22" s="50">
        <v>0.63600000000000001</v>
      </c>
      <c r="E22" s="50">
        <v>0.63100000000000001</v>
      </c>
      <c r="F22" s="50">
        <v>0.63500000000000001</v>
      </c>
      <c r="G22" s="15">
        <f t="shared" si="2"/>
        <v>14.076376554174068</v>
      </c>
      <c r="H22" s="18">
        <f t="shared" si="3"/>
        <v>5.874225823855668E-2</v>
      </c>
    </row>
    <row r="23" spans="1:8">
      <c r="A23" s="15">
        <v>15</v>
      </c>
      <c r="B23" s="64">
        <v>48</v>
      </c>
      <c r="C23" s="15">
        <v>2</v>
      </c>
      <c r="D23" s="50">
        <v>0.63500000000000001</v>
      </c>
      <c r="E23" s="50">
        <v>0.63900000000000001</v>
      </c>
      <c r="F23" s="50">
        <v>0.64400000000000002</v>
      </c>
      <c r="G23" s="15">
        <f t="shared" si="2"/>
        <v>14.194789816459444</v>
      </c>
      <c r="H23" s="18">
        <f t="shared" si="3"/>
        <v>0.10011655756711588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0" t="s">
        <v>35</v>
      </c>
      <c r="B1" s="20" t="s">
        <v>60</v>
      </c>
    </row>
    <row r="2" spans="1:8">
      <c r="A2" s="20" t="s">
        <v>43</v>
      </c>
      <c r="B2" s="16">
        <v>46.07</v>
      </c>
    </row>
    <row r="4" spans="1:8">
      <c r="A4" s="103" t="s">
        <v>43</v>
      </c>
      <c r="B4" s="104"/>
      <c r="C4" s="104"/>
      <c r="D4" s="104"/>
      <c r="E4" s="104"/>
      <c r="F4" s="104"/>
      <c r="G4" s="104"/>
      <c r="H4" s="105"/>
    </row>
    <row r="5" spans="1:8">
      <c r="A5" s="106" t="s">
        <v>61</v>
      </c>
      <c r="B5" s="104"/>
      <c r="C5" s="105"/>
      <c r="D5" s="107" t="s">
        <v>44</v>
      </c>
      <c r="E5" s="107" t="s">
        <v>45</v>
      </c>
      <c r="F5" s="107" t="s">
        <v>46</v>
      </c>
      <c r="G5" s="109" t="s">
        <v>62</v>
      </c>
      <c r="H5" s="109" t="s">
        <v>63</v>
      </c>
    </row>
    <row r="6" spans="1:8">
      <c r="A6" s="21" t="s">
        <v>4</v>
      </c>
      <c r="B6" s="21" t="s">
        <v>59</v>
      </c>
      <c r="C6" s="21" t="s">
        <v>19</v>
      </c>
      <c r="D6" s="108"/>
      <c r="E6" s="108"/>
      <c r="F6" s="108"/>
      <c r="G6" s="110"/>
      <c r="H6" s="110"/>
    </row>
    <row r="7" spans="1:8">
      <c r="A7" s="15">
        <v>0</v>
      </c>
      <c r="B7" s="64">
        <v>-0.16666666666666666</v>
      </c>
      <c r="C7" s="15">
        <v>2</v>
      </c>
      <c r="D7" s="17">
        <v>0</v>
      </c>
      <c r="E7" s="17">
        <v>0</v>
      </c>
      <c r="F7" s="17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15">
        <v>0</v>
      </c>
      <c r="B8" s="64">
        <v>0.16666666666666666</v>
      </c>
      <c r="C8" s="15">
        <v>2</v>
      </c>
      <c r="D8" s="17">
        <v>0</v>
      </c>
      <c r="E8" s="17">
        <v>0</v>
      </c>
      <c r="F8" s="17">
        <v>0</v>
      </c>
      <c r="G8" s="15">
        <f t="shared" ref="G8:G17" si="0">(C8*1000*AVERAGE(D8:F8))/$B$2</f>
        <v>0</v>
      </c>
      <c r="H8" s="18">
        <f t="shared" ref="H8:H17" si="1">(C8*1000*STDEV(D8:F8))/$B$2</f>
        <v>0</v>
      </c>
    </row>
    <row r="9" spans="1:8">
      <c r="A9" s="15">
        <v>1</v>
      </c>
      <c r="B9" s="64">
        <v>2</v>
      </c>
      <c r="C9" s="15">
        <v>2</v>
      </c>
      <c r="D9" s="17">
        <v>0</v>
      </c>
      <c r="E9" s="17">
        <v>0</v>
      </c>
      <c r="F9" s="17">
        <v>0</v>
      </c>
      <c r="G9" s="15">
        <f t="shared" si="0"/>
        <v>0</v>
      </c>
      <c r="H9" s="18">
        <f t="shared" si="1"/>
        <v>0</v>
      </c>
    </row>
    <row r="10" spans="1:8">
      <c r="A10" s="15">
        <v>2</v>
      </c>
      <c r="B10" s="64">
        <v>3.3333333333333335</v>
      </c>
      <c r="C10" s="15">
        <v>2</v>
      </c>
      <c r="D10" s="17">
        <v>0</v>
      </c>
      <c r="E10" s="17">
        <v>0</v>
      </c>
      <c r="F10" s="17">
        <v>0</v>
      </c>
      <c r="G10" s="15">
        <f t="shared" si="0"/>
        <v>0</v>
      </c>
      <c r="H10" s="18">
        <f t="shared" si="1"/>
        <v>0</v>
      </c>
    </row>
    <row r="11" spans="1:8">
      <c r="A11" s="15">
        <v>3</v>
      </c>
      <c r="B11" s="64">
        <v>4.666666666666667</v>
      </c>
      <c r="C11" s="15">
        <v>2</v>
      </c>
      <c r="D11" s="17">
        <v>0</v>
      </c>
      <c r="E11" s="17">
        <v>0</v>
      </c>
      <c r="F11" s="17">
        <v>0</v>
      </c>
      <c r="G11" s="15">
        <f t="shared" si="0"/>
        <v>0</v>
      </c>
      <c r="H11" s="18">
        <f t="shared" si="1"/>
        <v>0</v>
      </c>
    </row>
    <row r="12" spans="1:8">
      <c r="A12" s="15">
        <v>4</v>
      </c>
      <c r="B12" s="64">
        <v>6</v>
      </c>
      <c r="C12" s="15">
        <v>2</v>
      </c>
      <c r="D12" s="17">
        <v>0</v>
      </c>
      <c r="E12" s="17">
        <v>0</v>
      </c>
      <c r="F12" s="17">
        <v>0</v>
      </c>
      <c r="G12" s="15">
        <f t="shared" si="0"/>
        <v>0</v>
      </c>
      <c r="H12" s="18">
        <f t="shared" si="1"/>
        <v>0</v>
      </c>
    </row>
    <row r="13" spans="1:8">
      <c r="A13" s="15">
        <v>5</v>
      </c>
      <c r="B13" s="64">
        <v>7.333333333333333</v>
      </c>
      <c r="C13" s="15">
        <v>2</v>
      </c>
      <c r="D13" s="17">
        <v>0</v>
      </c>
      <c r="E13" s="17">
        <v>0</v>
      </c>
      <c r="F13" s="17">
        <v>0</v>
      </c>
      <c r="G13" s="15">
        <f t="shared" si="0"/>
        <v>0</v>
      </c>
      <c r="H13" s="18">
        <f t="shared" si="1"/>
        <v>0</v>
      </c>
    </row>
    <row r="14" spans="1:8">
      <c r="A14" s="15">
        <v>6</v>
      </c>
      <c r="B14" s="64">
        <v>10.333333333333334</v>
      </c>
      <c r="C14" s="15">
        <v>2</v>
      </c>
      <c r="D14" s="17">
        <v>0</v>
      </c>
      <c r="E14" s="17">
        <v>0</v>
      </c>
      <c r="F14" s="17">
        <v>0</v>
      </c>
      <c r="G14" s="15">
        <f t="shared" si="0"/>
        <v>0</v>
      </c>
      <c r="H14" s="18">
        <f t="shared" si="1"/>
        <v>0</v>
      </c>
    </row>
    <row r="15" spans="1:8">
      <c r="A15" s="15">
        <v>7</v>
      </c>
      <c r="B15" s="64">
        <v>11.666666666666666</v>
      </c>
      <c r="C15" s="15">
        <v>2</v>
      </c>
      <c r="D15" s="17">
        <v>0</v>
      </c>
      <c r="E15" s="17">
        <v>0</v>
      </c>
      <c r="F15" s="17">
        <v>0</v>
      </c>
      <c r="G15" s="15">
        <f t="shared" si="0"/>
        <v>0</v>
      </c>
      <c r="H15" s="18">
        <f t="shared" si="1"/>
        <v>0</v>
      </c>
    </row>
    <row r="16" spans="1:8">
      <c r="A16" s="15">
        <v>8</v>
      </c>
      <c r="B16" s="64">
        <v>13</v>
      </c>
      <c r="C16" s="15">
        <v>2</v>
      </c>
      <c r="D16" s="17">
        <v>0</v>
      </c>
      <c r="E16" s="17">
        <v>0</v>
      </c>
      <c r="F16" s="17">
        <v>0</v>
      </c>
      <c r="G16" s="15">
        <f t="shared" si="0"/>
        <v>0</v>
      </c>
      <c r="H16" s="18">
        <f t="shared" si="1"/>
        <v>0</v>
      </c>
    </row>
    <row r="17" spans="1:8">
      <c r="A17" s="15">
        <v>9</v>
      </c>
      <c r="B17" s="64">
        <v>14.333333333333334</v>
      </c>
      <c r="C17" s="15">
        <v>2</v>
      </c>
      <c r="D17" s="17">
        <v>0</v>
      </c>
      <c r="E17" s="17">
        <v>0</v>
      </c>
      <c r="F17" s="17">
        <v>0</v>
      </c>
      <c r="G17" s="15">
        <f t="shared" si="0"/>
        <v>0</v>
      </c>
      <c r="H17" s="18">
        <f t="shared" si="1"/>
        <v>0</v>
      </c>
    </row>
    <row r="18" spans="1:8">
      <c r="A18" s="15">
        <v>10</v>
      </c>
      <c r="B18" s="64">
        <v>15.666666666666666</v>
      </c>
      <c r="C18" s="15">
        <v>2</v>
      </c>
      <c r="D18" s="17">
        <v>0</v>
      </c>
      <c r="E18" s="17">
        <v>0</v>
      </c>
      <c r="F18" s="17">
        <v>0</v>
      </c>
      <c r="G18" s="15">
        <f t="shared" ref="G18:G23" si="2">(C18*1000*AVERAGE(D18:F18))/$B$2</f>
        <v>0</v>
      </c>
      <c r="H18" s="18">
        <f t="shared" ref="H18:H23" si="3">(C18*1000*STDEV(D18:F18))/$B$2</f>
        <v>0</v>
      </c>
    </row>
    <row r="19" spans="1:8">
      <c r="A19" s="15">
        <v>11</v>
      </c>
      <c r="B19" s="64">
        <v>17</v>
      </c>
      <c r="C19" s="15">
        <v>2</v>
      </c>
      <c r="D19" s="17">
        <v>0</v>
      </c>
      <c r="E19" s="17">
        <v>0</v>
      </c>
      <c r="F19" s="17">
        <v>0</v>
      </c>
      <c r="G19" s="15">
        <f t="shared" si="2"/>
        <v>0</v>
      </c>
      <c r="H19" s="18">
        <f t="shared" si="3"/>
        <v>0</v>
      </c>
    </row>
    <row r="20" spans="1:8">
      <c r="A20" s="15">
        <v>12</v>
      </c>
      <c r="B20" s="64">
        <v>18.333333333333332</v>
      </c>
      <c r="C20" s="15">
        <v>2</v>
      </c>
      <c r="D20" s="17">
        <v>0</v>
      </c>
      <c r="E20" s="17">
        <v>0</v>
      </c>
      <c r="F20" s="17">
        <v>0</v>
      </c>
      <c r="G20" s="15">
        <f t="shared" si="2"/>
        <v>0</v>
      </c>
      <c r="H20" s="18">
        <f t="shared" si="3"/>
        <v>0</v>
      </c>
    </row>
    <row r="21" spans="1:8">
      <c r="A21" s="15">
        <v>13</v>
      </c>
      <c r="B21" s="64">
        <v>24</v>
      </c>
      <c r="C21" s="15">
        <v>2</v>
      </c>
      <c r="D21" s="17">
        <v>0</v>
      </c>
      <c r="E21" s="17">
        <v>0</v>
      </c>
      <c r="F21" s="17">
        <v>0</v>
      </c>
      <c r="G21" s="15">
        <f t="shared" si="2"/>
        <v>0</v>
      </c>
      <c r="H21" s="18">
        <f t="shared" si="3"/>
        <v>0</v>
      </c>
    </row>
    <row r="22" spans="1:8">
      <c r="A22" s="15">
        <v>14</v>
      </c>
      <c r="B22" s="64">
        <v>30</v>
      </c>
      <c r="C22" s="15">
        <v>2</v>
      </c>
      <c r="D22" s="17">
        <v>0</v>
      </c>
      <c r="E22" s="17">
        <v>0</v>
      </c>
      <c r="F22" s="17">
        <v>0</v>
      </c>
      <c r="G22" s="15">
        <f t="shared" si="2"/>
        <v>0</v>
      </c>
      <c r="H22" s="18">
        <f t="shared" si="3"/>
        <v>0</v>
      </c>
    </row>
    <row r="23" spans="1:8">
      <c r="A23" s="15">
        <v>15</v>
      </c>
      <c r="B23" s="64">
        <v>48</v>
      </c>
      <c r="C23" s="15">
        <v>2</v>
      </c>
      <c r="D23" s="17">
        <v>0</v>
      </c>
      <c r="E23" s="17">
        <v>0</v>
      </c>
      <c r="F23" s="17">
        <v>0</v>
      </c>
      <c r="G23" s="15">
        <f t="shared" si="2"/>
        <v>0</v>
      </c>
      <c r="H23" s="18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9"/>
  <sheetViews>
    <sheetView workbookViewId="0">
      <selection activeCell="A26" sqref="A26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4">
      <c r="B1" s="29" t="s">
        <v>77</v>
      </c>
      <c r="C1" s="29" t="s">
        <v>78</v>
      </c>
    </row>
    <row r="2" spans="1:4">
      <c r="A2" s="29" t="s">
        <v>145</v>
      </c>
      <c r="B2" s="113">
        <f>Metabolites!H4-Metabolites!H19</f>
        <v>80.56172291296626</v>
      </c>
      <c r="C2" s="113">
        <f>Metabolites!I4+Metabolites!I19</f>
        <v>0.37350363768340844</v>
      </c>
    </row>
    <row r="3" spans="1:4">
      <c r="A3" s="29" t="s">
        <v>109</v>
      </c>
      <c r="B3" s="113">
        <f>Metabolites!P4-Metabolites!P19</f>
        <v>15.612239988789796</v>
      </c>
      <c r="C3" s="113">
        <f>Metabolites!Q4+Metabolites!Q19</f>
        <v>0.83634687735238811</v>
      </c>
    </row>
    <row r="4" spans="1:4">
      <c r="A4" s="29" t="s">
        <v>110</v>
      </c>
      <c r="B4" s="113">
        <f>Metabolites!T19-Metabolites!T4</f>
        <v>12.214594451105773</v>
      </c>
      <c r="C4" s="113">
        <f>Metabolites!U4+Metabolites!U19</f>
        <v>0.11527270724978181</v>
      </c>
    </row>
    <row r="5" spans="1:4">
      <c r="A5" s="29" t="s">
        <v>111</v>
      </c>
      <c r="B5" s="113">
        <f>Metabolites!L19-Metabolites!L4</f>
        <v>14.194402202628359</v>
      </c>
      <c r="C5" s="113">
        <f>Metabolites!M19+Metabolites!M4</f>
        <v>0.11836107039773792</v>
      </c>
    </row>
    <row r="6" spans="1:4">
      <c r="A6" s="29" t="s">
        <v>112</v>
      </c>
      <c r="B6" s="113">
        <f>Metabolites!L39-Metabolites!L24</f>
        <v>72.286842718888352</v>
      </c>
      <c r="C6" s="113">
        <f>Metabolites!M39+Metabolites!M24</f>
        <v>0.65860942326966743</v>
      </c>
    </row>
    <row r="7" spans="1:4">
      <c r="A7" s="29" t="s">
        <v>79</v>
      </c>
      <c r="B7" s="113">
        <f>'H2'!G202</f>
        <v>183.43295149314292</v>
      </c>
      <c r="C7" s="113"/>
    </row>
    <row r="8" spans="1:4">
      <c r="A8" s="29" t="s">
        <v>80</v>
      </c>
      <c r="B8" s="113">
        <f>'CO2'!G204</f>
        <v>112.4814147149651</v>
      </c>
      <c r="C8" s="113"/>
    </row>
    <row r="9" spans="1:4">
      <c r="A9" s="29" t="s">
        <v>114</v>
      </c>
      <c r="B9" s="113">
        <f xml:space="preserve"> Calculation!G19*1.5/1000</f>
        <v>7.4999999999999997E-2</v>
      </c>
      <c r="C9" s="113"/>
    </row>
    <row r="10" spans="1:4" ht="16">
      <c r="A10" s="29" t="s">
        <v>115</v>
      </c>
      <c r="B10" s="113">
        <f>Calculation!H19*1.5/1000</f>
        <v>2.1000000000000001E-2</v>
      </c>
      <c r="C10" s="113"/>
    </row>
    <row r="12" spans="1:4">
      <c r="A12" s="29" t="s">
        <v>81</v>
      </c>
      <c r="B12" s="117">
        <f>((4*$B$6)+(3*$B$5)+($B$4)+(B8))/((6*$B$2)+(2*$B$3))</f>
        <v>0.88696304581242347</v>
      </c>
    </row>
    <row r="13" spans="1:4">
      <c r="A13" s="29" t="s">
        <v>113</v>
      </c>
      <c r="B13">
        <f>((8*$B$6)+(6*$B$5)+(2*$B$4)+(2*$B$7))/((12*$B$2)+(4*$B$3) +(1*B9)+(3*B10))</f>
        <v>1.0247040991441221</v>
      </c>
    </row>
    <row r="15" spans="1:4">
      <c r="C15" t="s">
        <v>125</v>
      </c>
      <c r="D15" t="s">
        <v>126</v>
      </c>
    </row>
    <row r="16" spans="1:4">
      <c r="A16" t="s">
        <v>159</v>
      </c>
      <c r="B16" t="s">
        <v>117</v>
      </c>
      <c r="C16" s="113">
        <f>B2</f>
        <v>80.56172291296626</v>
      </c>
      <c r="D16" s="113">
        <f>B2</f>
        <v>80.56172291296626</v>
      </c>
    </row>
    <row r="17" spans="1:4">
      <c r="A17" t="s">
        <v>160</v>
      </c>
      <c r="B17" t="s">
        <v>118</v>
      </c>
      <c r="C17" s="113">
        <f>2*C16</f>
        <v>161.12344582593252</v>
      </c>
      <c r="D17" s="113">
        <f>2*B2</f>
        <v>161.12344582593252</v>
      </c>
    </row>
    <row r="18" spans="1:4">
      <c r="A18" t="s">
        <v>161</v>
      </c>
      <c r="B18" t="s">
        <v>119</v>
      </c>
      <c r="C18" s="113">
        <f>B5</f>
        <v>14.194402202628359</v>
      </c>
      <c r="D18" s="113">
        <f>B5</f>
        <v>14.194402202628359</v>
      </c>
    </row>
    <row r="19" spans="1:4">
      <c r="A19" t="s">
        <v>162</v>
      </c>
      <c r="B19" t="s">
        <v>128</v>
      </c>
      <c r="C19" s="113">
        <f>B4</f>
        <v>12.214594451105773</v>
      </c>
      <c r="D19" s="113">
        <f>B4</f>
        <v>12.214594451105773</v>
      </c>
    </row>
    <row r="20" spans="1:4">
      <c r="A20" t="s">
        <v>163</v>
      </c>
      <c r="B20" t="s">
        <v>120</v>
      </c>
      <c r="C20" s="116">
        <f>C17-C18</f>
        <v>146.92904362330415</v>
      </c>
      <c r="D20" s="116">
        <f>B8</f>
        <v>112.4814147149651</v>
      </c>
    </row>
    <row r="21" spans="1:4">
      <c r="A21" t="s">
        <v>164</v>
      </c>
      <c r="B21" t="s">
        <v>129</v>
      </c>
      <c r="C21" s="115">
        <f>C20-C19</f>
        <v>134.71444917219839</v>
      </c>
      <c r="D21" s="115">
        <f>B8</f>
        <v>112.4814147149651</v>
      </c>
    </row>
    <row r="22" spans="1:4">
      <c r="A22" t="s">
        <v>165</v>
      </c>
      <c r="B22" t="s">
        <v>121</v>
      </c>
      <c r="C22" s="113">
        <f>B3</f>
        <v>15.612239988789796</v>
      </c>
      <c r="D22" s="113">
        <f>B3</f>
        <v>15.612239988789796</v>
      </c>
    </row>
    <row r="23" spans="1:4">
      <c r="A23" t="s">
        <v>166</v>
      </c>
      <c r="B23" t="s">
        <v>148</v>
      </c>
      <c r="C23" s="113">
        <f>C20+C22</f>
        <v>162.54128361209393</v>
      </c>
      <c r="D23" s="113"/>
    </row>
    <row r="24" spans="1:4">
      <c r="A24" t="s">
        <v>167</v>
      </c>
      <c r="B24" t="s">
        <v>122</v>
      </c>
      <c r="C24" s="115">
        <f>C23/2</f>
        <v>81.270641806046967</v>
      </c>
      <c r="D24" s="115">
        <f>B6</f>
        <v>72.286842718888352</v>
      </c>
    </row>
    <row r="25" spans="1:4">
      <c r="A25" t="s">
        <v>168</v>
      </c>
      <c r="B25" t="s">
        <v>127</v>
      </c>
      <c r="C25" s="113">
        <f>C20-C22</f>
        <v>131.31680363451437</v>
      </c>
      <c r="D25" s="113">
        <f>B7</f>
        <v>183.43295149314292</v>
      </c>
    </row>
    <row r="26" spans="1:4">
      <c r="A26" t="s">
        <v>169</v>
      </c>
      <c r="B26" t="s">
        <v>147</v>
      </c>
      <c r="C26" s="114">
        <f>C25-C19</f>
        <v>119.1022091834086</v>
      </c>
      <c r="D26" s="114">
        <f>D25+F25</f>
        <v>183.43295149314292</v>
      </c>
    </row>
    <row r="28" spans="1:4">
      <c r="A28" t="s">
        <v>123</v>
      </c>
    </row>
    <row r="29" spans="1:4">
      <c r="A29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3" sqref="D3:D1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89" t="s">
        <v>4</v>
      </c>
      <c r="B1" s="89" t="s">
        <v>103</v>
      </c>
      <c r="C1" s="89" t="s">
        <v>103</v>
      </c>
      <c r="D1" s="89" t="s">
        <v>5</v>
      </c>
      <c r="E1" s="4" t="s">
        <v>7</v>
      </c>
      <c r="F1" s="4" t="s">
        <v>9</v>
      </c>
      <c r="G1" s="91" t="s">
        <v>11</v>
      </c>
      <c r="H1" s="91" t="s">
        <v>12</v>
      </c>
      <c r="I1" s="4" t="s">
        <v>13</v>
      </c>
      <c r="J1" s="4" t="s">
        <v>16</v>
      </c>
      <c r="K1" s="4" t="s">
        <v>16</v>
      </c>
    </row>
    <row r="2" spans="1:11">
      <c r="A2" s="90"/>
      <c r="B2" s="90"/>
      <c r="C2" s="90"/>
      <c r="D2" s="90"/>
      <c r="E2" s="5" t="s">
        <v>8</v>
      </c>
      <c r="F2" s="5" t="s">
        <v>10</v>
      </c>
      <c r="G2" s="91"/>
      <c r="H2" s="91"/>
      <c r="I2" s="5" t="s">
        <v>14</v>
      </c>
      <c r="J2" s="5" t="s">
        <v>17</v>
      </c>
      <c r="K2" s="5" t="s">
        <v>149</v>
      </c>
    </row>
    <row r="3" spans="1:11">
      <c r="A3" s="31" t="s">
        <v>6</v>
      </c>
      <c r="B3" s="51">
        <v>-10</v>
      </c>
      <c r="C3" s="52">
        <v>-10</v>
      </c>
      <c r="D3" s="64">
        <f>C3/60</f>
        <v>-0.16666666666666666</v>
      </c>
      <c r="E3" s="3">
        <v>55</v>
      </c>
      <c r="F3" s="1">
        <f>E3</f>
        <v>55</v>
      </c>
      <c r="G3" s="1">
        <v>0</v>
      </c>
      <c r="H3" s="1">
        <v>0</v>
      </c>
      <c r="I3" s="1">
        <f>F21+G3+H3</f>
        <v>1500</v>
      </c>
      <c r="J3" s="12">
        <f>F3*1500/I3</f>
        <v>55</v>
      </c>
      <c r="K3" s="12">
        <f>F22-J3</f>
        <v>1520</v>
      </c>
    </row>
    <row r="4" spans="1:11">
      <c r="A4" s="1">
        <v>0</v>
      </c>
      <c r="B4" s="53">
        <v>10</v>
      </c>
      <c r="C4" s="54">
        <v>10</v>
      </c>
      <c r="D4" s="64">
        <f t="shared" ref="D4:D19" si="0">C4/60</f>
        <v>0.16666666666666666</v>
      </c>
      <c r="E4" s="1">
        <v>48</v>
      </c>
      <c r="F4" s="1">
        <f>E4+F3</f>
        <v>103</v>
      </c>
      <c r="G4" s="1">
        <v>0</v>
      </c>
      <c r="H4" s="1">
        <v>0</v>
      </c>
      <c r="I4" s="1">
        <f t="shared" ref="I4:I19" si="1">$F$22-F3+G4+H4</f>
        <v>1520</v>
      </c>
      <c r="J4" s="12">
        <f>E4*K3/I4</f>
        <v>48</v>
      </c>
      <c r="K4" s="12">
        <f>K3-J4</f>
        <v>1472</v>
      </c>
    </row>
    <row r="5" spans="1:11">
      <c r="A5" s="1">
        <v>1</v>
      </c>
      <c r="B5" s="53">
        <v>110</v>
      </c>
      <c r="C5" s="54">
        <f>C4+B5</f>
        <v>120</v>
      </c>
      <c r="D5" s="64">
        <f t="shared" si="0"/>
        <v>2</v>
      </c>
      <c r="E5" s="1">
        <v>48</v>
      </c>
      <c r="F5" s="37">
        <f t="shared" ref="F5:F18" si="2">E5+F4</f>
        <v>151</v>
      </c>
      <c r="G5" s="37">
        <v>1</v>
      </c>
      <c r="H5" s="1">
        <v>0</v>
      </c>
      <c r="I5" s="37">
        <f t="shared" si="1"/>
        <v>1473</v>
      </c>
      <c r="J5" s="12">
        <f>E5*K4/I5</f>
        <v>47.967413441955195</v>
      </c>
      <c r="K5" s="12">
        <f>K4-J5</f>
        <v>1424.0325865580448</v>
      </c>
    </row>
    <row r="6" spans="1:11">
      <c r="A6" s="1">
        <v>2</v>
      </c>
      <c r="B6" s="53">
        <v>80</v>
      </c>
      <c r="C6" s="54">
        <f t="shared" ref="C6:C18" si="3">C5+B6</f>
        <v>200</v>
      </c>
      <c r="D6" s="64">
        <f t="shared" si="0"/>
        <v>3.3333333333333335</v>
      </c>
      <c r="E6" s="1">
        <v>48</v>
      </c>
      <c r="F6" s="37">
        <f t="shared" si="2"/>
        <v>199</v>
      </c>
      <c r="G6" s="37">
        <v>3</v>
      </c>
      <c r="H6" s="22">
        <v>0</v>
      </c>
      <c r="I6" s="37">
        <f t="shared" si="1"/>
        <v>1427</v>
      </c>
      <c r="J6" s="12">
        <f t="shared" ref="J6:J19" si="4">E6*K5/I6</f>
        <v>47.900185111973471</v>
      </c>
      <c r="K6" s="12">
        <f>K5-J6</f>
        <v>1376.1324014460713</v>
      </c>
    </row>
    <row r="7" spans="1:11">
      <c r="A7" s="1">
        <v>3</v>
      </c>
      <c r="B7" s="53">
        <v>80</v>
      </c>
      <c r="C7" s="54">
        <f>C6+B7</f>
        <v>280</v>
      </c>
      <c r="D7" s="64">
        <f t="shared" si="0"/>
        <v>4.666666666666667</v>
      </c>
      <c r="E7" s="1">
        <v>43</v>
      </c>
      <c r="F7" s="37">
        <f t="shared" si="2"/>
        <v>242</v>
      </c>
      <c r="G7" s="37">
        <v>5</v>
      </c>
      <c r="H7" s="22">
        <v>0</v>
      </c>
      <c r="I7" s="37">
        <f t="shared" si="1"/>
        <v>1381</v>
      </c>
      <c r="J7" s="12">
        <f t="shared" si="4"/>
        <v>42.848438278190486</v>
      </c>
      <c r="K7" s="12">
        <f t="shared" ref="K7:K19" si="5">K6-J7</f>
        <v>1333.2839631678808</v>
      </c>
    </row>
    <row r="8" spans="1:11">
      <c r="A8" s="1">
        <v>4</v>
      </c>
      <c r="B8" s="53">
        <v>80</v>
      </c>
      <c r="C8" s="54">
        <f t="shared" si="3"/>
        <v>360</v>
      </c>
      <c r="D8" s="64">
        <f t="shared" si="0"/>
        <v>6</v>
      </c>
      <c r="E8" s="1">
        <v>46</v>
      </c>
      <c r="F8" s="37">
        <f t="shared" si="2"/>
        <v>288</v>
      </c>
      <c r="G8" s="37">
        <v>9</v>
      </c>
      <c r="H8" s="22">
        <v>0</v>
      </c>
      <c r="I8" s="37">
        <f t="shared" si="1"/>
        <v>1342</v>
      </c>
      <c r="J8" s="12">
        <f t="shared" si="4"/>
        <v>45.701238677885634</v>
      </c>
      <c r="K8" s="12">
        <f t="shared" si="5"/>
        <v>1287.5827244899951</v>
      </c>
    </row>
    <row r="9" spans="1:11">
      <c r="A9" s="1">
        <v>5</v>
      </c>
      <c r="B9" s="53">
        <v>80</v>
      </c>
      <c r="C9" s="54">
        <f t="shared" si="3"/>
        <v>440</v>
      </c>
      <c r="D9" s="64">
        <f t="shared" si="0"/>
        <v>7.333333333333333</v>
      </c>
      <c r="E9" s="1">
        <v>48</v>
      </c>
      <c r="F9" s="37">
        <f>E9+F8</f>
        <v>336</v>
      </c>
      <c r="G9" s="37">
        <v>14</v>
      </c>
      <c r="H9" s="22">
        <v>0</v>
      </c>
      <c r="I9" s="37">
        <f t="shared" si="1"/>
        <v>1301</v>
      </c>
      <c r="J9" s="12">
        <f t="shared" si="4"/>
        <v>47.504973693712351</v>
      </c>
      <c r="K9" s="12">
        <f>K8-J9</f>
        <v>1240.0777507962828</v>
      </c>
    </row>
    <row r="10" spans="1:11">
      <c r="A10" s="1">
        <v>6</v>
      </c>
      <c r="B10" s="53">
        <v>180</v>
      </c>
      <c r="C10" s="54">
        <f t="shared" si="3"/>
        <v>620</v>
      </c>
      <c r="D10" s="64">
        <f t="shared" si="0"/>
        <v>10.333333333333334</v>
      </c>
      <c r="E10" s="1">
        <v>44</v>
      </c>
      <c r="F10" s="37">
        <f t="shared" si="2"/>
        <v>380</v>
      </c>
      <c r="G10" s="37">
        <v>29</v>
      </c>
      <c r="H10" s="22">
        <v>0</v>
      </c>
      <c r="I10" s="37">
        <f t="shared" si="1"/>
        <v>1268</v>
      </c>
      <c r="J10" s="12">
        <f t="shared" si="4"/>
        <v>43.03108914435051</v>
      </c>
      <c r="K10" s="12">
        <f>K9-J10</f>
        <v>1197.0466616519323</v>
      </c>
    </row>
    <row r="11" spans="1:11">
      <c r="A11" s="1">
        <v>7</v>
      </c>
      <c r="B11" s="53">
        <v>80</v>
      </c>
      <c r="C11" s="54">
        <f t="shared" si="3"/>
        <v>700</v>
      </c>
      <c r="D11" s="64">
        <f t="shared" si="0"/>
        <v>11.666666666666666</v>
      </c>
      <c r="E11" s="1">
        <v>40</v>
      </c>
      <c r="F11" s="37">
        <f t="shared" si="2"/>
        <v>420</v>
      </c>
      <c r="G11" s="37">
        <v>37</v>
      </c>
      <c r="H11" s="22">
        <v>0</v>
      </c>
      <c r="I11" s="37">
        <f t="shared" si="1"/>
        <v>1232</v>
      </c>
      <c r="J11" s="12">
        <f>E11*K10/I11</f>
        <v>38.865151352335467</v>
      </c>
      <c r="K11" s="12">
        <f t="shared" si="5"/>
        <v>1158.1815102995968</v>
      </c>
    </row>
    <row r="12" spans="1:11">
      <c r="A12" s="1">
        <v>8</v>
      </c>
      <c r="B12" s="53">
        <v>80</v>
      </c>
      <c r="C12" s="54">
        <f t="shared" si="3"/>
        <v>780</v>
      </c>
      <c r="D12" s="64">
        <f t="shared" si="0"/>
        <v>13</v>
      </c>
      <c r="E12" s="1">
        <v>37</v>
      </c>
      <c r="F12" s="37">
        <f t="shared" si="2"/>
        <v>457</v>
      </c>
      <c r="G12" s="37">
        <v>44</v>
      </c>
      <c r="H12" s="22">
        <v>0</v>
      </c>
      <c r="I12" s="37">
        <f t="shared" si="1"/>
        <v>1199</v>
      </c>
      <c r="J12" s="12">
        <f>E12*K11/I12</f>
        <v>35.74038021775236</v>
      </c>
      <c r="K12" s="12">
        <f t="shared" si="5"/>
        <v>1122.4411300818444</v>
      </c>
    </row>
    <row r="13" spans="1:11">
      <c r="A13" s="1">
        <v>9</v>
      </c>
      <c r="B13" s="53">
        <v>80</v>
      </c>
      <c r="C13" s="54">
        <f t="shared" si="3"/>
        <v>860</v>
      </c>
      <c r="D13" s="64">
        <f t="shared" si="0"/>
        <v>14.333333333333334</v>
      </c>
      <c r="E13" s="3">
        <v>47</v>
      </c>
      <c r="F13" s="37">
        <f t="shared" si="2"/>
        <v>504</v>
      </c>
      <c r="G13" s="37">
        <v>50</v>
      </c>
      <c r="H13" s="22">
        <v>1</v>
      </c>
      <c r="I13" s="37">
        <f t="shared" si="1"/>
        <v>1169</v>
      </c>
      <c r="J13" s="12">
        <f>E13*K12/I13</f>
        <v>45.128086496019414</v>
      </c>
      <c r="K13" s="12">
        <f t="shared" si="5"/>
        <v>1077.313043585825</v>
      </c>
    </row>
    <row r="14" spans="1:11">
      <c r="A14" s="34">
        <v>10</v>
      </c>
      <c r="B14" s="53">
        <v>80</v>
      </c>
      <c r="C14" s="54">
        <f t="shared" si="3"/>
        <v>940</v>
      </c>
      <c r="D14" s="64">
        <f t="shared" si="0"/>
        <v>15.666666666666666</v>
      </c>
      <c r="E14" s="34">
        <v>45</v>
      </c>
      <c r="F14" s="37">
        <f t="shared" si="2"/>
        <v>549</v>
      </c>
      <c r="G14" s="37">
        <v>50</v>
      </c>
      <c r="H14" s="34">
        <v>6</v>
      </c>
      <c r="I14" s="37">
        <f t="shared" si="1"/>
        <v>1127</v>
      </c>
      <c r="J14" s="12">
        <f t="shared" si="4"/>
        <v>43.016048767845717</v>
      </c>
      <c r="K14" s="12">
        <f t="shared" si="5"/>
        <v>1034.2969948179793</v>
      </c>
    </row>
    <row r="15" spans="1:11">
      <c r="A15" s="34">
        <v>11</v>
      </c>
      <c r="B15" s="53">
        <v>80</v>
      </c>
      <c r="C15" s="54">
        <f t="shared" si="3"/>
        <v>1020</v>
      </c>
      <c r="D15" s="64">
        <f t="shared" si="0"/>
        <v>17</v>
      </c>
      <c r="E15" s="34">
        <v>42</v>
      </c>
      <c r="F15" s="37">
        <f t="shared" si="2"/>
        <v>591</v>
      </c>
      <c r="G15" s="37">
        <v>50</v>
      </c>
      <c r="H15" s="37">
        <v>9</v>
      </c>
      <c r="I15" s="37">
        <f t="shared" si="1"/>
        <v>1085</v>
      </c>
      <c r="J15" s="12">
        <f t="shared" si="4"/>
        <v>40.037303025212104</v>
      </c>
      <c r="K15" s="12">
        <f t="shared" si="5"/>
        <v>994.25969179276728</v>
      </c>
    </row>
    <row r="16" spans="1:11">
      <c r="A16" s="34">
        <v>12</v>
      </c>
      <c r="B16" s="53">
        <v>80</v>
      </c>
      <c r="C16" s="54">
        <f t="shared" si="3"/>
        <v>1100</v>
      </c>
      <c r="D16" s="64">
        <f t="shared" si="0"/>
        <v>18.333333333333332</v>
      </c>
      <c r="E16" s="34">
        <v>48</v>
      </c>
      <c r="F16" s="37">
        <f t="shared" si="2"/>
        <v>639</v>
      </c>
      <c r="G16" s="37">
        <v>50</v>
      </c>
      <c r="H16" s="37">
        <v>11</v>
      </c>
      <c r="I16" s="37">
        <f t="shared" si="1"/>
        <v>1045</v>
      </c>
      <c r="J16" s="12">
        <f t="shared" si="4"/>
        <v>45.669344694787398</v>
      </c>
      <c r="K16" s="12">
        <f t="shared" si="5"/>
        <v>948.59034709797993</v>
      </c>
    </row>
    <row r="17" spans="1:11">
      <c r="A17" s="34">
        <v>13</v>
      </c>
      <c r="B17" s="53">
        <v>340</v>
      </c>
      <c r="C17" s="54">
        <f t="shared" si="3"/>
        <v>1440</v>
      </c>
      <c r="D17" s="64">
        <f t="shared" si="0"/>
        <v>24</v>
      </c>
      <c r="E17" s="34">
        <v>57</v>
      </c>
      <c r="F17" s="37">
        <f t="shared" si="2"/>
        <v>696</v>
      </c>
      <c r="G17" s="37">
        <v>50</v>
      </c>
      <c r="H17" s="37">
        <v>14</v>
      </c>
      <c r="I17" s="37">
        <f t="shared" si="1"/>
        <v>1000</v>
      </c>
      <c r="J17" s="12">
        <f t="shared" si="4"/>
        <v>54.069649784584854</v>
      </c>
      <c r="K17" s="12">
        <f t="shared" si="5"/>
        <v>894.52069731339509</v>
      </c>
    </row>
    <row r="18" spans="1:11">
      <c r="A18" s="34">
        <v>14</v>
      </c>
      <c r="B18" s="53">
        <v>360</v>
      </c>
      <c r="C18" s="54">
        <f t="shared" si="3"/>
        <v>1800</v>
      </c>
      <c r="D18" s="64">
        <f t="shared" si="0"/>
        <v>30</v>
      </c>
      <c r="E18" s="2">
        <v>62</v>
      </c>
      <c r="F18" s="37">
        <f t="shared" si="2"/>
        <v>758</v>
      </c>
      <c r="G18" s="37">
        <v>50</v>
      </c>
      <c r="H18" s="37">
        <v>14</v>
      </c>
      <c r="I18" s="37">
        <f t="shared" si="1"/>
        <v>943</v>
      </c>
      <c r="J18" s="12">
        <f t="shared" si="4"/>
        <v>58.812601520074757</v>
      </c>
      <c r="K18" s="12">
        <f>K17-J18</f>
        <v>835.70809579332035</v>
      </c>
    </row>
    <row r="19" spans="1:11">
      <c r="A19" s="34">
        <v>15</v>
      </c>
      <c r="B19" s="53">
        <v>1080</v>
      </c>
      <c r="C19" s="54">
        <f>C18+B19</f>
        <v>2880</v>
      </c>
      <c r="D19" s="64">
        <f t="shared" si="0"/>
        <v>48</v>
      </c>
      <c r="E19" s="34">
        <v>55</v>
      </c>
      <c r="F19" s="37">
        <f>E19+F18</f>
        <v>813</v>
      </c>
      <c r="G19" s="37">
        <v>50</v>
      </c>
      <c r="H19" s="37">
        <v>14</v>
      </c>
      <c r="I19" s="37">
        <f t="shared" si="1"/>
        <v>881</v>
      </c>
      <c r="J19" s="12">
        <f t="shared" si="4"/>
        <v>52.172469090388894</v>
      </c>
      <c r="K19" s="12">
        <f t="shared" si="5"/>
        <v>783.53562670293149</v>
      </c>
    </row>
    <row r="21" spans="1:11">
      <c r="A21" s="92" t="s">
        <v>15</v>
      </c>
      <c r="B21" s="83"/>
      <c r="C21" s="83"/>
      <c r="D21" s="83"/>
      <c r="E21" s="93"/>
      <c r="F21" s="1">
        <v>1500</v>
      </c>
    </row>
    <row r="22" spans="1:11">
      <c r="A22" s="86" t="s">
        <v>150</v>
      </c>
      <c r="B22" s="87"/>
      <c r="C22" s="87"/>
      <c r="D22" s="87"/>
      <c r="E22" s="88"/>
      <c r="F22" s="52">
        <v>1575</v>
      </c>
    </row>
  </sheetData>
  <mergeCells count="8">
    <mergeCell ref="A22:E22"/>
    <mergeCell ref="A1:A2"/>
    <mergeCell ref="D1:D2"/>
    <mergeCell ref="G1:G2"/>
    <mergeCell ref="H1:H2"/>
    <mergeCell ref="A21:E21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D3" sqref="D3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89" t="s">
        <v>4</v>
      </c>
      <c r="B1" s="89" t="s">
        <v>103</v>
      </c>
      <c r="C1" s="89" t="s">
        <v>103</v>
      </c>
      <c r="D1" s="89" t="s">
        <v>5</v>
      </c>
      <c r="E1" s="85" t="s">
        <v>18</v>
      </c>
      <c r="F1" s="85"/>
      <c r="G1" s="85"/>
      <c r="H1" s="85"/>
      <c r="I1" s="85" t="s">
        <v>20</v>
      </c>
      <c r="J1" s="85"/>
      <c r="K1" s="85"/>
      <c r="L1" s="85"/>
      <c r="M1" s="85" t="s">
        <v>21</v>
      </c>
      <c r="N1" s="85"/>
      <c r="O1" s="85"/>
      <c r="P1" s="85"/>
      <c r="Q1" s="35" t="s">
        <v>22</v>
      </c>
      <c r="R1" s="35" t="s">
        <v>22</v>
      </c>
      <c r="S1" s="35" t="s">
        <v>22</v>
      </c>
    </row>
    <row r="2" spans="1:19">
      <c r="A2" s="90"/>
      <c r="B2" s="90"/>
      <c r="C2" s="90"/>
      <c r="D2" s="90"/>
      <c r="E2" s="38" t="s">
        <v>19</v>
      </c>
      <c r="F2" s="38" t="s">
        <v>67</v>
      </c>
      <c r="G2" s="38" t="s">
        <v>104</v>
      </c>
      <c r="H2" s="38" t="s">
        <v>69</v>
      </c>
      <c r="I2" s="38" t="s">
        <v>19</v>
      </c>
      <c r="J2" s="38" t="s">
        <v>67</v>
      </c>
      <c r="K2" s="38" t="s">
        <v>68</v>
      </c>
      <c r="L2" s="38" t="s">
        <v>69</v>
      </c>
      <c r="M2" s="38" t="s">
        <v>19</v>
      </c>
      <c r="N2" s="38" t="s">
        <v>67</v>
      </c>
      <c r="O2" s="38" t="s">
        <v>68</v>
      </c>
      <c r="P2" s="38" t="s">
        <v>70</v>
      </c>
      <c r="Q2" s="36" t="s">
        <v>69</v>
      </c>
      <c r="R2" s="36" t="s">
        <v>23</v>
      </c>
      <c r="S2" s="36" t="s">
        <v>71</v>
      </c>
    </row>
    <row r="3" spans="1:19" s="6" customFormat="1">
      <c r="A3" s="37" t="s">
        <v>6</v>
      </c>
      <c r="B3" s="51">
        <v>-10</v>
      </c>
      <c r="C3" s="52">
        <v>-10</v>
      </c>
      <c r="D3" s="64">
        <f>C3/60</f>
        <v>-0.16666666666666666</v>
      </c>
      <c r="Q3" s="94"/>
      <c r="R3" s="95"/>
      <c r="S3" s="96"/>
    </row>
    <row r="4" spans="1:19">
      <c r="A4" s="37">
        <v>0</v>
      </c>
      <c r="B4" s="53">
        <v>10</v>
      </c>
      <c r="C4" s="54">
        <v>10</v>
      </c>
      <c r="D4" s="64">
        <f t="shared" ref="D4:D19" si="0">C4/60</f>
        <v>0.16666666666666666</v>
      </c>
      <c r="Q4" s="43" t="e">
        <f>AVERAGE('Flow cytometer'!P4,'Flow cytometer'!L4,'Flow cytometer'!H4)*Calculation!K4/Calculation!M3</f>
        <v>#DIV/0!</v>
      </c>
      <c r="R4" s="43" t="e">
        <f>STDEV('Flow cytometer'!P4,'Flow cytometer'!L4,'Flow cytometer'!H4)*Calculation!K4/Calculation!M3</f>
        <v>#DIV/0!</v>
      </c>
      <c r="S4" s="44" t="e">
        <f t="shared" ref="S4:S19" si="1">LOG(Q4)</f>
        <v>#DIV/0!</v>
      </c>
    </row>
    <row r="5" spans="1:19">
      <c r="A5" s="37">
        <v>1</v>
      </c>
      <c r="B5" s="53">
        <v>110</v>
      </c>
      <c r="C5" s="54">
        <f>C4+B5</f>
        <v>120</v>
      </c>
      <c r="D5" s="64">
        <f t="shared" si="0"/>
        <v>2</v>
      </c>
      <c r="Q5" s="43" t="e">
        <f>AVERAGE('Flow cytometer'!P5,'Flow cytometer'!L5,'Flow cytometer'!H5)*Calculation!K5/Calculation!M4</f>
        <v>#DIV/0!</v>
      </c>
      <c r="R5" s="43" t="e">
        <f>STDEV('Flow cytometer'!P5,'Flow cytometer'!L5,'Flow cytometer'!H5)*Calculation!K5/Calculation!M4</f>
        <v>#DIV/0!</v>
      </c>
      <c r="S5" s="44" t="e">
        <f t="shared" si="1"/>
        <v>#DIV/0!</v>
      </c>
    </row>
    <row r="6" spans="1:19">
      <c r="A6" s="37">
        <v>2</v>
      </c>
      <c r="B6" s="53">
        <v>80</v>
      </c>
      <c r="C6" s="54">
        <f t="shared" ref="C6:C18" si="2">C5+B6</f>
        <v>200</v>
      </c>
      <c r="D6" s="64">
        <f t="shared" si="0"/>
        <v>3.3333333333333335</v>
      </c>
      <c r="Q6" s="43" t="e">
        <f>AVERAGE('Flow cytometer'!P6,'Flow cytometer'!L6,'Flow cytometer'!H6)*Calculation!K6/Calculation!M5</f>
        <v>#DIV/0!</v>
      </c>
      <c r="R6" s="43" t="e">
        <f>STDEV('Flow cytometer'!P6,'Flow cytometer'!L6,'Flow cytometer'!H6)*Calculation!K6/Calculation!M5</f>
        <v>#DIV/0!</v>
      </c>
      <c r="S6" s="44" t="e">
        <f t="shared" si="1"/>
        <v>#DIV/0!</v>
      </c>
    </row>
    <row r="7" spans="1:19">
      <c r="A7" s="37">
        <v>3</v>
      </c>
      <c r="B7" s="53">
        <v>80</v>
      </c>
      <c r="C7" s="54">
        <f>C6+B7</f>
        <v>280</v>
      </c>
      <c r="D7" s="64">
        <f t="shared" si="0"/>
        <v>4.666666666666667</v>
      </c>
      <c r="Q7" s="43" t="e">
        <f>AVERAGE('Flow cytometer'!P7,'Flow cytometer'!L7,'Flow cytometer'!H7)*Calculation!K7/Calculation!M6</f>
        <v>#DIV/0!</v>
      </c>
      <c r="R7" s="43" t="e">
        <f>STDEV('Flow cytometer'!P7,'Flow cytometer'!L7,'Flow cytometer'!H7)*Calculation!K7/Calculation!M6</f>
        <v>#DIV/0!</v>
      </c>
      <c r="S7" s="44" t="e">
        <f t="shared" si="1"/>
        <v>#DIV/0!</v>
      </c>
    </row>
    <row r="8" spans="1:19">
      <c r="A8" s="37">
        <v>4</v>
      </c>
      <c r="B8" s="53">
        <v>80</v>
      </c>
      <c r="C8" s="54">
        <f t="shared" si="2"/>
        <v>360</v>
      </c>
      <c r="D8" s="64">
        <f t="shared" si="0"/>
        <v>6</v>
      </c>
      <c r="Q8" s="43" t="e">
        <f>AVERAGE('Flow cytometer'!P8,'Flow cytometer'!L8,'Flow cytometer'!H8)*Calculation!K8/Calculation!M7</f>
        <v>#DIV/0!</v>
      </c>
      <c r="R8" s="43" t="e">
        <f>STDEV('Flow cytometer'!P8,'Flow cytometer'!L8,'Flow cytometer'!H8)*Calculation!K8/Calculation!M7</f>
        <v>#DIV/0!</v>
      </c>
      <c r="S8" s="44" t="e">
        <f t="shared" si="1"/>
        <v>#DIV/0!</v>
      </c>
    </row>
    <row r="9" spans="1:19">
      <c r="A9" s="37">
        <v>5</v>
      </c>
      <c r="B9" s="53">
        <v>80</v>
      </c>
      <c r="C9" s="54">
        <f t="shared" si="2"/>
        <v>440</v>
      </c>
      <c r="D9" s="64">
        <f t="shared" si="0"/>
        <v>7.333333333333333</v>
      </c>
      <c r="Q9" s="43" t="e">
        <f>AVERAGE('Flow cytometer'!P9,'Flow cytometer'!L9,'Flow cytometer'!H9)*Calculation!K9/Calculation!M8</f>
        <v>#DIV/0!</v>
      </c>
      <c r="R9" s="43" t="e">
        <f>STDEV('Flow cytometer'!P9,'Flow cytometer'!L9,'Flow cytometer'!H9)*Calculation!K9/Calculation!M8</f>
        <v>#DIV/0!</v>
      </c>
      <c r="S9" s="44" t="e">
        <f t="shared" si="1"/>
        <v>#DIV/0!</v>
      </c>
    </row>
    <row r="10" spans="1:19">
      <c r="A10" s="37">
        <v>6</v>
      </c>
      <c r="B10" s="53">
        <v>180</v>
      </c>
      <c r="C10" s="54">
        <f t="shared" si="2"/>
        <v>620</v>
      </c>
      <c r="D10" s="64">
        <f t="shared" si="0"/>
        <v>10.333333333333334</v>
      </c>
      <c r="Q10" s="43" t="e">
        <f>AVERAGE('Flow cytometer'!P10,'Flow cytometer'!L10,'Flow cytometer'!H10)*Calculation!K10/Calculation!M9</f>
        <v>#DIV/0!</v>
      </c>
      <c r="R10" s="43" t="e">
        <f>STDEV('Flow cytometer'!P10,'Flow cytometer'!L10,'Flow cytometer'!H10)*Calculation!K10/Calculation!M9</f>
        <v>#DIV/0!</v>
      </c>
      <c r="S10" s="44" t="e">
        <f t="shared" si="1"/>
        <v>#DIV/0!</v>
      </c>
    </row>
    <row r="11" spans="1:19">
      <c r="A11" s="37">
        <v>7</v>
      </c>
      <c r="B11" s="53">
        <v>80</v>
      </c>
      <c r="C11" s="54">
        <f t="shared" si="2"/>
        <v>700</v>
      </c>
      <c r="D11" s="64">
        <f t="shared" si="0"/>
        <v>11.666666666666666</v>
      </c>
      <c r="Q11" s="43" t="e">
        <f>AVERAGE('Flow cytometer'!P11,'Flow cytometer'!L11,'Flow cytometer'!H11)*Calculation!K11/Calculation!M10</f>
        <v>#DIV/0!</v>
      </c>
      <c r="R11" s="43" t="e">
        <f>STDEV('Flow cytometer'!P11,'Flow cytometer'!L11,'Flow cytometer'!H11)*Calculation!K11/Calculation!M10</f>
        <v>#DIV/0!</v>
      </c>
      <c r="S11" s="44" t="e">
        <f t="shared" si="1"/>
        <v>#DIV/0!</v>
      </c>
    </row>
    <row r="12" spans="1:19">
      <c r="A12" s="37">
        <v>8</v>
      </c>
      <c r="B12" s="53">
        <v>80</v>
      </c>
      <c r="C12" s="54">
        <f t="shared" si="2"/>
        <v>780</v>
      </c>
      <c r="D12" s="64">
        <f t="shared" si="0"/>
        <v>13</v>
      </c>
      <c r="Q12" s="43" t="e">
        <f>AVERAGE('Flow cytometer'!P12,'Flow cytometer'!L12,'Flow cytometer'!H12)*Calculation!K12/Calculation!M11</f>
        <v>#DIV/0!</v>
      </c>
      <c r="R12" s="43" t="e">
        <f>STDEV('Flow cytometer'!P12,'Flow cytometer'!L12,'Flow cytometer'!H12)*Calculation!K12/Calculation!M11</f>
        <v>#DIV/0!</v>
      </c>
      <c r="S12" s="44" t="e">
        <f t="shared" si="1"/>
        <v>#DIV/0!</v>
      </c>
    </row>
    <row r="13" spans="1:19">
      <c r="A13" s="37">
        <v>9</v>
      </c>
      <c r="B13" s="53">
        <v>80</v>
      </c>
      <c r="C13" s="54">
        <f t="shared" si="2"/>
        <v>860</v>
      </c>
      <c r="D13" s="64">
        <f t="shared" si="0"/>
        <v>14.333333333333334</v>
      </c>
      <c r="Q13" s="43" t="e">
        <f>AVERAGE('Flow cytometer'!P13,'Flow cytometer'!L13,'Flow cytometer'!H13)*Calculation!K13/Calculation!M12</f>
        <v>#DIV/0!</v>
      </c>
      <c r="R13" s="43" t="e">
        <f>STDEV('Flow cytometer'!P13,'Flow cytometer'!L13,'Flow cytometer'!H13)*Calculation!K13/Calculation!M12</f>
        <v>#DIV/0!</v>
      </c>
      <c r="S13" s="44" t="e">
        <f t="shared" si="1"/>
        <v>#DIV/0!</v>
      </c>
    </row>
    <row r="14" spans="1:19">
      <c r="A14" s="37">
        <v>10</v>
      </c>
      <c r="B14" s="53">
        <v>80</v>
      </c>
      <c r="C14" s="54">
        <f t="shared" si="2"/>
        <v>940</v>
      </c>
      <c r="D14" s="64">
        <f t="shared" si="0"/>
        <v>15.666666666666666</v>
      </c>
      <c r="Q14" s="43" t="e">
        <f>AVERAGE('Flow cytometer'!P14,'Flow cytometer'!L14,'Flow cytometer'!H14)*Calculation!K14/Calculation!M13</f>
        <v>#DIV/0!</v>
      </c>
      <c r="R14" s="43" t="e">
        <f>STDEV('Flow cytometer'!P14,'Flow cytometer'!L14,'Flow cytometer'!H14)*Calculation!K14/Calculation!M13</f>
        <v>#DIV/0!</v>
      </c>
      <c r="S14" s="44" t="e">
        <f t="shared" si="1"/>
        <v>#DIV/0!</v>
      </c>
    </row>
    <row r="15" spans="1:19">
      <c r="A15" s="37">
        <v>11</v>
      </c>
      <c r="B15" s="53">
        <v>80</v>
      </c>
      <c r="C15" s="54">
        <f t="shared" si="2"/>
        <v>1020</v>
      </c>
      <c r="D15" s="64">
        <f t="shared" si="0"/>
        <v>17</v>
      </c>
      <c r="Q15" s="43" t="e">
        <f>AVERAGE('Flow cytometer'!P15,'Flow cytometer'!L15,'Flow cytometer'!H15)*Calculation!K15/Calculation!M14</f>
        <v>#DIV/0!</v>
      </c>
      <c r="R15" s="43" t="e">
        <f>STDEV('Flow cytometer'!P15,'Flow cytometer'!L15,'Flow cytometer'!H15)*Calculation!K15/Calculation!M14</f>
        <v>#DIV/0!</v>
      </c>
      <c r="S15" s="44" t="e">
        <f t="shared" si="1"/>
        <v>#DIV/0!</v>
      </c>
    </row>
    <row r="16" spans="1:19">
      <c r="A16" s="37">
        <v>12</v>
      </c>
      <c r="B16" s="53">
        <v>80</v>
      </c>
      <c r="C16" s="54">
        <f t="shared" si="2"/>
        <v>1100</v>
      </c>
      <c r="D16" s="64">
        <f t="shared" si="0"/>
        <v>18.333333333333332</v>
      </c>
      <c r="Q16" s="43" t="e">
        <f>AVERAGE('Flow cytometer'!P16,'Flow cytometer'!L16,'Flow cytometer'!H16)*Calculation!K16/Calculation!M15</f>
        <v>#DIV/0!</v>
      </c>
      <c r="R16" s="43" t="e">
        <f>STDEV('Flow cytometer'!P16,'Flow cytometer'!L16,'Flow cytometer'!H16)*Calculation!K16/Calculation!M15</f>
        <v>#DIV/0!</v>
      </c>
      <c r="S16" s="44" t="e">
        <f t="shared" si="1"/>
        <v>#DIV/0!</v>
      </c>
    </row>
    <row r="17" spans="1:19">
      <c r="A17" s="37">
        <v>13</v>
      </c>
      <c r="B17" s="53">
        <v>340</v>
      </c>
      <c r="C17" s="54">
        <f t="shared" si="2"/>
        <v>1440</v>
      </c>
      <c r="D17" s="64">
        <f t="shared" si="0"/>
        <v>24</v>
      </c>
      <c r="Q17" s="43" t="e">
        <f>AVERAGE('Flow cytometer'!P17,'Flow cytometer'!L17,'Flow cytometer'!H17)*Calculation!K17/Calculation!M16</f>
        <v>#DIV/0!</v>
      </c>
      <c r="R17" s="43" t="e">
        <f>STDEV('Flow cytometer'!P17,'Flow cytometer'!L17,'Flow cytometer'!H17)*Calculation!K17/Calculation!M16</f>
        <v>#DIV/0!</v>
      </c>
      <c r="S17" s="44" t="e">
        <f t="shared" si="1"/>
        <v>#DIV/0!</v>
      </c>
    </row>
    <row r="18" spans="1:19">
      <c r="A18" s="37">
        <v>14</v>
      </c>
      <c r="B18" s="53">
        <v>360</v>
      </c>
      <c r="C18" s="54">
        <f t="shared" si="2"/>
        <v>1800</v>
      </c>
      <c r="D18" s="64">
        <f t="shared" si="0"/>
        <v>30</v>
      </c>
      <c r="Q18" s="43" t="e">
        <f>AVERAGE('Flow cytometer'!P18,'Flow cytometer'!L18,'Flow cytometer'!H18)*Calculation!K18/Calculation!M17</f>
        <v>#DIV/0!</v>
      </c>
      <c r="R18" s="43" t="e">
        <f>STDEV('Flow cytometer'!P18,'Flow cytometer'!L18,'Flow cytometer'!H18)*Calculation!K18/Calculation!M17</f>
        <v>#DIV/0!</v>
      </c>
      <c r="S18" s="44" t="e">
        <f t="shared" si="1"/>
        <v>#DIV/0!</v>
      </c>
    </row>
    <row r="19" spans="1:19">
      <c r="A19" s="37">
        <v>15</v>
      </c>
      <c r="B19" s="53">
        <v>1080</v>
      </c>
      <c r="C19" s="54">
        <f>C18+B19</f>
        <v>2880</v>
      </c>
      <c r="D19" s="64">
        <f t="shared" si="0"/>
        <v>48</v>
      </c>
      <c r="Q19" s="43" t="e">
        <f>AVERAGE('Flow cytometer'!P19,'Flow cytometer'!L19,'Flow cytometer'!H19)*Calculation!K19/Calculation!M18</f>
        <v>#DIV/0!</v>
      </c>
      <c r="R19" s="43" t="e">
        <f>STDEV('Flow cytometer'!P19,'Flow cytometer'!L19,'Flow cytometer'!H19)*Calculation!K19/Calculation!M18</f>
        <v>#DIV/0!</v>
      </c>
      <c r="S19" s="44" t="e">
        <f t="shared" si="1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8"/>
  <sheetViews>
    <sheetView topLeftCell="I1" workbookViewId="0">
      <selection activeCell="W21" sqref="W21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89" t="s">
        <v>4</v>
      </c>
      <c r="B1" s="89" t="s">
        <v>103</v>
      </c>
      <c r="C1" s="89" t="s">
        <v>103</v>
      </c>
      <c r="D1" s="89" t="s">
        <v>5</v>
      </c>
      <c r="E1" s="91" t="s">
        <v>105</v>
      </c>
      <c r="F1" s="91"/>
      <c r="G1" s="91"/>
      <c r="H1" s="91"/>
      <c r="I1" s="91" t="s">
        <v>106</v>
      </c>
      <c r="J1" s="91"/>
      <c r="K1" s="91"/>
      <c r="L1" s="91"/>
      <c r="M1" s="91" t="s">
        <v>107</v>
      </c>
      <c r="N1" s="91"/>
      <c r="O1" s="91"/>
      <c r="P1" s="91"/>
      <c r="Q1" s="24" t="s">
        <v>108</v>
      </c>
      <c r="R1" s="24" t="s">
        <v>108</v>
      </c>
      <c r="S1" s="24" t="s">
        <v>108</v>
      </c>
      <c r="T1" s="58" t="s">
        <v>108</v>
      </c>
      <c r="U1" s="80" t="s">
        <v>105</v>
      </c>
      <c r="V1" s="80" t="s">
        <v>106</v>
      </c>
      <c r="W1" s="80" t="s">
        <v>107</v>
      </c>
      <c r="X1" s="80" t="s">
        <v>108</v>
      </c>
    </row>
    <row r="2" spans="1:24">
      <c r="A2" s="90"/>
      <c r="B2" s="90"/>
      <c r="C2" s="90"/>
      <c r="D2" s="90"/>
      <c r="E2" s="23" t="s">
        <v>19</v>
      </c>
      <c r="F2" s="23" t="s">
        <v>67</v>
      </c>
      <c r="G2" s="23" t="s">
        <v>68</v>
      </c>
      <c r="H2" s="23" t="s">
        <v>69</v>
      </c>
      <c r="I2" s="23" t="s">
        <v>19</v>
      </c>
      <c r="J2" s="23" t="s">
        <v>67</v>
      </c>
      <c r="K2" s="23" t="s">
        <v>68</v>
      </c>
      <c r="L2" s="23" t="s">
        <v>69</v>
      </c>
      <c r="M2" s="23" t="s">
        <v>19</v>
      </c>
      <c r="N2" s="23" t="s">
        <v>67</v>
      </c>
      <c r="O2" s="23" t="s">
        <v>68</v>
      </c>
      <c r="P2" s="23" t="s">
        <v>70</v>
      </c>
      <c r="Q2" s="25" t="s">
        <v>69</v>
      </c>
      <c r="R2" s="25" t="s">
        <v>23</v>
      </c>
      <c r="S2" s="25" t="s">
        <v>71</v>
      </c>
      <c r="T2" s="59" t="s">
        <v>130</v>
      </c>
      <c r="U2" s="81" t="s">
        <v>157</v>
      </c>
      <c r="V2" s="81" t="s">
        <v>157</v>
      </c>
      <c r="W2" s="81" t="s">
        <v>157</v>
      </c>
      <c r="X2" s="81" t="s">
        <v>158</v>
      </c>
    </row>
    <row r="3" spans="1:24">
      <c r="A3" s="37" t="s">
        <v>6</v>
      </c>
      <c r="B3" s="51">
        <v>-10</v>
      </c>
      <c r="C3" s="52">
        <v>-10</v>
      </c>
      <c r="D3" s="64">
        <f>C3/60</f>
        <v>-0.16666666666666666</v>
      </c>
      <c r="E3" s="41" t="s">
        <v>90</v>
      </c>
      <c r="F3" s="41" t="s">
        <v>90</v>
      </c>
      <c r="G3" s="41" t="s">
        <v>90</v>
      </c>
      <c r="H3" s="42" t="s">
        <v>90</v>
      </c>
      <c r="I3" s="41" t="s">
        <v>90</v>
      </c>
      <c r="J3" s="41" t="s">
        <v>90</v>
      </c>
      <c r="K3" s="41" t="s">
        <v>90</v>
      </c>
      <c r="L3" s="42" t="s">
        <v>90</v>
      </c>
      <c r="M3" s="41" t="s">
        <v>90</v>
      </c>
      <c r="N3" s="41" t="s">
        <v>90</v>
      </c>
      <c r="O3" s="41" t="s">
        <v>90</v>
      </c>
      <c r="P3" s="42" t="s">
        <v>90</v>
      </c>
      <c r="Q3" s="97" t="s">
        <v>90</v>
      </c>
      <c r="R3" s="98"/>
      <c r="S3" s="99"/>
      <c r="T3" s="42" t="s">
        <v>90</v>
      </c>
      <c r="U3" s="42" t="s">
        <v>90</v>
      </c>
      <c r="V3" s="42" t="s">
        <v>90</v>
      </c>
      <c r="W3" s="42" t="s">
        <v>90</v>
      </c>
      <c r="X3" s="42" t="s">
        <v>90</v>
      </c>
    </row>
    <row r="4" spans="1:24">
      <c r="A4" s="37">
        <v>0</v>
      </c>
      <c r="B4" s="53">
        <v>10</v>
      </c>
      <c r="C4" s="54">
        <v>10</v>
      </c>
      <c r="D4" s="64">
        <f t="shared" ref="D4:D19" si="0">C4/60</f>
        <v>0.16666666666666666</v>
      </c>
      <c r="E4" s="30">
        <v>2</v>
      </c>
      <c r="F4" s="30">
        <v>12151</v>
      </c>
      <c r="G4" s="30">
        <v>7</v>
      </c>
      <c r="H4" s="42">
        <f>('Flow cytometer'!F4/'Flow cytometer'!G4)*POWER(10,'Flow cytometer'!E4+2)*10.2</f>
        <v>177057428.57142857</v>
      </c>
      <c r="I4" s="30">
        <v>2</v>
      </c>
      <c r="J4" s="30">
        <v>12294</v>
      </c>
      <c r="K4" s="30">
        <v>7</v>
      </c>
      <c r="L4" s="42">
        <f>('Flow cytometer'!J4/'Flow cytometer'!K4)*POWER(10,'Flow cytometer'!I4+2)*10.2</f>
        <v>179141142.85714284</v>
      </c>
      <c r="M4" s="30">
        <v>2</v>
      </c>
      <c r="N4" s="30">
        <v>11749</v>
      </c>
      <c r="O4" s="30">
        <v>7</v>
      </c>
      <c r="P4" s="42">
        <f>('Flow cytometer'!N4/'Flow cytometer'!O4)*POWER(10,'Flow cytometer'!M4+2)*10.2</f>
        <v>171199714.28571427</v>
      </c>
      <c r="Q4" s="45">
        <f>AVERAGE(H4,L4,P4)*Calculation!I4/Calculation!K3</f>
        <v>175799428.57142857</v>
      </c>
      <c r="R4" s="46">
        <f>STDEV(H4,L4,P4)*Calculation!I4/Calculation!K3</f>
        <v>4117462.1963990768</v>
      </c>
      <c r="S4" s="47">
        <f>LOG(Q4)</f>
        <v>8.2450174590842913</v>
      </c>
      <c r="T4" s="47">
        <f>LN(Q4)</f>
        <v>18.984854292763131</v>
      </c>
      <c r="U4" s="47">
        <f>LOG(H4)</f>
        <v>8.2481141526129118</v>
      </c>
      <c r="V4" s="47">
        <f>LOG(L4)</f>
        <v>8.2531953405324998</v>
      </c>
      <c r="W4" s="47">
        <f>LOG(P4)</f>
        <v>8.2335030355500063</v>
      </c>
      <c r="X4" s="47">
        <f xml:space="preserve"> STDEV(U4:W4)*Calculation!I4/Calculation!K3</f>
        <v>1.0223258515297649E-2</v>
      </c>
    </row>
    <row r="5" spans="1:24">
      <c r="A5" s="37">
        <v>1</v>
      </c>
      <c r="B5" s="53">
        <v>110</v>
      </c>
      <c r="C5" s="54">
        <f>C4+B5</f>
        <v>120</v>
      </c>
      <c r="D5" s="64">
        <f t="shared" si="0"/>
        <v>2</v>
      </c>
      <c r="E5" s="30">
        <v>2</v>
      </c>
      <c r="F5" s="30">
        <v>14100</v>
      </c>
      <c r="G5" s="30">
        <v>7</v>
      </c>
      <c r="H5" s="42">
        <f>('Flow cytometer'!F5/'Flow cytometer'!G5)*POWER(10,'Flow cytometer'!E5+2)*10.2</f>
        <v>205457142.85714284</v>
      </c>
      <c r="I5" s="30">
        <v>2</v>
      </c>
      <c r="J5" s="30">
        <v>14336</v>
      </c>
      <c r="K5" s="30">
        <v>7</v>
      </c>
      <c r="L5" s="42">
        <f>('Flow cytometer'!J5/'Flow cytometer'!K5)*POWER(10,'Flow cytometer'!I5+2)*10.2</f>
        <v>208896000</v>
      </c>
      <c r="M5" s="30">
        <v>2</v>
      </c>
      <c r="N5" s="30">
        <v>13236</v>
      </c>
      <c r="O5" s="30">
        <v>7</v>
      </c>
      <c r="P5" s="42">
        <f>('Flow cytometer'!N5/'Flow cytometer'!O5)*POWER(10,'Flow cytometer'!M5+2)*10.2</f>
        <v>192867428.57142857</v>
      </c>
      <c r="Q5" s="45">
        <f>AVERAGE(H5,L5,P5)*Calculation!I5/Calculation!K4</f>
        <v>202544361.8012422</v>
      </c>
      <c r="R5" s="46">
        <f>STDEV(H5,L5,P5)*Calculation!I5/Calculation!K4</f>
        <v>8444154.1412450951</v>
      </c>
      <c r="S5" s="47">
        <f t="shared" ref="S5:S19" si="1">LOG(Q5)</f>
        <v>8.3065201582937895</v>
      </c>
      <c r="T5" s="47">
        <f t="shared" ref="T5:T19" si="2">LN(Q5)</f>
        <v>19.126469491141822</v>
      </c>
      <c r="U5" s="47">
        <f t="shared" ref="U5:U18" si="3">LOG(H5)</f>
        <v>8.3127212444030398</v>
      </c>
      <c r="V5" s="47">
        <f t="shared" ref="V5:V19" si="4">LOG(L5)</f>
        <v>8.31993012406571</v>
      </c>
      <c r="W5" s="47">
        <f t="shared" ref="W5:W19" si="5">LOG(P5)</f>
        <v>8.2852588902354753</v>
      </c>
      <c r="X5" s="47">
        <f xml:space="preserve"> STDEV(U5:W5)*Calculation!I5/Calculation!K4</f>
        <v>1.8307433899898289E-2</v>
      </c>
    </row>
    <row r="6" spans="1:24">
      <c r="A6" s="37">
        <v>2</v>
      </c>
      <c r="B6" s="53">
        <v>80</v>
      </c>
      <c r="C6" s="54">
        <f t="shared" ref="C6:C18" si="6">C5+B6</f>
        <v>200</v>
      </c>
      <c r="D6" s="64">
        <f t="shared" si="0"/>
        <v>3.3333333333333335</v>
      </c>
      <c r="E6" s="30">
        <v>2</v>
      </c>
      <c r="F6" s="30">
        <v>21244</v>
      </c>
      <c r="G6" s="30">
        <v>7</v>
      </c>
      <c r="H6" s="42">
        <f>('Flow cytometer'!F6/'Flow cytometer'!G6)*POWER(10,'Flow cytometer'!E6+2)*10.2</f>
        <v>309555428.57142854</v>
      </c>
      <c r="I6" s="30">
        <v>2</v>
      </c>
      <c r="J6" s="30">
        <v>21026</v>
      </c>
      <c r="K6" s="30">
        <v>7</v>
      </c>
      <c r="L6" s="42">
        <f>('Flow cytometer'!J6/'Flow cytometer'!K6)*POWER(10,'Flow cytometer'!I6+2)*10.2</f>
        <v>306378857.14285713</v>
      </c>
      <c r="M6" s="30">
        <v>2</v>
      </c>
      <c r="N6" s="30">
        <v>21583</v>
      </c>
      <c r="O6" s="30">
        <v>7</v>
      </c>
      <c r="P6" s="42">
        <f>('Flow cytometer'!N6/'Flow cytometer'!O6)*POWER(10,'Flow cytometer'!M6+2)*10.2</f>
        <v>314495142.85714281</v>
      </c>
      <c r="Q6" s="45">
        <f>AVERAGE(H6,L6,P6)*Calculation!I6/Calculation!K5</f>
        <v>310789422.26095122</v>
      </c>
      <c r="R6" s="46">
        <f>STDEV(H6,L6,P6)*Calculation!I6/Calculation!K5</f>
        <v>4098459.0205334444</v>
      </c>
      <c r="S6" s="47">
        <f t="shared" si="1"/>
        <v>8.4924662291382873</v>
      </c>
      <c r="T6" s="47">
        <f t="shared" si="2"/>
        <v>19.554626141969177</v>
      </c>
      <c r="U6" s="47">
        <f t="shared" si="3"/>
        <v>8.4907384244947597</v>
      </c>
      <c r="V6" s="47">
        <f t="shared" si="4"/>
        <v>8.4862587918254189</v>
      </c>
      <c r="W6" s="47">
        <f t="shared" si="5"/>
        <v>8.4976139424788073</v>
      </c>
      <c r="X6" s="47">
        <f xml:space="preserve"> STDEV(U6:W6)*Calculation!I6/Calculation!K5</f>
        <v>5.731465383211236E-3</v>
      </c>
    </row>
    <row r="7" spans="1:24">
      <c r="A7" s="37">
        <v>3</v>
      </c>
      <c r="B7" s="53">
        <v>80</v>
      </c>
      <c r="C7" s="54">
        <f>C6+B7</f>
        <v>280</v>
      </c>
      <c r="D7" s="64">
        <f t="shared" si="0"/>
        <v>4.666666666666667</v>
      </c>
      <c r="E7" s="30">
        <v>2</v>
      </c>
      <c r="F7" s="30">
        <v>56465</v>
      </c>
      <c r="G7" s="30">
        <v>7</v>
      </c>
      <c r="H7" s="42">
        <f>('Flow cytometer'!F7/'Flow cytometer'!G7)*POWER(10,'Flow cytometer'!E7+2)*10.2</f>
        <v>822775714.28571427</v>
      </c>
      <c r="I7" s="30">
        <v>2</v>
      </c>
      <c r="J7" s="30">
        <v>63836</v>
      </c>
      <c r="K7" s="30">
        <v>7</v>
      </c>
      <c r="L7" s="42">
        <f>('Flow cytometer'!J7/'Flow cytometer'!K7)*POWER(10,'Flow cytometer'!I7+2)*10.2</f>
        <v>930181714.28571415</v>
      </c>
      <c r="M7" s="30">
        <v>2</v>
      </c>
      <c r="N7" s="30">
        <v>62337</v>
      </c>
      <c r="O7" s="30">
        <v>7</v>
      </c>
      <c r="P7" s="42">
        <f>('Flow cytometer'!N7/'Flow cytometer'!O7)*POWER(10,'Flow cytometer'!M7+2)*10.2</f>
        <v>908339142.85714269</v>
      </c>
      <c r="Q7" s="45">
        <f>AVERAGE(H7,L7,P7)*Calculation!I7/Calculation!K6</f>
        <v>890236666.4914943</v>
      </c>
      <c r="R7" s="46">
        <f>STDEV(H7,L7,P7)*Calculation!I7/Calculation!K6</f>
        <v>56966752.830408871</v>
      </c>
      <c r="S7" s="47">
        <f t="shared" si="1"/>
        <v>8.9495054777548475</v>
      </c>
      <c r="T7" s="47">
        <f t="shared" si="2"/>
        <v>20.606997902746865</v>
      </c>
      <c r="U7" s="47">
        <f t="shared" si="3"/>
        <v>8.9152814642242415</v>
      </c>
      <c r="V7" s="47">
        <f t="shared" si="4"/>
        <v>8.9685677978041056</v>
      </c>
      <c r="W7" s="47">
        <f t="shared" si="5"/>
        <v>8.9582480295473825</v>
      </c>
      <c r="X7" s="47">
        <f xml:space="preserve"> STDEV(U7:W7)*Calculation!I7/Calculation!K6</f>
        <v>2.8360821520175147E-2</v>
      </c>
    </row>
    <row r="8" spans="1:24">
      <c r="A8" s="37">
        <v>4</v>
      </c>
      <c r="B8" s="53">
        <v>80</v>
      </c>
      <c r="C8" s="54">
        <f t="shared" si="6"/>
        <v>360</v>
      </c>
      <c r="D8" s="64">
        <f t="shared" si="0"/>
        <v>6</v>
      </c>
      <c r="E8" s="30">
        <v>3</v>
      </c>
      <c r="F8" s="30">
        <v>14037</v>
      </c>
      <c r="G8" s="30">
        <v>7</v>
      </c>
      <c r="H8" s="42">
        <f>('Flow cytometer'!F8/'Flow cytometer'!G8)*POWER(10,'Flow cytometer'!E8+2)*10.2</f>
        <v>2045391428.5714285</v>
      </c>
      <c r="I8" s="30">
        <v>3</v>
      </c>
      <c r="J8" s="30">
        <v>14285</v>
      </c>
      <c r="K8" s="30">
        <v>7</v>
      </c>
      <c r="L8" s="42">
        <f>('Flow cytometer'!J8/'Flow cytometer'!K8)*POWER(10,'Flow cytometer'!I8+2)*10.2</f>
        <v>2081528571.4285712</v>
      </c>
      <c r="M8" s="30">
        <v>3</v>
      </c>
      <c r="N8" s="30">
        <v>14560</v>
      </c>
      <c r="O8" s="30">
        <v>7</v>
      </c>
      <c r="P8" s="42">
        <f>('Flow cytometer'!N8/'Flow cytometer'!O8)*POWER(10,'Flow cytometer'!M8+2)*10.2</f>
        <v>2121599999.9999998</v>
      </c>
      <c r="Q8" s="45">
        <f>AVERAGE(H8,L8,P8)*Calculation!I8/Calculation!K7</f>
        <v>2096456086.7879016</v>
      </c>
      <c r="R8" s="46">
        <f>STDEV(H8,L8,P8)*Calculation!I8/Calculation!K7</f>
        <v>38370416.275305502</v>
      </c>
      <c r="S8" s="47">
        <f t="shared" si="1"/>
        <v>9.321485769928028</v>
      </c>
      <c r="T8" s="47">
        <f t="shared" si="2"/>
        <v>21.463514178392401</v>
      </c>
      <c r="U8" s="47">
        <f t="shared" si="3"/>
        <v>9.3107764316595034</v>
      </c>
      <c r="V8" s="47">
        <f t="shared" si="4"/>
        <v>9.3183823764664222</v>
      </c>
      <c r="W8" s="47">
        <f t="shared" si="5"/>
        <v>9.3266635067246799</v>
      </c>
      <c r="X8" s="47">
        <f xml:space="preserve"> STDEV(U8:W8)*Calculation!I8/Calculation!K7</f>
        <v>7.9978730774618815E-3</v>
      </c>
    </row>
    <row r="9" spans="1:24">
      <c r="A9" s="37">
        <v>5</v>
      </c>
      <c r="B9" s="53">
        <v>80</v>
      </c>
      <c r="C9" s="54">
        <f t="shared" si="6"/>
        <v>440</v>
      </c>
      <c r="D9" s="64">
        <f t="shared" si="0"/>
        <v>7.333333333333333</v>
      </c>
      <c r="E9" s="30">
        <v>3</v>
      </c>
      <c r="F9" s="30">
        <v>20175</v>
      </c>
      <c r="G9" s="30">
        <v>7</v>
      </c>
      <c r="H9" s="42">
        <f>('Flow cytometer'!F9/'Flow cytometer'!G9)*POWER(10,'Flow cytometer'!E9+2)*10.2</f>
        <v>2939785714.2857141</v>
      </c>
      <c r="I9" s="30">
        <v>3</v>
      </c>
      <c r="J9" s="30">
        <v>20791</v>
      </c>
      <c r="K9" s="30">
        <v>7</v>
      </c>
      <c r="L9" s="42">
        <f>('Flow cytometer'!J9/'Flow cytometer'!K9)*POWER(10,'Flow cytometer'!I9+2)*10.2</f>
        <v>3029545714.2857141</v>
      </c>
      <c r="M9" s="30">
        <v>3</v>
      </c>
      <c r="N9" s="30">
        <v>20216</v>
      </c>
      <c r="O9" s="30">
        <v>7</v>
      </c>
      <c r="P9" s="42">
        <f>('Flow cytometer'!N9/'Flow cytometer'!O9)*POWER(10,'Flow cytometer'!M9+2)*10.2</f>
        <v>2945760000</v>
      </c>
      <c r="Q9" s="45">
        <f>AVERAGE(H9,L9,P9)*Calculation!I9/Calculation!K8</f>
        <v>3002663758.4692016</v>
      </c>
      <c r="R9" s="46">
        <f>STDEV(H9,L9,P9)*Calculation!I9/Calculation!K8</f>
        <v>50710286.11944925</v>
      </c>
      <c r="S9" s="47">
        <f t="shared" si="1"/>
        <v>9.477506702156596</v>
      </c>
      <c r="T9" s="47">
        <f t="shared" si="2"/>
        <v>21.822765651136933</v>
      </c>
      <c r="U9" s="47">
        <f t="shared" si="3"/>
        <v>9.4683156751417688</v>
      </c>
      <c r="V9" s="47">
        <f t="shared" si="4"/>
        <v>9.4813775101622202</v>
      </c>
      <c r="W9" s="47">
        <f t="shared" si="5"/>
        <v>9.4691973606595194</v>
      </c>
      <c r="X9" s="47">
        <f xml:space="preserve"> STDEV(U9:W9)*Calculation!I9/Calculation!K8</f>
        <v>7.3761268038174399E-3</v>
      </c>
    </row>
    <row r="10" spans="1:24">
      <c r="A10" s="37">
        <v>6</v>
      </c>
      <c r="B10" s="53">
        <v>180</v>
      </c>
      <c r="C10" s="54">
        <f t="shared" si="6"/>
        <v>620</v>
      </c>
      <c r="D10" s="64">
        <f t="shared" si="0"/>
        <v>10.333333333333334</v>
      </c>
      <c r="E10" s="30">
        <v>3</v>
      </c>
      <c r="F10" s="30">
        <v>30461</v>
      </c>
      <c r="G10" s="30">
        <v>7</v>
      </c>
      <c r="H10" s="42">
        <f>('Flow cytometer'!F10/'Flow cytometer'!G10)*POWER(10,'Flow cytometer'!E10+2)*10.2</f>
        <v>4438602857.1428566</v>
      </c>
      <c r="I10" s="30">
        <v>3</v>
      </c>
      <c r="J10" s="30">
        <v>28486</v>
      </c>
      <c r="K10" s="30">
        <v>7</v>
      </c>
      <c r="L10" s="42">
        <f>('Flow cytometer'!J10/'Flow cytometer'!K10)*POWER(10,'Flow cytometer'!I10+2)*10.2</f>
        <v>4150817142.8571424</v>
      </c>
      <c r="M10" s="30">
        <v>3</v>
      </c>
      <c r="N10" s="30">
        <v>29569</v>
      </c>
      <c r="O10" s="30">
        <v>7</v>
      </c>
      <c r="P10" s="42">
        <f>('Flow cytometer'!N10/'Flow cytometer'!O10)*POWER(10,'Flow cytometer'!M10+2)*10.2</f>
        <v>4308625714.2857132</v>
      </c>
      <c r="Q10" s="45">
        <f>AVERAGE(H10,L10,P10)*Calculation!I10/Calculation!K9</f>
        <v>4396154987.1133852</v>
      </c>
      <c r="R10" s="46">
        <f>STDEV(H10,L10,P10)*Calculation!I10/Calculation!K9</f>
        <v>147361992.4963367</v>
      </c>
      <c r="S10" s="47">
        <f t="shared" si="1"/>
        <v>9.6430729951394376</v>
      </c>
      <c r="T10" s="47">
        <f t="shared" si="2"/>
        <v>22.203996129261512</v>
      </c>
      <c r="U10" s="47">
        <f t="shared" si="3"/>
        <v>9.6472462883758237</v>
      </c>
      <c r="V10" s="47">
        <f t="shared" si="4"/>
        <v>9.6181336017000536</v>
      </c>
      <c r="W10" s="47">
        <f t="shared" si="5"/>
        <v>9.6343387690290854</v>
      </c>
      <c r="X10" s="47">
        <f xml:space="preserve"> STDEV(U10:W10)*Calculation!I10/Calculation!K9</f>
        <v>1.491589617912726E-2</v>
      </c>
    </row>
    <row r="11" spans="1:24">
      <c r="A11" s="37">
        <v>7</v>
      </c>
      <c r="B11" s="53">
        <v>80</v>
      </c>
      <c r="C11" s="54">
        <f t="shared" si="6"/>
        <v>700</v>
      </c>
      <c r="D11" s="64">
        <f t="shared" si="0"/>
        <v>11.666666666666666</v>
      </c>
      <c r="E11" s="30">
        <v>3</v>
      </c>
      <c r="F11" s="30">
        <v>29676</v>
      </c>
      <c r="G11" s="30">
        <v>7</v>
      </c>
      <c r="H11" s="42">
        <f>('Flow cytometer'!F11/'Flow cytometer'!G11)*POWER(10,'Flow cytometer'!E11+2)*10.2</f>
        <v>4324217142.8571424</v>
      </c>
      <c r="I11" s="30">
        <v>3</v>
      </c>
      <c r="J11" s="30">
        <v>30179</v>
      </c>
      <c r="K11" s="30">
        <v>7</v>
      </c>
      <c r="L11" s="42">
        <f>('Flow cytometer'!J11/'Flow cytometer'!K11)*POWER(10,'Flow cytometer'!I11+2)*10.2</f>
        <v>4397511428.5714283</v>
      </c>
      <c r="M11" s="30">
        <v>3</v>
      </c>
      <c r="N11" s="30">
        <v>28635</v>
      </c>
      <c r="O11" s="30">
        <v>7</v>
      </c>
      <c r="P11" s="42">
        <f>('Flow cytometer'!N11/'Flow cytometer'!O11)*POWER(10,'Flow cytometer'!M11+2)*10.2</f>
        <v>4172528571.4285712</v>
      </c>
      <c r="Q11" s="45">
        <f>AVERAGE(H11,L11,P11)*Calculation!I11/Calculation!K10</f>
        <v>4423588294.1209087</v>
      </c>
      <c r="R11" s="46">
        <f>STDEV(H11,L11,P11)*Calculation!I11/Calculation!K10</f>
        <v>118095715.80939937</v>
      </c>
      <c r="S11" s="47">
        <f t="shared" si="1"/>
        <v>9.6457747001429848</v>
      </c>
      <c r="T11" s="47">
        <f t="shared" si="2"/>
        <v>22.210217034928345</v>
      </c>
      <c r="U11" s="47">
        <f t="shared" si="3"/>
        <v>9.6359074941565837</v>
      </c>
      <c r="V11" s="47">
        <f t="shared" si="4"/>
        <v>9.6432069768069422</v>
      </c>
      <c r="W11" s="47">
        <f t="shared" si="5"/>
        <v>9.6203993191970092</v>
      </c>
      <c r="X11" s="47">
        <f xml:space="preserve"> STDEV(U11:W11)*Calculation!I11/Calculation!K10</f>
        <v>1.1987526628287929E-2</v>
      </c>
    </row>
    <row r="12" spans="1:24">
      <c r="A12" s="37">
        <v>8</v>
      </c>
      <c r="B12" s="53">
        <v>80</v>
      </c>
      <c r="C12" s="54">
        <f t="shared" si="6"/>
        <v>780</v>
      </c>
      <c r="D12" s="64">
        <f t="shared" si="0"/>
        <v>13</v>
      </c>
      <c r="E12" s="30">
        <v>3</v>
      </c>
      <c r="F12" s="30">
        <v>25122</v>
      </c>
      <c r="G12" s="30">
        <v>7</v>
      </c>
      <c r="H12" s="42">
        <f>('Flow cytometer'!F12/'Flow cytometer'!G12)*POWER(10,'Flow cytometer'!E12+2)*10.2</f>
        <v>3660634285.7142854</v>
      </c>
      <c r="I12" s="30">
        <v>3</v>
      </c>
      <c r="J12" s="30">
        <v>29994</v>
      </c>
      <c r="K12" s="30">
        <v>7</v>
      </c>
      <c r="L12" s="42">
        <f>('Flow cytometer'!J12/'Flow cytometer'!K12)*POWER(10,'Flow cytometer'!I12+2)*10.2</f>
        <v>4370554285.7142859</v>
      </c>
      <c r="M12" s="30">
        <v>3</v>
      </c>
      <c r="N12" s="30">
        <v>29758</v>
      </c>
      <c r="O12" s="30">
        <v>7</v>
      </c>
      <c r="P12" s="42">
        <f>('Flow cytometer'!N12/'Flow cytometer'!O12)*POWER(10,'Flow cytometer'!M12+2)*10.2</f>
        <v>4336165714.2857132</v>
      </c>
      <c r="Q12" s="45">
        <f>AVERAGE(H12,L12,P12)*Calculation!I12/Calculation!K11</f>
        <v>4267741471.3506703</v>
      </c>
      <c r="R12" s="46">
        <f>STDEV(H12,L12,P12)*Calculation!I12/Calculation!K11</f>
        <v>414423348.21293938</v>
      </c>
      <c r="S12" s="47">
        <f t="shared" si="1"/>
        <v>9.630198103122046</v>
      </c>
      <c r="T12" s="47">
        <f t="shared" si="2"/>
        <v>22.174350594828358</v>
      </c>
      <c r="U12" s="47">
        <f t="shared" si="3"/>
        <v>9.563556343022535</v>
      </c>
      <c r="V12" s="47">
        <f t="shared" si="4"/>
        <v>9.640536518883895</v>
      </c>
      <c r="W12" s="47">
        <f t="shared" si="5"/>
        <v>9.6371058711836124</v>
      </c>
      <c r="X12" s="47">
        <f xml:space="preserve"> STDEV(U12:W12)*Calculation!I12/Calculation!K11</f>
        <v>4.502069970465538E-2</v>
      </c>
    </row>
    <row r="13" spans="1:24">
      <c r="A13" s="37">
        <v>9</v>
      </c>
      <c r="B13" s="53">
        <v>80</v>
      </c>
      <c r="C13" s="54">
        <f t="shared" si="6"/>
        <v>860</v>
      </c>
      <c r="D13" s="64">
        <f t="shared" si="0"/>
        <v>14.333333333333334</v>
      </c>
      <c r="E13" s="30">
        <v>3</v>
      </c>
      <c r="F13" s="30">
        <v>31010</v>
      </c>
      <c r="G13" s="30">
        <v>7</v>
      </c>
      <c r="H13" s="42">
        <f>('Flow cytometer'!F13/'Flow cytometer'!G13)*POWER(10,'Flow cytometer'!E13+2)*10.2</f>
        <v>4518600000</v>
      </c>
      <c r="I13" s="30">
        <v>3</v>
      </c>
      <c r="J13" s="30">
        <v>28958</v>
      </c>
      <c r="K13" s="30">
        <v>7</v>
      </c>
      <c r="L13" s="42">
        <f>('Flow cytometer'!J13/'Flow cytometer'!K13)*POWER(10,'Flow cytometer'!I13+2)*10.2</f>
        <v>4219594285.7142859</v>
      </c>
      <c r="M13" s="30">
        <v>3</v>
      </c>
      <c r="N13" s="30">
        <v>29106</v>
      </c>
      <c r="O13" s="30">
        <v>7</v>
      </c>
      <c r="P13" s="42">
        <f>('Flow cytometer'!N13/'Flow cytometer'!O13)*POWER(10,'Flow cytometer'!M13+2)*10.2</f>
        <v>4241159999.9999995</v>
      </c>
      <c r="Q13" s="45">
        <f>AVERAGE(H13,L13,P13)*Calculation!I13/Calculation!K12</f>
        <v>4505912679.4749737</v>
      </c>
      <c r="R13" s="46">
        <f>STDEV(H13,L13,P13)*Calculation!I13/Calculation!K12</f>
        <v>173671515.46956417</v>
      </c>
      <c r="S13" s="47">
        <f t="shared" si="1"/>
        <v>9.6537827712338782</v>
      </c>
      <c r="T13" s="47">
        <f t="shared" si="2"/>
        <v>22.228656300045873</v>
      </c>
      <c r="U13" s="47">
        <f t="shared" si="3"/>
        <v>9.6550038979849866</v>
      </c>
      <c r="V13" s="47">
        <f t="shared" si="4"/>
        <v>9.6252706955242235</v>
      </c>
      <c r="W13" s="47">
        <f t="shared" si="5"/>
        <v>9.6274846567573675</v>
      </c>
      <c r="X13" s="47">
        <f xml:space="preserve"> STDEV(U13:W13)*Calculation!I13/Calculation!K12</f>
        <v>1.7251478421932701E-2</v>
      </c>
    </row>
    <row r="14" spans="1:24">
      <c r="A14" s="37">
        <v>10</v>
      </c>
      <c r="B14" s="53">
        <v>80</v>
      </c>
      <c r="C14" s="54">
        <f t="shared" si="6"/>
        <v>940</v>
      </c>
      <c r="D14" s="64">
        <f t="shared" si="0"/>
        <v>15.666666666666666</v>
      </c>
      <c r="E14" s="30">
        <v>3</v>
      </c>
      <c r="F14" s="30">
        <v>26075</v>
      </c>
      <c r="G14" s="30">
        <v>7</v>
      </c>
      <c r="H14" s="42">
        <f>('Flow cytometer'!F14/'Flow cytometer'!G14)*POWER(10,'Flow cytometer'!E14+2)*10.2</f>
        <v>3799499999.9999995</v>
      </c>
      <c r="I14" s="30">
        <v>3</v>
      </c>
      <c r="J14" s="30">
        <v>25079</v>
      </c>
      <c r="K14" s="30">
        <v>7</v>
      </c>
      <c r="L14" s="42">
        <f>('Flow cytometer'!J14/'Flow cytometer'!K14)*POWER(10,'Flow cytometer'!I14+2)*10.2</f>
        <v>3654368571.4285712</v>
      </c>
      <c r="M14" s="30">
        <v>3</v>
      </c>
      <c r="N14" s="30">
        <v>26538</v>
      </c>
      <c r="O14" s="30">
        <v>7</v>
      </c>
      <c r="P14" s="42">
        <f>('Flow cytometer'!N14/'Flow cytometer'!O14)*POWER(10,'Flow cytometer'!M14+2)*10.2</f>
        <v>3866965714.2857141</v>
      </c>
      <c r="Q14" s="45">
        <f>AVERAGE(H14,L14,P14)*Calculation!I14/Calculation!K13</f>
        <v>3947654867.1910629</v>
      </c>
      <c r="R14" s="46">
        <f>STDEV(H14,L14,P14)*Calculation!I14/Calculation!K13</f>
        <v>113647718.32848197</v>
      </c>
      <c r="S14" s="47">
        <f t="shared" si="1"/>
        <v>9.5963391764630348</v>
      </c>
      <c r="T14" s="47">
        <f t="shared" si="2"/>
        <v>22.096387535038541</v>
      </c>
      <c r="U14" s="47">
        <f t="shared" si="3"/>
        <v>9.5797264488462286</v>
      </c>
      <c r="V14" s="47">
        <f t="shared" si="4"/>
        <v>9.562812347194205</v>
      </c>
      <c r="W14" s="47">
        <f t="shared" si="5"/>
        <v>9.5873703215009076</v>
      </c>
      <c r="X14" s="47">
        <f xml:space="preserve"> STDEV(U14:W14)*Calculation!I14/Calculation!K13</f>
        <v>1.3146832432019943E-2</v>
      </c>
    </row>
    <row r="15" spans="1:24">
      <c r="A15" s="37">
        <v>11</v>
      </c>
      <c r="B15" s="53">
        <v>80</v>
      </c>
      <c r="C15" s="54">
        <f t="shared" si="6"/>
        <v>1020</v>
      </c>
      <c r="D15" s="64">
        <f t="shared" si="0"/>
        <v>17</v>
      </c>
      <c r="E15" s="30">
        <v>3</v>
      </c>
      <c r="F15" s="30">
        <v>24431</v>
      </c>
      <c r="G15" s="30">
        <v>7</v>
      </c>
      <c r="H15" s="42">
        <f>('Flow cytometer'!F15/'Flow cytometer'!G15)*POWER(10,'Flow cytometer'!E15+2)*10.2</f>
        <v>3559945714.2857141</v>
      </c>
      <c r="I15" s="30">
        <v>3</v>
      </c>
      <c r="J15" s="30">
        <v>24890</v>
      </c>
      <c r="K15" s="30">
        <v>7</v>
      </c>
      <c r="L15" s="42">
        <f>('Flow cytometer'!J15/'Flow cytometer'!K15)*POWER(10,'Flow cytometer'!I15+2)*10.2</f>
        <v>3626828571.4285712</v>
      </c>
      <c r="M15" s="30">
        <v>3</v>
      </c>
      <c r="N15" s="30">
        <v>23167</v>
      </c>
      <c r="O15" s="30">
        <v>7</v>
      </c>
      <c r="P15" s="42">
        <f>('Flow cytometer'!N15/'Flow cytometer'!O15)*POWER(10,'Flow cytometer'!M15+2)*10.2</f>
        <v>3375762857.1428571</v>
      </c>
      <c r="Q15" s="45">
        <f>AVERAGE(H15,L15,P15)*Calculation!I15/Calculation!K14</f>
        <v>3693443584.5211778</v>
      </c>
      <c r="R15" s="46">
        <f>STDEV(H15,L15,P15)*Calculation!I15/Calculation!K14</f>
        <v>136393420.52651396</v>
      </c>
      <c r="S15" s="47">
        <f t="shared" si="1"/>
        <v>9.5674314697795673</v>
      </c>
      <c r="T15" s="47">
        <f t="shared" si="2"/>
        <v>22.029825080556545</v>
      </c>
      <c r="U15" s="47">
        <f t="shared" si="3"/>
        <v>9.55144337545436</v>
      </c>
      <c r="V15" s="47">
        <f t="shared" si="4"/>
        <v>9.5595270283562535</v>
      </c>
      <c r="W15" s="47">
        <f t="shared" si="5"/>
        <v>9.5283719304146235</v>
      </c>
      <c r="X15" s="47">
        <f xml:space="preserve"> STDEV(U15:W15)*Calculation!I15/Calculation!K14</f>
        <v>1.6959781677509691E-2</v>
      </c>
    </row>
    <row r="16" spans="1:24">
      <c r="A16" s="37">
        <v>12</v>
      </c>
      <c r="B16" s="53">
        <v>80</v>
      </c>
      <c r="C16" s="54">
        <f t="shared" si="6"/>
        <v>1100</v>
      </c>
      <c r="D16" s="64">
        <f t="shared" si="0"/>
        <v>18.333333333333332</v>
      </c>
      <c r="E16" s="30">
        <v>3</v>
      </c>
      <c r="F16" s="30">
        <v>20803</v>
      </c>
      <c r="G16" s="30">
        <v>7</v>
      </c>
      <c r="H16" s="42">
        <f>('Flow cytometer'!F16/'Flow cytometer'!G16)*POWER(10,'Flow cytometer'!E16+2)*10.2</f>
        <v>3031294285.7142854</v>
      </c>
      <c r="I16" s="30">
        <v>3</v>
      </c>
      <c r="J16" s="30">
        <v>24695</v>
      </c>
      <c r="K16" s="30">
        <v>7</v>
      </c>
      <c r="L16" s="42">
        <f>('Flow cytometer'!J16/'Flow cytometer'!K16)*POWER(10,'Flow cytometer'!I16+2)*10.2</f>
        <v>3598414285.7142854</v>
      </c>
      <c r="M16" s="30">
        <v>3</v>
      </c>
      <c r="N16" s="30">
        <v>24051</v>
      </c>
      <c r="O16" s="30">
        <v>7</v>
      </c>
      <c r="P16" s="42">
        <f>('Flow cytometer'!N16/'Flow cytometer'!O16)*POWER(10,'Flow cytometer'!M16+2)*10.2</f>
        <v>3504574285.7142854</v>
      </c>
      <c r="Q16" s="45">
        <f>AVERAGE(H16,L16,P16)*Calculation!I16/Calculation!K15</f>
        <v>3550489432.198772</v>
      </c>
      <c r="R16" s="46">
        <f>STDEV(H16,L16,P16)*Calculation!I16/Calculation!K15</f>
        <v>319493652.38380837</v>
      </c>
      <c r="S16" s="47">
        <f t="shared" si="1"/>
        <v>9.5502882243373648</v>
      </c>
      <c r="T16" s="47">
        <f t="shared" si="2"/>
        <v>21.99035129915579</v>
      </c>
      <c r="U16" s="47">
        <f t="shared" si="3"/>
        <v>9.4816281008208456</v>
      </c>
      <c r="V16" s="47">
        <f t="shared" si="4"/>
        <v>9.5561111622452284</v>
      </c>
      <c r="W16" s="47">
        <f t="shared" si="5"/>
        <v>9.5446352700647115</v>
      </c>
      <c r="X16" s="47">
        <f xml:space="preserve"> STDEV(U16:W16)*Calculation!I16/Calculation!K15</f>
        <v>4.2149198432644433E-2</v>
      </c>
    </row>
    <row r="17" spans="1:24">
      <c r="A17" s="37">
        <v>13</v>
      </c>
      <c r="B17" s="53">
        <v>340</v>
      </c>
      <c r="C17" s="54">
        <f t="shared" si="6"/>
        <v>1440</v>
      </c>
      <c r="D17" s="64">
        <f t="shared" si="0"/>
        <v>24</v>
      </c>
      <c r="E17" s="30">
        <v>3</v>
      </c>
      <c r="F17" s="30">
        <v>25199</v>
      </c>
      <c r="G17" s="30">
        <v>7</v>
      </c>
      <c r="H17" s="42">
        <f>('Flow cytometer'!F17/'Flow cytometer'!G17)*POWER(10,'Flow cytometer'!E17+2)*10.2</f>
        <v>3671854285.7142854</v>
      </c>
      <c r="I17" s="30">
        <v>3</v>
      </c>
      <c r="J17" s="30">
        <v>24954</v>
      </c>
      <c r="K17" s="30">
        <v>7</v>
      </c>
      <c r="L17" s="42">
        <f>('Flow cytometer'!J17/'Flow cytometer'!K17)*POWER(10,'Flow cytometer'!I17+2)*10.2</f>
        <v>3636154285.7142854</v>
      </c>
      <c r="M17" s="30">
        <v>3</v>
      </c>
      <c r="N17" s="30">
        <v>25190</v>
      </c>
      <c r="O17" s="30">
        <v>7</v>
      </c>
      <c r="P17" s="42">
        <f>('Flow cytometer'!N17/'Flow cytometer'!O17)*POWER(10,'Flow cytometer'!M17+2)*10.2</f>
        <v>3670542857.1428571</v>
      </c>
      <c r="Q17" s="45">
        <f>AVERAGE(H17,L17,P17)*Calculation!I17/Calculation!K16</f>
        <v>3857847756.9929895</v>
      </c>
      <c r="R17" s="46">
        <f>STDEV(H17,L17,P17)*Calculation!I17/Calculation!K16</f>
        <v>21340561.182239126</v>
      </c>
      <c r="S17" s="47">
        <f t="shared" si="1"/>
        <v>9.5863450849972232</v>
      </c>
      <c r="T17" s="47">
        <f t="shared" si="2"/>
        <v>22.073375289011345</v>
      </c>
      <c r="U17" s="47">
        <f t="shared" si="3"/>
        <v>9.5648854382792408</v>
      </c>
      <c r="V17" s="47">
        <f t="shared" si="4"/>
        <v>9.5606423024962375</v>
      </c>
      <c r="W17" s="47">
        <f t="shared" si="5"/>
        <v>9.5647302992457739</v>
      </c>
      <c r="X17" s="47">
        <f xml:space="preserve"> STDEV(U17:W17)*Calculation!I17/Calculation!K16</f>
        <v>2.5366497075438505E-3</v>
      </c>
    </row>
    <row r="18" spans="1:24">
      <c r="A18" s="37">
        <v>14</v>
      </c>
      <c r="B18" s="53">
        <v>360</v>
      </c>
      <c r="C18" s="54">
        <f t="shared" si="6"/>
        <v>1800</v>
      </c>
      <c r="D18" s="64">
        <f t="shared" si="0"/>
        <v>30</v>
      </c>
      <c r="E18" s="30">
        <v>3</v>
      </c>
      <c r="F18" s="30">
        <v>21015</v>
      </c>
      <c r="G18" s="30">
        <v>7</v>
      </c>
      <c r="H18" s="42">
        <f>('Flow cytometer'!F18/'Flow cytometer'!G18)*POWER(10,'Flow cytometer'!E18+2)*10.2</f>
        <v>3062185714.2857141</v>
      </c>
      <c r="I18" s="30">
        <v>3</v>
      </c>
      <c r="J18" s="30">
        <v>21658</v>
      </c>
      <c r="K18" s="30">
        <v>7</v>
      </c>
      <c r="L18" s="42">
        <f>('Flow cytometer'!J18/'Flow cytometer'!K18)*POWER(10,'Flow cytometer'!I18+2)*10.2</f>
        <v>3155880000</v>
      </c>
      <c r="M18" s="30">
        <v>3</v>
      </c>
      <c r="N18" s="30">
        <v>21741</v>
      </c>
      <c r="O18" s="30">
        <v>7</v>
      </c>
      <c r="P18" s="42">
        <f>('Flow cytometer'!N18/'Flow cytometer'!O18)*POWER(10,'Flow cytometer'!M18+2)*10.2</f>
        <v>3167974285.7142854</v>
      </c>
      <c r="Q18" s="45">
        <f>AVERAGE(H18,L18,P18)*Calculation!I18/Calculation!K17</f>
        <v>3298241448.0302935</v>
      </c>
      <c r="R18" s="46">
        <f>STDEV(H18,L18,P18)*Calculation!I18/Calculation!K17</f>
        <v>61040446.906642817</v>
      </c>
      <c r="S18" s="47">
        <f t="shared" si="1"/>
        <v>9.5182824450346981</v>
      </c>
      <c r="T18" s="47">
        <f t="shared" si="2"/>
        <v>21.916655268843815</v>
      </c>
      <c r="U18" s="47">
        <f t="shared" si="3"/>
        <v>9.4860315260891159</v>
      </c>
      <c r="V18" s="47">
        <f t="shared" si="4"/>
        <v>9.4991204811252654</v>
      </c>
      <c r="W18" s="47">
        <f t="shared" si="5"/>
        <v>9.5007816477856011</v>
      </c>
      <c r="X18" s="47">
        <f xml:space="preserve"> STDEV(U18:W18)*Calculation!I18/Calculation!K17</f>
        <v>8.5171185584400969E-3</v>
      </c>
    </row>
    <row r="19" spans="1:24">
      <c r="A19" s="37">
        <v>15</v>
      </c>
      <c r="B19" s="53">
        <v>1080</v>
      </c>
      <c r="C19" s="54">
        <f>C18+B19</f>
        <v>2880</v>
      </c>
      <c r="D19" s="64">
        <f t="shared" si="0"/>
        <v>48</v>
      </c>
      <c r="E19" s="30">
        <v>3</v>
      </c>
      <c r="F19" s="30">
        <v>10837</v>
      </c>
      <c r="G19" s="30">
        <v>7</v>
      </c>
      <c r="H19" s="42">
        <f>('Flow cytometer'!F19/'Flow cytometer'!G19)*POWER(10,'Flow cytometer'!E19+2)*10.2</f>
        <v>1579105714.2857141</v>
      </c>
      <c r="I19" s="30">
        <v>3</v>
      </c>
      <c r="J19" s="30">
        <v>9916</v>
      </c>
      <c r="K19" s="30">
        <v>7</v>
      </c>
      <c r="L19" s="42">
        <f>('Flow cytometer'!J19/'Flow cytometer'!K19)*POWER(10,'Flow cytometer'!I19+2)*10.2</f>
        <v>1444902857.1428571</v>
      </c>
      <c r="M19" s="30">
        <v>3</v>
      </c>
      <c r="N19" s="30">
        <v>8932</v>
      </c>
      <c r="O19" s="30">
        <v>7</v>
      </c>
      <c r="P19" s="42">
        <f>('Flow cytometer'!N19/'Flow cytometer'!O19)*POWER(10,'Flow cytometer'!M19+2)*10.2</f>
        <v>1301520000</v>
      </c>
      <c r="Q19" s="45">
        <f>AVERAGE(H19,L19,P19)*Calculation!I19/Calculation!K18</f>
        <v>1519984745.3159137</v>
      </c>
      <c r="R19" s="46">
        <f>STDEV(H19,L19,P19)*Calculation!I19/Calculation!K18</f>
        <v>146341520.84172782</v>
      </c>
      <c r="S19" s="47">
        <f t="shared" si="1"/>
        <v>9.1818392293537414</v>
      </c>
      <c r="T19" s="47">
        <f t="shared" si="2"/>
        <v>21.141966135777864</v>
      </c>
      <c r="U19" s="47">
        <f>LOG(H19)</f>
        <v>9.1984112051154092</v>
      </c>
      <c r="V19" s="47">
        <f t="shared" si="4"/>
        <v>9.1598386498434436</v>
      </c>
      <c r="W19" s="47">
        <f t="shared" si="5"/>
        <v>9.1144508461470615</v>
      </c>
      <c r="X19" s="47">
        <f xml:space="preserve"> STDEV(U19:W19)*Calculation!I19/Calculation!K18</f>
        <v>4.4303903220824177E-2</v>
      </c>
    </row>
    <row r="60" spans="17:19">
      <c r="Q60" t="s">
        <v>131</v>
      </c>
    </row>
    <row r="61" spans="17:19" ht="16">
      <c r="Q61" t="s">
        <v>132</v>
      </c>
      <c r="R61">
        <v>0.53339999999999999</v>
      </c>
      <c r="S61" t="s">
        <v>133</v>
      </c>
    </row>
    <row r="62" spans="17:19">
      <c r="Q62" t="s">
        <v>134</v>
      </c>
    </row>
    <row r="63" spans="17:19" ht="16">
      <c r="Q63" t="s">
        <v>135</v>
      </c>
      <c r="R63">
        <v>14.782999999999999</v>
      </c>
    </row>
    <row r="65" spans="17:21" ht="16">
      <c r="Q65" t="s">
        <v>136</v>
      </c>
      <c r="R65">
        <v>0.99528000000000005</v>
      </c>
    </row>
    <row r="68" spans="17:21">
      <c r="Q68" t="s">
        <v>137</v>
      </c>
      <c r="R68">
        <f>LN(2)/R61</f>
        <v>1.299488527483962</v>
      </c>
      <c r="S68" t="s">
        <v>138</v>
      </c>
    </row>
    <row r="71" spans="17:21">
      <c r="Q71" s="61"/>
      <c r="R71" s="61" t="s">
        <v>139</v>
      </c>
      <c r="S71" s="61"/>
      <c r="T71" s="61" t="s">
        <v>140</v>
      </c>
      <c r="U71" s="61"/>
    </row>
    <row r="72" spans="17:21">
      <c r="Q72" s="61"/>
      <c r="R72" s="61"/>
      <c r="S72" s="61"/>
      <c r="T72" s="61"/>
      <c r="U72" s="61"/>
    </row>
    <row r="73" spans="17:21" ht="16">
      <c r="Q73">
        <v>0.53339999999999999</v>
      </c>
      <c r="R73" s="62">
        <f>AVERAGE(Q73:Q74)</f>
        <v>0.53339999999999999</v>
      </c>
      <c r="S73" s="61" t="s">
        <v>141</v>
      </c>
      <c r="T73" s="62" t="e">
        <f>STDEV(Q73:Q74)</f>
        <v>#DIV/0!</v>
      </c>
      <c r="U73" s="61" t="s">
        <v>141</v>
      </c>
    </row>
    <row r="74" spans="17:21">
      <c r="Q74" s="61"/>
      <c r="R74" s="61"/>
      <c r="S74" s="61"/>
      <c r="T74" s="61"/>
      <c r="U74" s="61"/>
    </row>
    <row r="75" spans="17:21">
      <c r="Q75" s="61"/>
      <c r="R75" s="61"/>
      <c r="S75" s="61"/>
      <c r="T75" s="61"/>
      <c r="U75" s="61"/>
    </row>
    <row r="76" spans="17:21">
      <c r="R76" t="s">
        <v>142</v>
      </c>
    </row>
    <row r="78" spans="17:21">
      <c r="R78">
        <f>LN(2)/R73</f>
        <v>1.299488527483962</v>
      </c>
      <c r="S78" t="s">
        <v>138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27" sqref="J27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89" t="s">
        <v>4</v>
      </c>
      <c r="B1" s="89" t="s">
        <v>103</v>
      </c>
      <c r="C1" s="89" t="s">
        <v>103</v>
      </c>
      <c r="D1" s="89" t="s">
        <v>5</v>
      </c>
      <c r="E1" s="89" t="s">
        <v>19</v>
      </c>
      <c r="F1" s="89" t="s">
        <v>24</v>
      </c>
      <c r="G1" s="91" t="s">
        <v>25</v>
      </c>
      <c r="H1" s="92" t="s">
        <v>26</v>
      </c>
      <c r="I1" s="4" t="s">
        <v>27</v>
      </c>
      <c r="J1" s="55" t="s">
        <v>27</v>
      </c>
    </row>
    <row r="2" spans="1:10">
      <c r="A2" s="90"/>
      <c r="B2" s="90"/>
      <c r="C2" s="90"/>
      <c r="D2" s="90"/>
      <c r="E2" s="90"/>
      <c r="F2" s="90"/>
      <c r="G2" s="91"/>
      <c r="H2" s="92"/>
      <c r="I2" s="5" t="s">
        <v>28</v>
      </c>
      <c r="J2" s="56" t="s">
        <v>23</v>
      </c>
    </row>
    <row r="3" spans="1:10">
      <c r="A3" s="51" t="s">
        <v>6</v>
      </c>
      <c r="B3" s="52">
        <v>-10</v>
      </c>
      <c r="C3" s="52">
        <v>-10</v>
      </c>
      <c r="D3" s="64">
        <f>C3/60</f>
        <v>-0.16666666666666666</v>
      </c>
      <c r="E3" s="37">
        <v>1</v>
      </c>
      <c r="F3" s="48">
        <v>8.5999999999999993E-2</v>
      </c>
      <c r="G3" s="48">
        <v>8.5999999999999993E-2</v>
      </c>
      <c r="H3" s="48">
        <v>8.5999999999999993E-2</v>
      </c>
      <c r="I3" s="49">
        <f>E3*(AVERAGE(F3:H3)*1.6007-0.0118)</f>
        <v>0.12586020000000001</v>
      </c>
      <c r="J3" s="57">
        <f>E3*(STDEV(F3:H3)*1.6007)</f>
        <v>2.7206696834821082E-17</v>
      </c>
    </row>
    <row r="4" spans="1:10">
      <c r="A4" s="53">
        <v>0</v>
      </c>
      <c r="B4" s="54">
        <v>10</v>
      </c>
      <c r="C4" s="54">
        <v>10</v>
      </c>
      <c r="D4" s="64">
        <f t="shared" ref="D4:D19" si="0">C4/60</f>
        <v>0.16666666666666666</v>
      </c>
      <c r="E4" s="37">
        <v>1</v>
      </c>
      <c r="F4" s="48">
        <v>0.2</v>
      </c>
      <c r="G4" s="48">
        <v>0.2</v>
      </c>
      <c r="H4" s="48">
        <v>0.2</v>
      </c>
      <c r="I4" s="49">
        <f>E4*(AVERAGE(F4:H4)*1.6007-0.0118)</f>
        <v>0.30834000000000011</v>
      </c>
      <c r="J4" s="57">
        <f t="shared" ref="J4:J19" si="1">E4*(STDEV(F4:H4)*1.6007)</f>
        <v>5.4413393669642165E-17</v>
      </c>
    </row>
    <row r="5" spans="1:10">
      <c r="A5" s="53">
        <v>1</v>
      </c>
      <c r="B5" s="54">
        <v>110</v>
      </c>
      <c r="C5" s="54">
        <v>120</v>
      </c>
      <c r="D5" s="64">
        <f t="shared" si="0"/>
        <v>2</v>
      </c>
      <c r="E5" s="37">
        <v>1</v>
      </c>
      <c r="F5" s="48">
        <v>0.33500000000000002</v>
      </c>
      <c r="G5" s="48">
        <v>0.33500000000000002</v>
      </c>
      <c r="H5" s="48">
        <v>0.33500000000000002</v>
      </c>
      <c r="I5" s="49">
        <f t="shared" ref="I5:I19" si="2">E5*(AVERAGE(F5:H5)*1.6007-0.0118)</f>
        <v>0.52443450000000003</v>
      </c>
      <c r="J5" s="57">
        <f t="shared" si="1"/>
        <v>0</v>
      </c>
    </row>
    <row r="6" spans="1:10">
      <c r="A6" s="53">
        <v>2</v>
      </c>
      <c r="B6" s="54">
        <v>80</v>
      </c>
      <c r="C6" s="54">
        <v>200</v>
      </c>
      <c r="D6" s="64">
        <f t="shared" si="0"/>
        <v>3.3333333333333335</v>
      </c>
      <c r="E6" s="37">
        <v>10</v>
      </c>
      <c r="F6" s="48">
        <v>6.4000000000000001E-2</v>
      </c>
      <c r="G6" s="48">
        <v>6.5000000000000002E-2</v>
      </c>
      <c r="H6" s="48">
        <v>6.5000000000000002E-2</v>
      </c>
      <c r="I6" s="49">
        <f t="shared" si="2"/>
        <v>0.91711933333333329</v>
      </c>
      <c r="J6" s="57">
        <f t="shared" si="1"/>
        <v>9.241645758918348E-3</v>
      </c>
    </row>
    <row r="7" spans="1:10">
      <c r="A7" s="53">
        <v>3</v>
      </c>
      <c r="B7" s="54">
        <v>80</v>
      </c>
      <c r="C7" s="54">
        <v>280</v>
      </c>
      <c r="D7" s="64">
        <f t="shared" si="0"/>
        <v>4.666666666666667</v>
      </c>
      <c r="E7" s="37">
        <v>10</v>
      </c>
      <c r="F7" s="48">
        <v>0.111</v>
      </c>
      <c r="G7" s="48">
        <v>0.108</v>
      </c>
      <c r="H7" s="48">
        <v>0.112</v>
      </c>
      <c r="I7" s="49">
        <f t="shared" si="2"/>
        <v>1.6481056666666665</v>
      </c>
      <c r="J7" s="57">
        <f t="shared" si="1"/>
        <v>3.3321227653454417E-2</v>
      </c>
    </row>
    <row r="8" spans="1:10">
      <c r="A8" s="53">
        <v>4</v>
      </c>
      <c r="B8" s="54">
        <v>80</v>
      </c>
      <c r="C8" s="54">
        <v>360</v>
      </c>
      <c r="D8" s="64">
        <f t="shared" si="0"/>
        <v>6</v>
      </c>
      <c r="E8" s="37">
        <v>10</v>
      </c>
      <c r="F8" s="48">
        <v>0.20399999999999999</v>
      </c>
      <c r="G8" s="48">
        <v>0.12</v>
      </c>
      <c r="H8" s="48">
        <v>0.20699999999999999</v>
      </c>
      <c r="I8" s="49">
        <f t="shared" si="2"/>
        <v>2.715239</v>
      </c>
      <c r="J8" s="57">
        <f t="shared" si="1"/>
        <v>0.79052543002170572</v>
      </c>
    </row>
    <row r="9" spans="1:10">
      <c r="A9" s="53">
        <v>5</v>
      </c>
      <c r="B9" s="54">
        <v>80</v>
      </c>
      <c r="C9" s="54">
        <v>440</v>
      </c>
      <c r="D9" s="64">
        <f t="shared" si="0"/>
        <v>7.333333333333333</v>
      </c>
      <c r="E9" s="37">
        <v>20</v>
      </c>
      <c r="F9" s="48">
        <v>0.14399999999999999</v>
      </c>
      <c r="G9" s="48">
        <v>0.151</v>
      </c>
      <c r="H9" s="48">
        <v>0.14699999999999999</v>
      </c>
      <c r="I9" s="49">
        <f t="shared" si="2"/>
        <v>4.4807293333333327</v>
      </c>
      <c r="J9" s="57">
        <f t="shared" si="1"/>
        <v>0.11242947308127596</v>
      </c>
    </row>
    <row r="10" spans="1:10">
      <c r="A10" s="53">
        <v>6</v>
      </c>
      <c r="B10" s="54">
        <v>180</v>
      </c>
      <c r="C10" s="54">
        <v>620</v>
      </c>
      <c r="D10" s="64">
        <f t="shared" si="0"/>
        <v>10.333333333333334</v>
      </c>
      <c r="E10" s="37">
        <v>20</v>
      </c>
      <c r="F10" s="48">
        <v>0.217</v>
      </c>
      <c r="G10" s="48">
        <v>0.22500000000000001</v>
      </c>
      <c r="H10" s="48">
        <v>0.23</v>
      </c>
      <c r="I10" s="49">
        <f t="shared" si="2"/>
        <v>6.9351360000000009</v>
      </c>
      <c r="J10" s="57">
        <f t="shared" si="1"/>
        <v>0.20992983691700443</v>
      </c>
    </row>
    <row r="11" spans="1:10">
      <c r="A11" s="53">
        <v>7</v>
      </c>
      <c r="B11" s="54">
        <v>80</v>
      </c>
      <c r="C11" s="54">
        <v>700</v>
      </c>
      <c r="D11" s="64">
        <f t="shared" si="0"/>
        <v>11.666666666666666</v>
      </c>
      <c r="E11" s="37">
        <v>20</v>
      </c>
      <c r="F11" s="48">
        <v>0.24199999999999999</v>
      </c>
      <c r="G11" s="48">
        <v>0.24299999999999999</v>
      </c>
      <c r="H11" s="48">
        <v>0.23799999999999999</v>
      </c>
      <c r="I11" s="49">
        <f t="shared" si="2"/>
        <v>7.479374</v>
      </c>
      <c r="J11" s="57">
        <f t="shared" si="1"/>
        <v>8.4701082472421876E-2</v>
      </c>
    </row>
    <row r="12" spans="1:10">
      <c r="A12" s="53">
        <v>8</v>
      </c>
      <c r="B12" s="54">
        <v>80</v>
      </c>
      <c r="C12" s="54">
        <v>780</v>
      </c>
      <c r="D12" s="64">
        <f t="shared" si="0"/>
        <v>13</v>
      </c>
      <c r="E12" s="37">
        <v>20</v>
      </c>
      <c r="F12" s="48">
        <v>0.27</v>
      </c>
      <c r="G12" s="48">
        <v>0.27500000000000002</v>
      </c>
      <c r="H12" s="48">
        <v>0.23400000000000001</v>
      </c>
      <c r="I12" s="49">
        <f t="shared" si="2"/>
        <v>8.0769686666666676</v>
      </c>
      <c r="J12" s="57">
        <f t="shared" si="1"/>
        <v>0.71609338082776153</v>
      </c>
    </row>
    <row r="13" spans="1:10">
      <c r="A13" s="53">
        <v>9</v>
      </c>
      <c r="B13" s="54">
        <v>80</v>
      </c>
      <c r="C13" s="54">
        <v>860</v>
      </c>
      <c r="D13" s="64">
        <f t="shared" si="0"/>
        <v>14.333333333333334</v>
      </c>
      <c r="E13" s="37">
        <v>20</v>
      </c>
      <c r="F13" s="48">
        <v>0.184</v>
      </c>
      <c r="G13" s="48">
        <v>0.21299999999999999</v>
      </c>
      <c r="H13" s="48">
        <v>0.192</v>
      </c>
      <c r="I13" s="49">
        <f t="shared" si="2"/>
        <v>6.0494153333333331</v>
      </c>
      <c r="J13" s="57">
        <f t="shared" si="1"/>
        <v>0.47949805001619483</v>
      </c>
    </row>
    <row r="14" spans="1:10">
      <c r="A14" s="53">
        <v>10</v>
      </c>
      <c r="B14" s="54">
        <v>80</v>
      </c>
      <c r="C14" s="54">
        <v>940</v>
      </c>
      <c r="D14" s="64">
        <f t="shared" si="0"/>
        <v>15.666666666666666</v>
      </c>
      <c r="E14" s="37">
        <v>20</v>
      </c>
      <c r="F14" s="48">
        <v>0.151</v>
      </c>
      <c r="G14" s="48">
        <v>0.17</v>
      </c>
      <c r="H14" s="48">
        <v>0.157</v>
      </c>
      <c r="I14" s="49">
        <f t="shared" si="2"/>
        <v>4.8648973333333325</v>
      </c>
      <c r="J14" s="57">
        <f t="shared" si="1"/>
        <v>0.31093709088710131</v>
      </c>
    </row>
    <row r="15" spans="1:10">
      <c r="A15" s="53">
        <v>11</v>
      </c>
      <c r="B15" s="54">
        <v>80</v>
      </c>
      <c r="C15" s="54">
        <v>1020</v>
      </c>
      <c r="D15" s="64">
        <f t="shared" si="0"/>
        <v>17</v>
      </c>
      <c r="E15" s="37">
        <v>20</v>
      </c>
      <c r="F15" s="48">
        <v>0.128</v>
      </c>
      <c r="G15" s="48">
        <v>0.13100000000000001</v>
      </c>
      <c r="H15" s="48">
        <v>0.121</v>
      </c>
      <c r="I15" s="49">
        <f t="shared" si="2"/>
        <v>3.8191066666666669</v>
      </c>
      <c r="J15" s="57">
        <f t="shared" si="1"/>
        <v>0.16428308848245268</v>
      </c>
    </row>
    <row r="16" spans="1:10">
      <c r="A16" s="53">
        <v>12</v>
      </c>
      <c r="B16" s="54">
        <v>80</v>
      </c>
      <c r="C16" s="54">
        <v>1100</v>
      </c>
      <c r="D16" s="64">
        <f t="shared" si="0"/>
        <v>18.333333333333332</v>
      </c>
      <c r="E16" s="37">
        <v>20</v>
      </c>
      <c r="F16" s="48">
        <v>0.129</v>
      </c>
      <c r="G16" s="48">
        <v>0.114</v>
      </c>
      <c r="H16" s="48">
        <v>0.12</v>
      </c>
      <c r="I16" s="49">
        <f t="shared" si="2"/>
        <v>3.6376939999999998</v>
      </c>
      <c r="J16" s="57">
        <f t="shared" si="1"/>
        <v>0.24170039961075779</v>
      </c>
    </row>
    <row r="17" spans="1:10">
      <c r="A17" s="53">
        <v>13</v>
      </c>
      <c r="B17" s="54">
        <v>340</v>
      </c>
      <c r="C17" s="54">
        <v>1440</v>
      </c>
      <c r="D17" s="64">
        <f t="shared" si="0"/>
        <v>24</v>
      </c>
      <c r="E17" s="37">
        <v>20</v>
      </c>
      <c r="F17" s="48">
        <v>7.2999999999999995E-2</v>
      </c>
      <c r="G17" s="48">
        <v>7.4999999999999997E-2</v>
      </c>
      <c r="H17" s="48">
        <v>7.0999999999999994E-2</v>
      </c>
      <c r="I17" s="49">
        <f t="shared" si="2"/>
        <v>2.1010219999999999</v>
      </c>
      <c r="J17" s="57">
        <f t="shared" si="1"/>
        <v>6.4028000000000057E-2</v>
      </c>
    </row>
    <row r="18" spans="1:10">
      <c r="A18" s="53">
        <v>14</v>
      </c>
      <c r="B18" s="54">
        <v>360</v>
      </c>
      <c r="C18" s="54">
        <v>1800</v>
      </c>
      <c r="D18" s="64">
        <f t="shared" si="0"/>
        <v>30</v>
      </c>
      <c r="E18" s="37">
        <v>20</v>
      </c>
      <c r="F18" s="48">
        <v>5.8999999999999997E-2</v>
      </c>
      <c r="G18" s="48">
        <v>6.3E-2</v>
      </c>
      <c r="H18" s="48">
        <v>6.3E-2</v>
      </c>
      <c r="I18" s="49">
        <f t="shared" si="2"/>
        <v>1.7381966666666666</v>
      </c>
      <c r="J18" s="57">
        <f t="shared" si="1"/>
        <v>7.3933166071346784E-2</v>
      </c>
    </row>
    <row r="19" spans="1:10">
      <c r="A19" s="53">
        <v>15</v>
      </c>
      <c r="B19" s="54">
        <v>1080</v>
      </c>
      <c r="C19" s="54">
        <v>2880</v>
      </c>
      <c r="D19" s="64">
        <f t="shared" si="0"/>
        <v>48</v>
      </c>
      <c r="E19" s="37">
        <v>10</v>
      </c>
      <c r="F19" s="48">
        <v>0.13800000000000001</v>
      </c>
      <c r="G19" s="48">
        <v>0.13700000000000001</v>
      </c>
      <c r="H19" s="48">
        <v>0.14599999999999999</v>
      </c>
      <c r="I19" s="49">
        <f t="shared" si="2"/>
        <v>2.1283156666666665</v>
      </c>
      <c r="J19" s="57">
        <f t="shared" si="1"/>
        <v>7.8960655977095978E-2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3" sqref="D3: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89" t="s">
        <v>4</v>
      </c>
      <c r="B1" s="89" t="s">
        <v>103</v>
      </c>
      <c r="C1" s="89" t="s">
        <v>103</v>
      </c>
      <c r="D1" s="89" t="s">
        <v>5</v>
      </c>
      <c r="E1" s="4" t="s">
        <v>29</v>
      </c>
      <c r="F1" s="4" t="s">
        <v>2</v>
      </c>
      <c r="G1" s="4" t="s">
        <v>32</v>
      </c>
    </row>
    <row r="2" spans="1:7">
      <c r="A2" s="90"/>
      <c r="B2" s="90"/>
      <c r="C2" s="90"/>
      <c r="D2" s="90"/>
      <c r="E2" s="5" t="s">
        <v>30</v>
      </c>
      <c r="F2" s="5" t="s">
        <v>31</v>
      </c>
      <c r="G2" s="5" t="s">
        <v>33</v>
      </c>
    </row>
    <row r="3" spans="1:7">
      <c r="A3" s="51" t="s">
        <v>6</v>
      </c>
      <c r="B3" s="52">
        <v>-10</v>
      </c>
      <c r="C3" s="52">
        <v>-10</v>
      </c>
      <c r="D3" s="64">
        <f>C3/60</f>
        <v>-0.16666666666666666</v>
      </c>
      <c r="E3" s="1"/>
      <c r="F3" s="1"/>
      <c r="G3" s="1" t="e">
        <f>(F3-$C$21)/E3*1000*Calculation!I4/Calculation!K3</f>
        <v>#DIV/0!</v>
      </c>
    </row>
    <row r="4" spans="1:7">
      <c r="A4" s="53">
        <v>0</v>
      </c>
      <c r="B4" s="54">
        <v>10</v>
      </c>
      <c r="C4" s="54">
        <v>10</v>
      </c>
      <c r="D4" s="64">
        <f t="shared" ref="D4:D19" si="0">C4/60</f>
        <v>0.16666666666666666</v>
      </c>
      <c r="E4" s="1"/>
      <c r="F4" s="1"/>
      <c r="G4" s="1" t="e">
        <f>(F4-$C$21)/E4*1000*Calculation!I5/Calculation!K4</f>
        <v>#DIV/0!</v>
      </c>
    </row>
    <row r="5" spans="1:7">
      <c r="A5" s="53">
        <v>1</v>
      </c>
      <c r="B5" s="54">
        <v>110</v>
      </c>
      <c r="C5" s="54">
        <v>120</v>
      </c>
      <c r="D5" s="64">
        <f t="shared" si="0"/>
        <v>2</v>
      </c>
      <c r="E5" s="1"/>
      <c r="F5" s="1"/>
      <c r="G5" s="1" t="e">
        <f>(F5-$C$21)/E5*1000*Calculation!I6/Calculation!K5</f>
        <v>#DIV/0!</v>
      </c>
    </row>
    <row r="6" spans="1:7">
      <c r="A6" s="53">
        <v>2</v>
      </c>
      <c r="B6" s="54">
        <v>80</v>
      </c>
      <c r="C6" s="54">
        <v>200</v>
      </c>
      <c r="D6" s="64">
        <f t="shared" si="0"/>
        <v>3.3333333333333335</v>
      </c>
      <c r="E6" s="1"/>
      <c r="F6" s="1"/>
      <c r="G6" s="1" t="e">
        <f>(F6-$C$21)/E6*1000*Calculation!I7/Calculation!K6</f>
        <v>#DIV/0!</v>
      </c>
    </row>
    <row r="7" spans="1:7">
      <c r="A7" s="53">
        <v>3</v>
      </c>
      <c r="B7" s="54">
        <v>80</v>
      </c>
      <c r="C7" s="54">
        <v>280</v>
      </c>
      <c r="D7" s="64">
        <f t="shared" si="0"/>
        <v>4.666666666666667</v>
      </c>
      <c r="E7" s="1"/>
      <c r="F7" s="1"/>
      <c r="G7" s="1" t="e">
        <f>(F7-$C$21)/E7*1000*Calculation!I8/Calculation!K7</f>
        <v>#DIV/0!</v>
      </c>
    </row>
    <row r="8" spans="1:7">
      <c r="A8" s="53">
        <v>4</v>
      </c>
      <c r="B8" s="54">
        <v>80</v>
      </c>
      <c r="C8" s="54">
        <v>360</v>
      </c>
      <c r="D8" s="64">
        <f t="shared" si="0"/>
        <v>6</v>
      </c>
      <c r="E8" s="1"/>
      <c r="F8" s="1"/>
      <c r="G8" s="1" t="e">
        <f>(F8-$C$21)/E8*1000*Calculation!I9/Calculation!K8</f>
        <v>#DIV/0!</v>
      </c>
    </row>
    <row r="9" spans="1:7">
      <c r="A9" s="53">
        <v>5</v>
      </c>
      <c r="B9" s="54">
        <v>80</v>
      </c>
      <c r="C9" s="54">
        <v>440</v>
      </c>
      <c r="D9" s="64">
        <f t="shared" si="0"/>
        <v>7.333333333333333</v>
      </c>
      <c r="E9" s="1"/>
      <c r="F9" s="1"/>
      <c r="G9" s="1" t="e">
        <f>(F9-$C$21)/E9*1000*Calculation!I10/Calculation!K9</f>
        <v>#DIV/0!</v>
      </c>
    </row>
    <row r="10" spans="1:7">
      <c r="A10" s="53">
        <v>6</v>
      </c>
      <c r="B10" s="54">
        <v>180</v>
      </c>
      <c r="C10" s="54">
        <v>620</v>
      </c>
      <c r="D10" s="64">
        <f t="shared" si="0"/>
        <v>10.333333333333334</v>
      </c>
      <c r="E10" s="1"/>
      <c r="F10" s="1"/>
      <c r="G10" s="1" t="e">
        <f>(F10-$C$21)/E10*1000*Calculation!I11/Calculation!K10</f>
        <v>#DIV/0!</v>
      </c>
    </row>
    <row r="11" spans="1:7">
      <c r="A11" s="53">
        <v>7</v>
      </c>
      <c r="B11" s="54">
        <v>80</v>
      </c>
      <c r="C11" s="54">
        <v>700</v>
      </c>
      <c r="D11" s="64">
        <f t="shared" si="0"/>
        <v>11.666666666666666</v>
      </c>
      <c r="E11" s="1"/>
      <c r="F11" s="1"/>
      <c r="G11" s="1" t="e">
        <f>(F11-$C$21)/E11*1000*Calculation!I12/Calculation!K11</f>
        <v>#DIV/0!</v>
      </c>
    </row>
    <row r="12" spans="1:7">
      <c r="A12" s="53">
        <v>8</v>
      </c>
      <c r="B12" s="54">
        <v>80</v>
      </c>
      <c r="C12" s="54">
        <v>780</v>
      </c>
      <c r="D12" s="64">
        <f t="shared" si="0"/>
        <v>13</v>
      </c>
      <c r="E12" s="1"/>
      <c r="F12" s="1"/>
      <c r="G12" s="1" t="e">
        <f>(F12-$C$21)/E12*1000*Calculation!I13/Calculation!K12</f>
        <v>#DIV/0!</v>
      </c>
    </row>
    <row r="13" spans="1:7">
      <c r="A13" s="53">
        <v>9</v>
      </c>
      <c r="B13" s="54">
        <v>80</v>
      </c>
      <c r="C13" s="54">
        <v>860</v>
      </c>
      <c r="D13" s="64">
        <f t="shared" si="0"/>
        <v>14.333333333333334</v>
      </c>
      <c r="E13" s="34"/>
      <c r="F13" s="34"/>
      <c r="G13" s="34" t="e">
        <f>(F13-$C$21)/E13*1000*Calculation!I14/Calculation!K13</f>
        <v>#DIV/0!</v>
      </c>
    </row>
    <row r="14" spans="1:7">
      <c r="A14" s="53">
        <v>10</v>
      </c>
      <c r="B14" s="54">
        <v>80</v>
      </c>
      <c r="C14" s="54">
        <v>940</v>
      </c>
      <c r="D14" s="64">
        <f t="shared" si="0"/>
        <v>15.666666666666666</v>
      </c>
      <c r="E14" s="34"/>
      <c r="F14" s="34"/>
      <c r="G14" s="34" t="e">
        <f>(F14-$C$21)/E14*1000*Calculation!I15/Calculation!K14</f>
        <v>#DIV/0!</v>
      </c>
    </row>
    <row r="15" spans="1:7">
      <c r="A15" s="53">
        <v>11</v>
      </c>
      <c r="B15" s="54">
        <v>80</v>
      </c>
      <c r="C15" s="54">
        <v>1020</v>
      </c>
      <c r="D15" s="64">
        <f t="shared" si="0"/>
        <v>17</v>
      </c>
      <c r="E15" s="34"/>
      <c r="F15" s="34"/>
      <c r="G15" s="34" t="e">
        <f>(F15-$C$21)/E15*1000*Calculation!I16/Calculation!K15</f>
        <v>#DIV/0!</v>
      </c>
    </row>
    <row r="16" spans="1:7">
      <c r="A16" s="53">
        <v>12</v>
      </c>
      <c r="B16" s="54">
        <v>80</v>
      </c>
      <c r="C16" s="54">
        <v>1100</v>
      </c>
      <c r="D16" s="64">
        <f t="shared" si="0"/>
        <v>18.333333333333332</v>
      </c>
      <c r="E16" s="34"/>
      <c r="F16" s="34"/>
      <c r="G16" s="34" t="e">
        <f>(F16-$C$21)/E16*1000*Calculation!I17/Calculation!K16</f>
        <v>#DIV/0!</v>
      </c>
    </row>
    <row r="17" spans="1:7" ht="15" customHeight="1">
      <c r="A17" s="53">
        <v>13</v>
      </c>
      <c r="B17" s="54">
        <v>340</v>
      </c>
      <c r="C17" s="54">
        <v>1440</v>
      </c>
      <c r="D17" s="64">
        <f t="shared" si="0"/>
        <v>24</v>
      </c>
      <c r="E17" s="34"/>
      <c r="F17" s="34"/>
      <c r="G17" s="34" t="e">
        <f>(F17-$C$21)/E17*1000*Calculation!I18/Calculation!K17</f>
        <v>#DIV/0!</v>
      </c>
    </row>
    <row r="18" spans="1:7">
      <c r="A18" s="53">
        <v>14</v>
      </c>
      <c r="B18" s="54">
        <v>360</v>
      </c>
      <c r="C18" s="54">
        <v>1800</v>
      </c>
      <c r="D18" s="64">
        <f t="shared" si="0"/>
        <v>30</v>
      </c>
      <c r="E18" s="34"/>
      <c r="F18" s="34"/>
      <c r="G18" s="34" t="e">
        <f>(F18-$C$21)/E18*1000*Calculation!I19/Calculation!K18</f>
        <v>#DIV/0!</v>
      </c>
    </row>
    <row r="19" spans="1:7">
      <c r="A19" s="53">
        <v>15</v>
      </c>
      <c r="B19" s="54">
        <v>1080</v>
      </c>
      <c r="C19" s="54">
        <v>2880</v>
      </c>
      <c r="D19" s="64">
        <f t="shared" si="0"/>
        <v>48</v>
      </c>
      <c r="E19" s="37"/>
      <c r="F19" s="37"/>
      <c r="G19" s="37" t="e">
        <f>(F19-$C$21)/E19*1000*Calculation!I20/Calculation!K19</f>
        <v>#DIV/0!</v>
      </c>
    </row>
    <row r="20" spans="1:7">
      <c r="A20" s="63"/>
      <c r="B20" s="54"/>
      <c r="C20" s="54"/>
      <c r="D20" s="65"/>
    </row>
    <row r="21" spans="1:7">
      <c r="A21" s="100" t="s">
        <v>3</v>
      </c>
      <c r="B21" s="101"/>
      <c r="C21" s="1"/>
    </row>
  </sheetData>
  <mergeCells count="5">
    <mergeCell ref="A21:B21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202"/>
  <sheetViews>
    <sheetView topLeftCell="A76" workbookViewId="0">
      <selection activeCell="C5" sqref="C5:C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3" t="s">
        <v>49</v>
      </c>
      <c r="B1" s="11">
        <v>70</v>
      </c>
      <c r="C1" s="26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91" t="s">
        <v>5</v>
      </c>
      <c r="B3" s="91" t="s">
        <v>36</v>
      </c>
      <c r="C3" s="91"/>
      <c r="D3" s="91" t="s">
        <v>51</v>
      </c>
      <c r="E3" s="91"/>
      <c r="F3" s="91"/>
      <c r="G3" s="23" t="s">
        <v>52</v>
      </c>
    </row>
    <row r="4" spans="1:10">
      <c r="A4" s="91"/>
      <c r="B4" s="23" t="s">
        <v>53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</row>
    <row r="5" spans="1:10">
      <c r="A5" s="11">
        <v>0</v>
      </c>
      <c r="B5" s="11">
        <v>0</v>
      </c>
      <c r="C5" s="11">
        <f>B5/1000</f>
        <v>0</v>
      </c>
      <c r="D5" s="11">
        <f>C5/1000*$B$1</f>
        <v>0</v>
      </c>
      <c r="E5" s="11">
        <f>D5/22.4</f>
        <v>0</v>
      </c>
      <c r="F5" s="11">
        <f>E5/Calculation!K$4*1000</f>
        <v>0</v>
      </c>
      <c r="G5" s="11">
        <f>(0+F5)/2*30</f>
        <v>0</v>
      </c>
      <c r="I5" s="113">
        <v>-0.16666666666666666</v>
      </c>
      <c r="J5" t="s">
        <v>170</v>
      </c>
    </row>
    <row r="6" spans="1:10">
      <c r="A6" s="11">
        <v>0.5</v>
      </c>
      <c r="B6" s="11">
        <v>4863.22</v>
      </c>
      <c r="C6" s="11">
        <f t="shared" ref="C6:C69" si="0">B6/1000</f>
        <v>4.8632200000000001</v>
      </c>
      <c r="D6" s="11">
        <f>C6/1000*$B$1</f>
        <v>0.34042539999999999</v>
      </c>
      <c r="E6" s="11">
        <f>D6/22.4</f>
        <v>1.5197562500000001E-2</v>
      </c>
      <c r="F6" s="11">
        <f>E6/Calculation!K$4*1000</f>
        <v>1.0324431046195653E-2</v>
      </c>
      <c r="G6" s="11">
        <f>G5+(F6+F5)/2*30</f>
        <v>0.1548664656929348</v>
      </c>
      <c r="I6" s="113">
        <v>0.16666666666666666</v>
      </c>
      <c r="J6" t="s">
        <v>171</v>
      </c>
    </row>
    <row r="7" spans="1:10">
      <c r="A7" s="11">
        <v>1</v>
      </c>
      <c r="B7" s="11">
        <v>14779.16</v>
      </c>
      <c r="C7" s="11">
        <f t="shared" si="0"/>
        <v>14.779159999999999</v>
      </c>
      <c r="D7" s="11">
        <f t="shared" ref="D7:D69" si="1">C7/1000*$B$1</f>
        <v>1.0345412</v>
      </c>
      <c r="E7" s="11">
        <f t="shared" ref="E7:E69" si="2">D7/22.4</f>
        <v>4.6184875000000007E-2</v>
      </c>
      <c r="F7" s="11">
        <f>E7/Calculation!K$4*1000</f>
        <v>3.1375594429347828E-2</v>
      </c>
      <c r="G7" s="11">
        <f t="shared" ref="G7:G70" si="3">G6+(F7+F6)/2*30</f>
        <v>0.78036684782608701</v>
      </c>
      <c r="I7" s="113">
        <v>2</v>
      </c>
      <c r="J7" t="s">
        <v>172</v>
      </c>
    </row>
    <row r="8" spans="1:10">
      <c r="A8" s="11">
        <v>1.5</v>
      </c>
      <c r="B8" s="11">
        <v>14846.83</v>
      </c>
      <c r="C8" s="11">
        <f t="shared" si="0"/>
        <v>14.846830000000001</v>
      </c>
      <c r="D8" s="11">
        <f t="shared" si="1"/>
        <v>1.0392781</v>
      </c>
      <c r="E8" s="11">
        <f t="shared" si="2"/>
        <v>4.6396343749999999E-2</v>
      </c>
      <c r="F8" s="11">
        <f>E8/Calculation!K$4*1000</f>
        <v>3.1519255264945652E-2</v>
      </c>
      <c r="G8" s="11">
        <f t="shared" si="3"/>
        <v>1.7237895932404892</v>
      </c>
      <c r="I8" s="113">
        <v>3.3333333333333335</v>
      </c>
      <c r="J8" t="s">
        <v>173</v>
      </c>
    </row>
    <row r="9" spans="1:10">
      <c r="A9" s="11">
        <v>2</v>
      </c>
      <c r="B9" s="11">
        <v>18889.82</v>
      </c>
      <c r="C9" s="11">
        <f t="shared" si="0"/>
        <v>18.88982</v>
      </c>
      <c r="D9" s="11">
        <f t="shared" si="1"/>
        <v>1.3222874</v>
      </c>
      <c r="E9" s="11">
        <f t="shared" si="2"/>
        <v>5.9030687500000005E-2</v>
      </c>
      <c r="F9" s="11">
        <f>E9/Calculation!K$5*1000</f>
        <v>4.1453185873140737E-2</v>
      </c>
      <c r="G9" s="11">
        <f t="shared" si="3"/>
        <v>2.8183762103117851</v>
      </c>
      <c r="I9" s="113">
        <v>4.666666666666667</v>
      </c>
      <c r="J9" t="s">
        <v>174</v>
      </c>
    </row>
    <row r="10" spans="1:10">
      <c r="A10" s="11">
        <v>2.5</v>
      </c>
      <c r="B10" s="11">
        <v>21816.14</v>
      </c>
      <c r="C10" s="11">
        <f t="shared" si="0"/>
        <v>21.816140000000001</v>
      </c>
      <c r="D10" s="11">
        <f t="shared" si="1"/>
        <v>1.5271298</v>
      </c>
      <c r="E10" s="11">
        <f t="shared" si="2"/>
        <v>6.8175437500000005E-2</v>
      </c>
      <c r="F10" s="11">
        <f>E10/Calculation!K$5*1000</f>
        <v>4.7874913919479407E-2</v>
      </c>
      <c r="G10" s="11">
        <f t="shared" si="3"/>
        <v>4.1582977072010872</v>
      </c>
      <c r="I10" s="113">
        <v>6</v>
      </c>
      <c r="J10" t="s">
        <v>175</v>
      </c>
    </row>
    <row r="11" spans="1:10">
      <c r="A11" s="11">
        <v>3</v>
      </c>
      <c r="B11" s="11">
        <v>36282.629999999997</v>
      </c>
      <c r="C11" s="11">
        <f t="shared" si="0"/>
        <v>36.282629999999997</v>
      </c>
      <c r="D11" s="11">
        <f t="shared" si="1"/>
        <v>2.5397840999999999</v>
      </c>
      <c r="E11" s="11">
        <f t="shared" si="2"/>
        <v>0.11338321875</v>
      </c>
      <c r="F11" s="11">
        <f>E11/Calculation!K$5*1000</f>
        <v>7.962122483731407E-2</v>
      </c>
      <c r="G11" s="11">
        <f t="shared" si="3"/>
        <v>6.0707397885529897</v>
      </c>
      <c r="I11" s="113">
        <v>7.333333333333333</v>
      </c>
      <c r="J11" t="s">
        <v>176</v>
      </c>
    </row>
    <row r="12" spans="1:10">
      <c r="A12" s="11">
        <v>3.5</v>
      </c>
      <c r="B12" s="11">
        <v>53397.97</v>
      </c>
      <c r="C12" s="11">
        <f t="shared" si="0"/>
        <v>53.397970000000001</v>
      </c>
      <c r="D12" s="11">
        <f t="shared" si="1"/>
        <v>3.7378579000000003</v>
      </c>
      <c r="E12" s="11">
        <f t="shared" si="2"/>
        <v>0.16686865625000002</v>
      </c>
      <c r="F12" s="11">
        <f>E12/Calculation!K$6*1000</f>
        <v>0.1212591579666685</v>
      </c>
      <c r="G12" s="11">
        <f t="shared" si="3"/>
        <v>9.0839455306127288</v>
      </c>
      <c r="I12" s="113">
        <v>10.333333333333334</v>
      </c>
      <c r="J12" t="s">
        <v>177</v>
      </c>
    </row>
    <row r="13" spans="1:10">
      <c r="A13" s="11">
        <v>4</v>
      </c>
      <c r="B13" s="11">
        <v>62752.2</v>
      </c>
      <c r="C13" s="11">
        <f t="shared" si="0"/>
        <v>62.752199999999995</v>
      </c>
      <c r="D13" s="11">
        <f t="shared" si="1"/>
        <v>4.3926539999999994</v>
      </c>
      <c r="E13" s="11">
        <f t="shared" si="2"/>
        <v>0.19610062499999997</v>
      </c>
      <c r="F13" s="11">
        <f>E13/Calculation!K$6*1000</f>
        <v>0.14250127734361384</v>
      </c>
      <c r="G13" s="11">
        <f t="shared" si="3"/>
        <v>13.040352060266965</v>
      </c>
      <c r="I13" s="113">
        <v>11.666666666666666</v>
      </c>
      <c r="J13" t="s">
        <v>178</v>
      </c>
    </row>
    <row r="14" spans="1:10">
      <c r="A14" s="11">
        <v>4.5</v>
      </c>
      <c r="B14" s="11">
        <v>82705.88</v>
      </c>
      <c r="C14" s="11">
        <f t="shared" si="0"/>
        <v>82.705880000000008</v>
      </c>
      <c r="D14" s="11">
        <f t="shared" si="1"/>
        <v>5.7894116000000011</v>
      </c>
      <c r="E14" s="11">
        <f t="shared" si="2"/>
        <v>0.25845587500000006</v>
      </c>
      <c r="F14" s="11">
        <f>E14/Calculation!K$6*1000</f>
        <v>0.18781323274447193</v>
      </c>
      <c r="G14" s="11">
        <f t="shared" si="3"/>
        <v>17.995069711588251</v>
      </c>
      <c r="I14" s="113">
        <v>13</v>
      </c>
      <c r="J14" t="s">
        <v>179</v>
      </c>
    </row>
    <row r="15" spans="1:10">
      <c r="A15" s="11">
        <v>5</v>
      </c>
      <c r="B15" s="11">
        <v>108908.8</v>
      </c>
      <c r="C15" s="11">
        <f t="shared" si="0"/>
        <v>108.9088</v>
      </c>
      <c r="D15" s="11">
        <f t="shared" si="1"/>
        <v>7.6236160000000002</v>
      </c>
      <c r="E15" s="11">
        <f t="shared" si="2"/>
        <v>0.34034000000000003</v>
      </c>
      <c r="F15" s="11">
        <f>E15/Calculation!K$7*1000</f>
        <v>0.25526445183616603</v>
      </c>
      <c r="G15" s="11">
        <f t="shared" si="3"/>
        <v>24.641234980297821</v>
      </c>
      <c r="I15" s="113">
        <v>14.333333333333334</v>
      </c>
      <c r="J15" t="s">
        <v>180</v>
      </c>
    </row>
    <row r="16" spans="1:10">
      <c r="A16" s="11">
        <v>5.5</v>
      </c>
      <c r="B16" s="11">
        <v>130615.31</v>
      </c>
      <c r="C16" s="11">
        <f t="shared" si="0"/>
        <v>130.61530999999999</v>
      </c>
      <c r="D16" s="11">
        <f t="shared" si="1"/>
        <v>9.1430716999999984</v>
      </c>
      <c r="E16" s="11">
        <f t="shared" si="2"/>
        <v>0.40817284374999996</v>
      </c>
      <c r="F16" s="11">
        <f>E16/Calculation!K$7*1000</f>
        <v>0.30614096848519939</v>
      </c>
      <c r="G16" s="11">
        <f t="shared" si="3"/>
        <v>33.0623162851183</v>
      </c>
      <c r="I16" s="113">
        <v>15.666666666666666</v>
      </c>
      <c r="J16" t="s">
        <v>181</v>
      </c>
    </row>
    <row r="17" spans="1:10">
      <c r="A17" s="11">
        <v>6</v>
      </c>
      <c r="B17" s="11">
        <v>137234.04999999999</v>
      </c>
      <c r="C17" s="11">
        <f t="shared" si="0"/>
        <v>137.23405</v>
      </c>
      <c r="D17" s="11">
        <f t="shared" si="1"/>
        <v>9.6063834999999997</v>
      </c>
      <c r="E17" s="11">
        <f t="shared" si="2"/>
        <v>0.42885640624999999</v>
      </c>
      <c r="F17" s="11">
        <f>E17/Calculation!K$8*1000</f>
        <v>0.33307095388365648</v>
      </c>
      <c r="G17" s="11">
        <f t="shared" si="3"/>
        <v>42.650495120651136</v>
      </c>
      <c r="I17" s="113">
        <v>17</v>
      </c>
      <c r="J17" t="s">
        <v>182</v>
      </c>
    </row>
    <row r="18" spans="1:10">
      <c r="A18" s="11">
        <v>6.5</v>
      </c>
      <c r="B18" s="11">
        <v>137487.16</v>
      </c>
      <c r="C18" s="11">
        <f t="shared" si="0"/>
        <v>137.48716000000002</v>
      </c>
      <c r="D18" s="11">
        <f t="shared" si="1"/>
        <v>9.6241012000000019</v>
      </c>
      <c r="E18" s="11">
        <f t="shared" si="2"/>
        <v>0.42964737500000011</v>
      </c>
      <c r="F18" s="11">
        <f>E18/Calculation!K$8*1000</f>
        <v>0.33368525907349467</v>
      </c>
      <c r="G18" s="11">
        <f t="shared" si="3"/>
        <v>52.651838315008405</v>
      </c>
      <c r="I18" s="113">
        <v>18.333333333333332</v>
      </c>
      <c r="J18" t="s">
        <v>183</v>
      </c>
    </row>
    <row r="19" spans="1:10">
      <c r="A19" s="11">
        <v>7</v>
      </c>
      <c r="B19" s="11">
        <v>148843.25</v>
      </c>
      <c r="C19" s="11">
        <f t="shared" si="0"/>
        <v>148.84325000000001</v>
      </c>
      <c r="D19" s="11">
        <f t="shared" si="1"/>
        <v>10.4190275</v>
      </c>
      <c r="E19" s="11">
        <f t="shared" si="2"/>
        <v>0.46513515625000007</v>
      </c>
      <c r="F19" s="11">
        <f>E19/Calculation!K$8*1000</f>
        <v>0.3612468134303663</v>
      </c>
      <c r="G19" s="11">
        <f t="shared" si="3"/>
        <v>63.075819402566324</v>
      </c>
      <c r="I19" s="113">
        <v>24</v>
      </c>
      <c r="J19" t="s">
        <v>184</v>
      </c>
    </row>
    <row r="20" spans="1:10">
      <c r="A20" s="11">
        <v>7.5</v>
      </c>
      <c r="B20" s="11">
        <v>167117.21</v>
      </c>
      <c r="C20" s="11">
        <f t="shared" si="0"/>
        <v>167.11721</v>
      </c>
      <c r="D20" s="11">
        <f t="shared" si="1"/>
        <v>11.6982047</v>
      </c>
      <c r="E20" s="11">
        <f t="shared" si="2"/>
        <v>0.52224128125000002</v>
      </c>
      <c r="F20" s="11">
        <f>E20/Calculation!K$9*1000</f>
        <v>0.42113591741699807</v>
      </c>
      <c r="G20" s="11">
        <f t="shared" si="3"/>
        <v>74.81156036527679</v>
      </c>
      <c r="I20" s="113">
        <v>30</v>
      </c>
      <c r="J20" t="s">
        <v>185</v>
      </c>
    </row>
    <row r="21" spans="1:10">
      <c r="A21" s="11">
        <v>8</v>
      </c>
      <c r="B21" s="11">
        <v>171134.48</v>
      </c>
      <c r="C21" s="11">
        <f t="shared" si="0"/>
        <v>171.13448</v>
      </c>
      <c r="D21" s="11">
        <f t="shared" si="1"/>
        <v>11.979413600000001</v>
      </c>
      <c r="E21" s="11">
        <f t="shared" si="2"/>
        <v>0.53479525000000006</v>
      </c>
      <c r="F21" s="11">
        <f>E21/Calculation!K$9*1000</f>
        <v>0.43125945099538765</v>
      </c>
      <c r="G21" s="11">
        <f t="shared" si="3"/>
        <v>87.59749089146257</v>
      </c>
      <c r="I21" s="113">
        <v>48</v>
      </c>
      <c r="J21" t="s">
        <v>186</v>
      </c>
    </row>
    <row r="22" spans="1:10">
      <c r="A22" s="11">
        <v>8.5</v>
      </c>
      <c r="B22" s="11">
        <v>178997.11</v>
      </c>
      <c r="C22" s="11">
        <f t="shared" si="0"/>
        <v>178.99710999999999</v>
      </c>
      <c r="D22" s="11">
        <f t="shared" si="1"/>
        <v>12.5297977</v>
      </c>
      <c r="E22" s="11">
        <f t="shared" si="2"/>
        <v>0.55936596875</v>
      </c>
      <c r="F22" s="11">
        <f>E22/Calculation!K$9*1000</f>
        <v>0.45107330438822735</v>
      </c>
      <c r="G22" s="11">
        <f t="shared" si="3"/>
        <v>100.8324822222168</v>
      </c>
    </row>
    <row r="23" spans="1:10">
      <c r="A23" s="11">
        <v>9</v>
      </c>
      <c r="B23" s="11">
        <v>184194.66</v>
      </c>
      <c r="C23" s="11">
        <f t="shared" si="0"/>
        <v>184.19466</v>
      </c>
      <c r="D23" s="11">
        <f t="shared" si="1"/>
        <v>12.8936262</v>
      </c>
      <c r="E23" s="11">
        <f t="shared" si="2"/>
        <v>0.5756083125</v>
      </c>
      <c r="F23" s="11">
        <f>E23/Calculation!K$9*1000</f>
        <v>0.46417114743844773</v>
      </c>
      <c r="G23" s="11">
        <f t="shared" si="3"/>
        <v>114.56114899961692</v>
      </c>
    </row>
    <row r="24" spans="1:10">
      <c r="A24" s="11">
        <v>9.5</v>
      </c>
      <c r="B24" s="11">
        <v>183718.21</v>
      </c>
      <c r="C24" s="11">
        <f t="shared" si="0"/>
        <v>183.71821</v>
      </c>
      <c r="D24" s="11">
        <f t="shared" si="1"/>
        <v>12.8602747</v>
      </c>
      <c r="E24" s="11">
        <f t="shared" si="2"/>
        <v>0.57411940625000002</v>
      </c>
      <c r="F24" s="11">
        <f>E24/Calculation!K$9*1000</f>
        <v>0.46297049187548489</v>
      </c>
      <c r="G24" s="11">
        <f t="shared" si="3"/>
        <v>128.46827358932592</v>
      </c>
    </row>
    <row r="25" spans="1:10">
      <c r="A25" s="11">
        <v>10</v>
      </c>
      <c r="B25" s="11">
        <v>187345.67</v>
      </c>
      <c r="C25" s="11">
        <f t="shared" si="0"/>
        <v>187.34567000000001</v>
      </c>
      <c r="D25" s="11">
        <f t="shared" si="1"/>
        <v>13.114196900000001</v>
      </c>
      <c r="E25" s="11">
        <f t="shared" si="2"/>
        <v>0.58545521875000006</v>
      </c>
      <c r="F25" s="11">
        <f>E25/Calculation!K$9*1000</f>
        <v>0.4721117029751285</v>
      </c>
      <c r="G25" s="11">
        <f t="shared" si="3"/>
        <v>142.49450651208511</v>
      </c>
    </row>
    <row r="26" spans="1:10">
      <c r="A26" s="11">
        <v>10.5</v>
      </c>
      <c r="B26" s="11">
        <v>195852.58</v>
      </c>
      <c r="C26" s="11">
        <f t="shared" si="0"/>
        <v>195.85257999999999</v>
      </c>
      <c r="D26" s="11">
        <f t="shared" si="1"/>
        <v>13.7096806</v>
      </c>
      <c r="E26" s="11">
        <f t="shared" si="2"/>
        <v>0.6120393125000001</v>
      </c>
      <c r="F26" s="11">
        <f>E26/Calculation!K$10*1000</f>
        <v>0.511291106777226</v>
      </c>
      <c r="G26" s="11">
        <f t="shared" si="3"/>
        <v>157.24554865837044</v>
      </c>
    </row>
    <row r="27" spans="1:10">
      <c r="A27" s="11">
        <v>11</v>
      </c>
      <c r="B27" s="11">
        <v>202296.72</v>
      </c>
      <c r="C27" s="11">
        <f t="shared" si="0"/>
        <v>202.29671999999999</v>
      </c>
      <c r="D27" s="11">
        <f t="shared" si="1"/>
        <v>14.160770399999999</v>
      </c>
      <c r="E27" s="11">
        <f t="shared" si="2"/>
        <v>0.63217725000000002</v>
      </c>
      <c r="F27" s="11">
        <f>E27/Calculation!K$10*1000</f>
        <v>0.52811412474731045</v>
      </c>
      <c r="G27" s="11">
        <f t="shared" si="3"/>
        <v>172.83662713123849</v>
      </c>
    </row>
    <row r="28" spans="1:10">
      <c r="A28" s="11">
        <v>11.5</v>
      </c>
      <c r="B28" s="11">
        <v>208189.97</v>
      </c>
      <c r="C28" s="11">
        <f t="shared" si="0"/>
        <v>208.18996999999999</v>
      </c>
      <c r="D28" s="11">
        <f t="shared" si="1"/>
        <v>14.5732979</v>
      </c>
      <c r="E28" s="11">
        <f t="shared" si="2"/>
        <v>0.6505936562500001</v>
      </c>
      <c r="F28" s="11">
        <f>E28/Calculation!K$10*1000</f>
        <v>0.54349899389233214</v>
      </c>
      <c r="G28" s="11">
        <f t="shared" si="3"/>
        <v>188.91082391083313</v>
      </c>
    </row>
    <row r="29" spans="1:10">
      <c r="A29" s="11">
        <v>12</v>
      </c>
      <c r="B29" s="11">
        <v>208988.55</v>
      </c>
      <c r="C29" s="11">
        <f t="shared" si="0"/>
        <v>208.98854999999998</v>
      </c>
      <c r="D29" s="11">
        <f t="shared" si="1"/>
        <v>14.629198499999998</v>
      </c>
      <c r="E29" s="11">
        <f t="shared" si="2"/>
        <v>0.65308921874999992</v>
      </c>
      <c r="F29" s="11">
        <f>E29/Calculation!K$11*1000</f>
        <v>0.56389194003024601</v>
      </c>
      <c r="G29" s="11">
        <f t="shared" si="3"/>
        <v>205.52168791967179</v>
      </c>
    </row>
    <row r="30" spans="1:10">
      <c r="A30" s="11">
        <v>12.5</v>
      </c>
      <c r="B30" s="11">
        <v>203449.92</v>
      </c>
      <c r="C30" s="11">
        <f t="shared" si="0"/>
        <v>203.44992000000002</v>
      </c>
      <c r="D30" s="11">
        <f t="shared" si="1"/>
        <v>14.241494400000001</v>
      </c>
      <c r="E30" s="11">
        <f t="shared" si="2"/>
        <v>0.63578100000000004</v>
      </c>
      <c r="F30" s="11">
        <f>E30/Calculation!K$11*1000</f>
        <v>0.54894763415411207</v>
      </c>
      <c r="G30" s="11">
        <f t="shared" si="3"/>
        <v>222.21428153243716</v>
      </c>
    </row>
    <row r="31" spans="1:10">
      <c r="A31" s="11">
        <v>13</v>
      </c>
      <c r="B31" s="11">
        <v>214806.01</v>
      </c>
      <c r="C31" s="11">
        <f t="shared" si="0"/>
        <v>214.80601000000001</v>
      </c>
      <c r="D31" s="11">
        <f t="shared" si="1"/>
        <v>15.036420700000001</v>
      </c>
      <c r="E31" s="11">
        <f t="shared" si="2"/>
        <v>0.67126878125000011</v>
      </c>
      <c r="F31" s="11">
        <f>E31/Calculation!K$12*1000</f>
        <v>0.5980436418977747</v>
      </c>
      <c r="G31" s="11">
        <f t="shared" si="3"/>
        <v>239.41915067321546</v>
      </c>
    </row>
    <row r="32" spans="1:10">
      <c r="A32" s="11">
        <v>13.5</v>
      </c>
      <c r="B32" s="11">
        <v>197583.74</v>
      </c>
      <c r="C32" s="11">
        <f t="shared" si="0"/>
        <v>197.58373999999998</v>
      </c>
      <c r="D32" s="11">
        <f t="shared" si="1"/>
        <v>13.830861799999999</v>
      </c>
      <c r="E32" s="11">
        <f t="shared" si="2"/>
        <v>0.6174491875</v>
      </c>
      <c r="F32" s="11">
        <f>E32/Calculation!K$12*1000</f>
        <v>0.55009494124202107</v>
      </c>
      <c r="G32" s="11">
        <f t="shared" si="3"/>
        <v>256.64122942031241</v>
      </c>
    </row>
    <row r="33" spans="1:7">
      <c r="A33" s="11">
        <v>14</v>
      </c>
      <c r="B33" s="11">
        <v>187869.48</v>
      </c>
      <c r="C33" s="11">
        <f t="shared" si="0"/>
        <v>187.86948000000001</v>
      </c>
      <c r="D33" s="11">
        <f t="shared" si="1"/>
        <v>13.150863600000001</v>
      </c>
      <c r="E33" s="11">
        <f t="shared" si="2"/>
        <v>0.58709212500000008</v>
      </c>
      <c r="F33" s="11">
        <f>E33/Calculation!K$12*1000</f>
        <v>0.52304936915238609</v>
      </c>
      <c r="G33" s="11">
        <f t="shared" si="3"/>
        <v>272.73839407622853</v>
      </c>
    </row>
    <row r="34" spans="1:7">
      <c r="A34" s="11">
        <v>14.5</v>
      </c>
      <c r="B34" s="11">
        <v>91698.71</v>
      </c>
      <c r="C34" s="11">
        <f t="shared" si="0"/>
        <v>91.698710000000005</v>
      </c>
      <c r="D34" s="11">
        <f t="shared" si="1"/>
        <v>6.4189097000000004</v>
      </c>
      <c r="E34" s="11">
        <f t="shared" si="2"/>
        <v>0.28655846875000002</v>
      </c>
      <c r="F34" s="11">
        <f>E34/Calculation!K$13*1000</f>
        <v>0.26599368721666378</v>
      </c>
      <c r="G34" s="11">
        <f t="shared" si="3"/>
        <v>284.57403992176427</v>
      </c>
    </row>
    <row r="35" spans="1:7">
      <c r="A35" s="11">
        <v>15</v>
      </c>
      <c r="B35" s="11">
        <v>28000.400000000001</v>
      </c>
      <c r="C35" s="11">
        <f t="shared" si="0"/>
        <v>28.000400000000003</v>
      </c>
      <c r="D35" s="11">
        <f t="shared" si="1"/>
        <v>1.9600280000000001</v>
      </c>
      <c r="E35" s="11">
        <f t="shared" si="2"/>
        <v>8.7501250000000017E-2</v>
      </c>
      <c r="F35" s="11">
        <f>E35/Calculation!K$13*1000</f>
        <v>8.1221749352215253E-2</v>
      </c>
      <c r="G35" s="11">
        <f t="shared" si="3"/>
        <v>289.78227147029747</v>
      </c>
    </row>
    <row r="36" spans="1:7">
      <c r="A36" s="11">
        <v>15.5</v>
      </c>
      <c r="B36" s="11">
        <v>6805.53</v>
      </c>
      <c r="C36" s="11">
        <f t="shared" si="0"/>
        <v>6.8055300000000001</v>
      </c>
      <c r="D36" s="11">
        <f t="shared" si="1"/>
        <v>0.47638710000000001</v>
      </c>
      <c r="E36" s="11">
        <f t="shared" si="2"/>
        <v>2.1267281250000002E-2</v>
      </c>
      <c r="F36" s="11">
        <f>E36/Calculation!K$13*1000</f>
        <v>1.9741041266159817E-2</v>
      </c>
      <c r="G36" s="11">
        <f t="shared" si="3"/>
        <v>291.29671332957309</v>
      </c>
    </row>
    <row r="37" spans="1:7">
      <c r="A37" s="11">
        <v>16</v>
      </c>
      <c r="B37" s="11">
        <v>2472.89</v>
      </c>
      <c r="C37" s="11">
        <f t="shared" si="0"/>
        <v>2.47289</v>
      </c>
      <c r="D37" s="11">
        <f t="shared" si="1"/>
        <v>0.17310230000000001</v>
      </c>
      <c r="E37" s="11">
        <f t="shared" si="2"/>
        <v>7.7277812500000011E-3</v>
      </c>
      <c r="F37" s="11">
        <f>E37/Calculation!K$14*1000</f>
        <v>7.4715302168696469E-3</v>
      </c>
      <c r="G37" s="11">
        <f t="shared" si="3"/>
        <v>291.70490190181852</v>
      </c>
    </row>
    <row r="38" spans="1:7">
      <c r="A38" s="11">
        <v>16.5</v>
      </c>
      <c r="B38" s="11">
        <v>1257.43</v>
      </c>
      <c r="C38" s="11">
        <f t="shared" si="0"/>
        <v>1.25743</v>
      </c>
      <c r="D38" s="11">
        <f t="shared" si="1"/>
        <v>8.8020100000000004E-2</v>
      </c>
      <c r="E38" s="11">
        <f t="shared" si="2"/>
        <v>3.9294687500000007E-3</v>
      </c>
      <c r="F38" s="11">
        <f>E38/Calculation!K$14*1000</f>
        <v>3.7991686814206858E-3</v>
      </c>
      <c r="G38" s="11">
        <f t="shared" si="3"/>
        <v>291.87396238529288</v>
      </c>
    </row>
    <row r="39" spans="1:7">
      <c r="A39" s="11">
        <v>17</v>
      </c>
      <c r="B39" s="11">
        <v>925.81</v>
      </c>
      <c r="C39" s="11">
        <f t="shared" si="0"/>
        <v>0.92580999999999991</v>
      </c>
      <c r="D39" s="11">
        <f t="shared" si="1"/>
        <v>6.4806699999999995E-2</v>
      </c>
      <c r="E39" s="11">
        <f t="shared" si="2"/>
        <v>2.8931562499999999E-3</v>
      </c>
      <c r="F39" s="11">
        <f>E39/Calculation!K$15*1000</f>
        <v>2.9098597417575064E-3</v>
      </c>
      <c r="G39" s="11">
        <f t="shared" si="3"/>
        <v>291.97459781164054</v>
      </c>
    </row>
    <row r="40" spans="1:7">
      <c r="A40" s="11">
        <v>17.5</v>
      </c>
      <c r="B40" s="11">
        <v>1177.57</v>
      </c>
      <c r="C40" s="11">
        <f t="shared" si="0"/>
        <v>1.17757</v>
      </c>
      <c r="D40" s="11">
        <f t="shared" si="1"/>
        <v>8.24299E-2</v>
      </c>
      <c r="E40" s="11">
        <f t="shared" si="2"/>
        <v>3.6799062500000005E-3</v>
      </c>
      <c r="F40" s="11">
        <f>E40/Calculation!K$15*1000</f>
        <v>3.7011520032203017E-3</v>
      </c>
      <c r="G40" s="11">
        <f t="shared" si="3"/>
        <v>292.0737629878152</v>
      </c>
    </row>
    <row r="41" spans="1:7">
      <c r="A41" s="11">
        <v>18</v>
      </c>
      <c r="B41" s="11">
        <v>845.95</v>
      </c>
      <c r="C41" s="11">
        <f t="shared" si="0"/>
        <v>0.84595000000000009</v>
      </c>
      <c r="D41" s="11">
        <f t="shared" si="1"/>
        <v>5.9216500000000005E-2</v>
      </c>
      <c r="E41" s="11">
        <f t="shared" si="2"/>
        <v>2.6435937500000005E-3</v>
      </c>
      <c r="F41" s="11">
        <f>E41/Calculation!K$15*1000</f>
        <v>2.6588564052448809E-3</v>
      </c>
      <c r="G41" s="11">
        <f t="shared" si="3"/>
        <v>292.1691631139422</v>
      </c>
    </row>
    <row r="42" spans="1:7">
      <c r="A42" s="11">
        <v>18.5</v>
      </c>
      <c r="B42" s="11">
        <v>780.98</v>
      </c>
      <c r="C42" s="11">
        <f t="shared" si="0"/>
        <v>0.78098000000000001</v>
      </c>
      <c r="D42" s="11">
        <f t="shared" si="1"/>
        <v>5.4668600000000005E-2</v>
      </c>
      <c r="E42" s="11">
        <f t="shared" si="2"/>
        <v>2.4405625000000005E-3</v>
      </c>
      <c r="F42" s="11">
        <f>E42/Calculation!K$16*1000</f>
        <v>2.5728308404849441E-3</v>
      </c>
      <c r="G42" s="11">
        <f t="shared" si="3"/>
        <v>292.24763842262814</v>
      </c>
    </row>
    <row r="43" spans="1:7">
      <c r="A43" s="11">
        <v>19</v>
      </c>
      <c r="B43" s="11">
        <v>770.16</v>
      </c>
      <c r="C43" s="11">
        <f t="shared" si="0"/>
        <v>0.77015999999999996</v>
      </c>
      <c r="D43" s="11">
        <f t="shared" si="1"/>
        <v>5.3911199999999999E-2</v>
      </c>
      <c r="E43" s="11">
        <f t="shared" si="2"/>
        <v>2.40675E-3</v>
      </c>
      <c r="F43" s="11">
        <f>E43/Calculation!K$16*1000</f>
        <v>2.5371858435656279E-3</v>
      </c>
      <c r="G43" s="11">
        <f t="shared" si="3"/>
        <v>292.32428867288888</v>
      </c>
    </row>
    <row r="44" spans="1:7">
      <c r="A44" s="11">
        <v>19.5</v>
      </c>
      <c r="B44" s="11">
        <v>929.87</v>
      </c>
      <c r="C44" s="11">
        <f t="shared" si="0"/>
        <v>0.92986999999999997</v>
      </c>
      <c r="D44" s="11">
        <f t="shared" si="1"/>
        <v>6.5090899999999993E-2</v>
      </c>
      <c r="E44" s="11">
        <f t="shared" si="2"/>
        <v>2.90584375E-3</v>
      </c>
      <c r="F44" s="11">
        <f>E44/Calculation!K$16*1000</f>
        <v>3.0633283997563761E-3</v>
      </c>
      <c r="G44" s="11">
        <f t="shared" si="3"/>
        <v>292.40829638653872</v>
      </c>
    </row>
    <row r="45" spans="1:7">
      <c r="A45" s="11">
        <v>20</v>
      </c>
      <c r="B45" s="11">
        <v>793.17</v>
      </c>
      <c r="C45" s="11">
        <f t="shared" si="0"/>
        <v>0.79316999999999993</v>
      </c>
      <c r="D45" s="11">
        <f t="shared" si="1"/>
        <v>5.5521899999999999E-2</v>
      </c>
      <c r="E45" s="11">
        <f t="shared" si="2"/>
        <v>2.47865625E-3</v>
      </c>
      <c r="F45" s="11">
        <f>E45/Calculation!K$16*1000</f>
        <v>2.6129891133543017E-3</v>
      </c>
      <c r="G45" s="11">
        <f t="shared" si="3"/>
        <v>292.49344114923537</v>
      </c>
    </row>
    <row r="46" spans="1:7">
      <c r="A46" s="11">
        <v>20.5</v>
      </c>
      <c r="B46" s="11">
        <v>760.68</v>
      </c>
      <c r="C46" s="11">
        <f t="shared" si="0"/>
        <v>0.76067999999999991</v>
      </c>
      <c r="D46" s="11">
        <f t="shared" si="1"/>
        <v>5.3247599999999992E-2</v>
      </c>
      <c r="E46" s="11">
        <f t="shared" si="2"/>
        <v>2.3771249999999999E-3</v>
      </c>
      <c r="F46" s="11">
        <f>E46/Calculation!K$16*1000</f>
        <v>2.5059552917361351E-3</v>
      </c>
      <c r="G46" s="11">
        <f t="shared" si="3"/>
        <v>292.57022531531175</v>
      </c>
    </row>
    <row r="47" spans="1:7">
      <c r="A47" s="11">
        <v>21</v>
      </c>
      <c r="B47" s="11">
        <v>683.53</v>
      </c>
      <c r="C47" s="11">
        <f t="shared" si="0"/>
        <v>0.68352999999999997</v>
      </c>
      <c r="D47" s="11">
        <f t="shared" si="1"/>
        <v>4.7847100000000004E-2</v>
      </c>
      <c r="E47" s="11">
        <f t="shared" si="2"/>
        <v>2.1360312500000003E-3</v>
      </c>
      <c r="F47" s="11">
        <f>E47/Calculation!K$16*1000</f>
        <v>2.2517952628705903E-3</v>
      </c>
      <c r="G47" s="11">
        <f t="shared" si="3"/>
        <v>292.64159157363082</v>
      </c>
    </row>
    <row r="48" spans="1:7">
      <c r="A48" s="11">
        <v>21.5</v>
      </c>
      <c r="B48" s="11">
        <v>657.81</v>
      </c>
      <c r="C48" s="11">
        <f t="shared" si="0"/>
        <v>0.65780999999999989</v>
      </c>
      <c r="D48" s="11">
        <f t="shared" si="1"/>
        <v>4.6046699999999989E-2</v>
      </c>
      <c r="E48" s="11">
        <f t="shared" si="2"/>
        <v>2.0556562499999998E-3</v>
      </c>
      <c r="F48" s="11">
        <f>E48/Calculation!K$16*1000</f>
        <v>2.1670642720420506E-3</v>
      </c>
      <c r="G48" s="11">
        <f t="shared" si="3"/>
        <v>292.70787446665452</v>
      </c>
    </row>
    <row r="49" spans="1:7">
      <c r="A49" s="11">
        <v>22</v>
      </c>
      <c r="B49" s="11">
        <v>706.54</v>
      </c>
      <c r="C49" s="11">
        <f t="shared" si="0"/>
        <v>0.70653999999999995</v>
      </c>
      <c r="D49" s="11">
        <f t="shared" si="1"/>
        <v>4.9457799999999996E-2</v>
      </c>
      <c r="E49" s="11">
        <f t="shared" si="2"/>
        <v>2.2079374999999998E-3</v>
      </c>
      <c r="F49" s="11">
        <f>E49/Calculation!K$16*1000</f>
        <v>2.3275985326592637E-3</v>
      </c>
      <c r="G49" s="11">
        <f t="shared" si="3"/>
        <v>292.77529440872502</v>
      </c>
    </row>
    <row r="50" spans="1:7">
      <c r="A50" s="11">
        <v>22.5</v>
      </c>
      <c r="B50" s="11">
        <v>648.34</v>
      </c>
      <c r="C50" s="11">
        <f t="shared" si="0"/>
        <v>0.64834000000000003</v>
      </c>
      <c r="D50" s="11">
        <f t="shared" si="1"/>
        <v>4.5383800000000002E-2</v>
      </c>
      <c r="E50" s="11">
        <f t="shared" si="2"/>
        <v>2.0260625000000001E-3</v>
      </c>
      <c r="F50" s="11">
        <f>E50/Calculation!K$16*1000</f>
        <v>2.1358666638326314E-3</v>
      </c>
      <c r="G50" s="11">
        <f t="shared" si="3"/>
        <v>292.8422463866724</v>
      </c>
    </row>
    <row r="51" spans="1:7">
      <c r="A51" s="11">
        <v>23</v>
      </c>
      <c r="B51" s="11">
        <v>628.04</v>
      </c>
      <c r="C51" s="11">
        <f t="shared" si="0"/>
        <v>0.62803999999999993</v>
      </c>
      <c r="D51" s="11">
        <f t="shared" si="1"/>
        <v>4.3962799999999996E-2</v>
      </c>
      <c r="E51" s="11">
        <f t="shared" si="2"/>
        <v>1.962625E-3</v>
      </c>
      <c r="F51" s="11">
        <f>E51/Calculation!K$16*1000</f>
        <v>2.0689911150838227E-3</v>
      </c>
      <c r="G51" s="11">
        <f t="shared" si="3"/>
        <v>292.90531925335614</v>
      </c>
    </row>
    <row r="52" spans="1:7">
      <c r="A52" s="11">
        <v>23.5</v>
      </c>
      <c r="B52" s="11">
        <v>652.4</v>
      </c>
      <c r="C52" s="11">
        <f t="shared" si="0"/>
        <v>0.65239999999999998</v>
      </c>
      <c r="D52" s="11">
        <f t="shared" si="1"/>
        <v>4.5668E-2</v>
      </c>
      <c r="E52" s="11">
        <f t="shared" si="2"/>
        <v>2.0387500000000002E-3</v>
      </c>
      <c r="F52" s="11">
        <f>E52/Calculation!K$16*1000</f>
        <v>2.1492417735823931E-3</v>
      </c>
      <c r="G52" s="11">
        <f t="shared" si="3"/>
        <v>292.96859274668611</v>
      </c>
    </row>
    <row r="53" spans="1:7">
      <c r="A53" s="11">
        <v>24</v>
      </c>
      <c r="B53" s="11">
        <v>638.86</v>
      </c>
      <c r="C53" s="11">
        <f t="shared" si="0"/>
        <v>0.63885999999999998</v>
      </c>
      <c r="D53" s="11">
        <f t="shared" si="1"/>
        <v>4.4720200000000002E-2</v>
      </c>
      <c r="E53" s="11">
        <f t="shared" si="2"/>
        <v>1.9964375000000004E-3</v>
      </c>
      <c r="F53" s="11">
        <f>E53/Calculation!K$17*1000</f>
        <v>2.2318516564190233E-3</v>
      </c>
      <c r="G53" s="11">
        <f t="shared" si="3"/>
        <v>293.03430914813612</v>
      </c>
    </row>
    <row r="54" spans="1:7">
      <c r="A54" s="11">
        <v>24.5</v>
      </c>
      <c r="B54" s="11">
        <v>617.21</v>
      </c>
      <c r="C54" s="11">
        <f t="shared" si="0"/>
        <v>0.61721000000000004</v>
      </c>
      <c r="D54" s="11">
        <f t="shared" si="1"/>
        <v>4.3204700000000006E-2</v>
      </c>
      <c r="E54" s="11">
        <f t="shared" si="2"/>
        <v>1.9287812500000004E-3</v>
      </c>
      <c r="F54" s="11">
        <f>E54/Calculation!K$17*1000</f>
        <v>2.1562175763991881E-3</v>
      </c>
      <c r="G54" s="11">
        <f t="shared" si="3"/>
        <v>293.10013018662841</v>
      </c>
    </row>
    <row r="55" spans="1:7">
      <c r="A55" s="11">
        <v>25</v>
      </c>
      <c r="B55" s="11">
        <v>588.78</v>
      </c>
      <c r="C55" s="11">
        <f t="shared" si="0"/>
        <v>0.58877999999999997</v>
      </c>
      <c r="D55" s="11">
        <f t="shared" si="1"/>
        <v>4.1214600000000004E-2</v>
      </c>
      <c r="E55" s="11">
        <f t="shared" si="2"/>
        <v>1.8399375000000002E-3</v>
      </c>
      <c r="F55" s="11">
        <f>E55/Calculation!K$17*1000</f>
        <v>2.0568976274401153E-3</v>
      </c>
      <c r="G55" s="11">
        <f t="shared" si="3"/>
        <v>293.16332691468597</v>
      </c>
    </row>
    <row r="56" spans="1:7">
      <c r="A56" s="11">
        <v>25.5</v>
      </c>
      <c r="B56" s="11">
        <v>628.04</v>
      </c>
      <c r="C56" s="11">
        <f t="shared" si="0"/>
        <v>0.62803999999999993</v>
      </c>
      <c r="D56" s="11">
        <f t="shared" si="1"/>
        <v>4.3962799999999996E-2</v>
      </c>
      <c r="E56" s="11">
        <f t="shared" si="2"/>
        <v>1.962625E-3</v>
      </c>
      <c r="F56" s="11">
        <f>E56/Calculation!K$17*1000</f>
        <v>2.1940520838640751E-3</v>
      </c>
      <c r="G56" s="11">
        <f t="shared" si="3"/>
        <v>293.22709116035554</v>
      </c>
    </row>
    <row r="57" spans="1:7">
      <c r="A57" s="11">
        <v>26</v>
      </c>
      <c r="B57" s="11">
        <v>839.19</v>
      </c>
      <c r="C57" s="11">
        <f t="shared" si="0"/>
        <v>0.8391900000000001</v>
      </c>
      <c r="D57" s="11">
        <f t="shared" si="1"/>
        <v>5.8743300000000005E-2</v>
      </c>
      <c r="E57" s="11">
        <f t="shared" si="2"/>
        <v>2.6224687500000002E-3</v>
      </c>
      <c r="F57" s="11">
        <f>E57/Calculation!K$17*1000</f>
        <v>2.9317027072445919E-3</v>
      </c>
      <c r="G57" s="11">
        <f t="shared" si="3"/>
        <v>293.30397748222219</v>
      </c>
    </row>
    <row r="58" spans="1:7">
      <c r="A58" s="11">
        <v>26.5</v>
      </c>
      <c r="B58" s="11">
        <v>607.73</v>
      </c>
      <c r="C58" s="11">
        <f t="shared" si="0"/>
        <v>0.60772999999999999</v>
      </c>
      <c r="D58" s="11">
        <f t="shared" si="1"/>
        <v>4.2541099999999998E-2</v>
      </c>
      <c r="E58" s="11">
        <f t="shared" si="2"/>
        <v>1.89915625E-3</v>
      </c>
      <c r="F58" s="11">
        <f>E58/Calculation!K$17*1000</f>
        <v>2.1230992817761838E-3</v>
      </c>
      <c r="G58" s="11">
        <f t="shared" si="3"/>
        <v>293.3797995120575</v>
      </c>
    </row>
    <row r="59" spans="1:7">
      <c r="A59" s="11">
        <v>27</v>
      </c>
      <c r="B59" s="11">
        <v>565.77</v>
      </c>
      <c r="C59" s="11">
        <f t="shared" si="0"/>
        <v>0.56577</v>
      </c>
      <c r="D59" s="11">
        <f t="shared" si="1"/>
        <v>3.9603899999999997E-2</v>
      </c>
      <c r="E59" s="11">
        <f t="shared" si="2"/>
        <v>1.7680312500000001E-3</v>
      </c>
      <c r="F59" s="11">
        <f>E59/Calculation!K$17*1000</f>
        <v>1.9765123996684569E-3</v>
      </c>
      <c r="G59" s="11">
        <f t="shared" si="3"/>
        <v>293.4412936872792</v>
      </c>
    </row>
    <row r="60" spans="1:7">
      <c r="A60" s="11">
        <v>27.5</v>
      </c>
      <c r="B60" s="11">
        <v>605.03</v>
      </c>
      <c r="C60" s="11">
        <f t="shared" si="0"/>
        <v>0.60502999999999996</v>
      </c>
      <c r="D60" s="11">
        <f t="shared" si="1"/>
        <v>4.2352099999999997E-2</v>
      </c>
      <c r="E60" s="11">
        <f t="shared" si="2"/>
        <v>1.89071875E-3</v>
      </c>
      <c r="F60" s="11">
        <f>E60/Calculation!K$17*1000</f>
        <v>2.1136668560924167E-3</v>
      </c>
      <c r="G60" s="11">
        <f t="shared" si="3"/>
        <v>293.50264637611559</v>
      </c>
    </row>
    <row r="61" spans="1:7">
      <c r="A61" s="11">
        <v>28</v>
      </c>
      <c r="B61" s="11">
        <v>564.41999999999996</v>
      </c>
      <c r="C61" s="11">
        <f t="shared" si="0"/>
        <v>0.56441999999999992</v>
      </c>
      <c r="D61" s="11">
        <f t="shared" si="1"/>
        <v>3.9509399999999993E-2</v>
      </c>
      <c r="E61" s="11">
        <f t="shared" si="2"/>
        <v>1.7638124999999998E-3</v>
      </c>
      <c r="F61" s="11">
        <f>E61/Calculation!K$17*1000</f>
        <v>1.9717961868265729E-3</v>
      </c>
      <c r="G61" s="11">
        <f t="shared" si="3"/>
        <v>293.56392832175936</v>
      </c>
    </row>
    <row r="62" spans="1:7">
      <c r="A62" s="11">
        <v>28.5</v>
      </c>
      <c r="B62" s="11">
        <v>548.17999999999995</v>
      </c>
      <c r="C62" s="11">
        <f t="shared" si="0"/>
        <v>0.54818</v>
      </c>
      <c r="D62" s="11">
        <f t="shared" si="1"/>
        <v>3.83726E-2</v>
      </c>
      <c r="E62" s="11">
        <f t="shared" si="2"/>
        <v>1.7130625000000002E-3</v>
      </c>
      <c r="F62" s="11">
        <f>E62/Calculation!K$17*1000</f>
        <v>1.9150618930842123E-3</v>
      </c>
      <c r="G62" s="11">
        <f t="shared" si="3"/>
        <v>293.622231192958</v>
      </c>
    </row>
    <row r="63" spans="1:7">
      <c r="A63" s="11">
        <v>29</v>
      </c>
      <c r="B63" s="11">
        <v>489.98</v>
      </c>
      <c r="C63" s="11">
        <f t="shared" si="0"/>
        <v>0.48998000000000003</v>
      </c>
      <c r="D63" s="11">
        <f t="shared" si="1"/>
        <v>3.4298599999999999E-2</v>
      </c>
      <c r="E63" s="11">
        <f t="shared" si="2"/>
        <v>1.5311875E-3</v>
      </c>
      <c r="F63" s="11">
        <f>E63/Calculation!K$17*1000</f>
        <v>1.7117407172341243E-3</v>
      </c>
      <c r="G63" s="11">
        <f t="shared" si="3"/>
        <v>293.67663323211275</v>
      </c>
    </row>
    <row r="64" spans="1:7">
      <c r="A64" s="11">
        <v>29.5</v>
      </c>
      <c r="B64" s="11">
        <v>536</v>
      </c>
      <c r="C64" s="11">
        <f t="shared" si="0"/>
        <v>0.53600000000000003</v>
      </c>
      <c r="D64" s="11">
        <f t="shared" si="1"/>
        <v>3.7519999999999998E-2</v>
      </c>
      <c r="E64" s="11">
        <f t="shared" si="2"/>
        <v>1.6750000000000001E-3</v>
      </c>
      <c r="F64" s="11">
        <f>E64/Calculation!K$17*1000</f>
        <v>1.8725111727774413E-3</v>
      </c>
      <c r="G64" s="11">
        <f t="shared" si="3"/>
        <v>293.73039701046292</v>
      </c>
    </row>
    <row r="65" spans="1:7">
      <c r="A65" s="11">
        <v>30</v>
      </c>
      <c r="B65" s="11">
        <v>449.37</v>
      </c>
      <c r="C65" s="11">
        <f t="shared" si="0"/>
        <v>0.44936999999999999</v>
      </c>
      <c r="D65" s="11">
        <f t="shared" si="1"/>
        <v>3.1455900000000002E-2</v>
      </c>
      <c r="E65" s="11">
        <f t="shared" si="2"/>
        <v>1.4042812500000001E-3</v>
      </c>
      <c r="F65" s="11">
        <f>E65/Calculation!K$18*1000</f>
        <v>1.6803489843746759E-3</v>
      </c>
      <c r="G65" s="11">
        <f t="shared" si="3"/>
        <v>293.78368991282019</v>
      </c>
    </row>
    <row r="66" spans="1:7">
      <c r="A66" s="11">
        <v>30.5</v>
      </c>
      <c r="B66" s="11">
        <v>529.23</v>
      </c>
      <c r="C66" s="11">
        <f t="shared" si="0"/>
        <v>0.52922999999999998</v>
      </c>
      <c r="D66" s="11">
        <f t="shared" si="1"/>
        <v>3.7046099999999998E-2</v>
      </c>
      <c r="E66" s="11">
        <f t="shared" si="2"/>
        <v>1.6538437499999999E-3</v>
      </c>
      <c r="F66" s="11">
        <f>E66/Calculation!K$18*1000</f>
        <v>1.9789729910777523E-3</v>
      </c>
      <c r="G66" s="11">
        <f t="shared" si="3"/>
        <v>293.838579742452</v>
      </c>
    </row>
    <row r="67" spans="1:7">
      <c r="A67" s="11">
        <v>31</v>
      </c>
      <c r="B67" s="11">
        <v>450.72</v>
      </c>
      <c r="C67" s="11">
        <f t="shared" si="0"/>
        <v>0.45072000000000001</v>
      </c>
      <c r="D67" s="11">
        <f t="shared" si="1"/>
        <v>3.1550399999999999E-2</v>
      </c>
      <c r="E67" s="11">
        <f t="shared" si="2"/>
        <v>1.4085E-3</v>
      </c>
      <c r="F67" s="11">
        <f>E67/Calculation!K$18*1000</f>
        <v>1.6853970986878382E-3</v>
      </c>
      <c r="G67" s="11">
        <f t="shared" si="3"/>
        <v>293.89354529379847</v>
      </c>
    </row>
    <row r="68" spans="1:7">
      <c r="A68" s="11">
        <v>31.5</v>
      </c>
      <c r="B68" s="11">
        <v>430.42</v>
      </c>
      <c r="C68" s="11">
        <f t="shared" si="0"/>
        <v>0.43042000000000002</v>
      </c>
      <c r="D68" s="11">
        <f t="shared" si="1"/>
        <v>3.0129400000000004E-2</v>
      </c>
      <c r="E68" s="11">
        <f t="shared" si="2"/>
        <v>1.3450625000000003E-3</v>
      </c>
      <c r="F68" s="11">
        <f>E68/Calculation!K$18*1000</f>
        <v>1.6094884167936179E-3</v>
      </c>
      <c r="G68" s="11">
        <f t="shared" si="3"/>
        <v>293.94296857653069</v>
      </c>
    </row>
    <row r="69" spans="1:7">
      <c r="A69" s="11">
        <v>32</v>
      </c>
      <c r="B69" s="11">
        <v>399.29</v>
      </c>
      <c r="C69" s="11">
        <f t="shared" si="0"/>
        <v>0.39929000000000003</v>
      </c>
      <c r="D69" s="11">
        <f t="shared" si="1"/>
        <v>2.7950300000000001E-2</v>
      </c>
      <c r="E69" s="11">
        <f t="shared" si="2"/>
        <v>1.2477812500000002E-3</v>
      </c>
      <c r="F69" s="11">
        <f>E69/Calculation!K$18*1000</f>
        <v>1.4930826400760273E-3</v>
      </c>
      <c r="G69" s="11">
        <f t="shared" si="3"/>
        <v>293.98950714238373</v>
      </c>
    </row>
    <row r="70" spans="1:7">
      <c r="A70" s="11">
        <v>32.5</v>
      </c>
      <c r="B70" s="11">
        <v>549.53</v>
      </c>
      <c r="C70" s="11">
        <f t="shared" ref="C70:C101" si="4">B70/1000</f>
        <v>0.54952999999999996</v>
      </c>
      <c r="D70" s="11">
        <f t="shared" ref="D70:D101" si="5">C70/1000*$B$1</f>
        <v>3.8467099999999997E-2</v>
      </c>
      <c r="E70" s="11">
        <f t="shared" ref="E70:E101" si="6">D70/22.4</f>
        <v>1.7172812500000001E-3</v>
      </c>
      <c r="F70" s="11">
        <f>E70/Calculation!K$18*1000</f>
        <v>2.054881672971973E-3</v>
      </c>
      <c r="G70" s="11">
        <f t="shared" si="3"/>
        <v>294.04272660707943</v>
      </c>
    </row>
    <row r="71" spans="1:7">
      <c r="A71" s="11">
        <v>33</v>
      </c>
      <c r="B71" s="11">
        <v>430.42</v>
      </c>
      <c r="C71" s="11">
        <f t="shared" si="4"/>
        <v>0.43042000000000002</v>
      </c>
      <c r="D71" s="11">
        <f t="shared" si="5"/>
        <v>3.0129400000000004E-2</v>
      </c>
      <c r="E71" s="11">
        <f t="shared" si="6"/>
        <v>1.3450625000000003E-3</v>
      </c>
      <c r="F71" s="11">
        <f>E71/Calculation!K$18*1000</f>
        <v>1.6094884167936179E-3</v>
      </c>
      <c r="G71" s="11">
        <f t="shared" ref="G71:G101" si="7">G70+(F71+F70)/2*30</f>
        <v>294.0976921584259</v>
      </c>
    </row>
    <row r="72" spans="1:7">
      <c r="A72" s="11">
        <v>33.5</v>
      </c>
      <c r="B72" s="11">
        <v>391.17</v>
      </c>
      <c r="C72" s="11">
        <f t="shared" si="4"/>
        <v>0.39117000000000002</v>
      </c>
      <c r="D72" s="11">
        <f t="shared" si="5"/>
        <v>2.7381900000000004E-2</v>
      </c>
      <c r="E72" s="11">
        <f t="shared" si="6"/>
        <v>1.2224062500000002E-3</v>
      </c>
      <c r="F72" s="11">
        <f>E72/Calculation!K$18*1000</f>
        <v>1.4627191673183388E-3</v>
      </c>
      <c r="G72" s="11">
        <f t="shared" si="7"/>
        <v>294.14377527218755</v>
      </c>
    </row>
    <row r="73" spans="1:7">
      <c r="A73" s="11">
        <v>34</v>
      </c>
      <c r="B73" s="11">
        <v>355.98</v>
      </c>
      <c r="C73" s="11">
        <f t="shared" si="4"/>
        <v>0.35598000000000002</v>
      </c>
      <c r="D73" s="11">
        <f t="shared" si="5"/>
        <v>2.4918600000000003E-2</v>
      </c>
      <c r="E73" s="11">
        <f t="shared" si="6"/>
        <v>1.1124375000000001E-3</v>
      </c>
      <c r="F73" s="11">
        <f>E73/Calculation!K$18*1000</f>
        <v>1.3311316542219042E-3</v>
      </c>
      <c r="G73" s="11">
        <f t="shared" si="7"/>
        <v>294.18568303451065</v>
      </c>
    </row>
    <row r="74" spans="1:7">
      <c r="A74" s="11">
        <v>34.5</v>
      </c>
      <c r="B74" s="11">
        <v>335.67</v>
      </c>
      <c r="C74" s="11">
        <f t="shared" si="4"/>
        <v>0.33567000000000002</v>
      </c>
      <c r="D74" s="11">
        <f t="shared" si="5"/>
        <v>2.3496900000000005E-2</v>
      </c>
      <c r="E74" s="11">
        <f t="shared" si="6"/>
        <v>1.0489687500000002E-3</v>
      </c>
      <c r="F74" s="11">
        <f>E74/Calculation!K$18*1000</f>
        <v>1.2551855788883268E-3</v>
      </c>
      <c r="G74" s="11">
        <f t="shared" si="7"/>
        <v>294.22447779300728</v>
      </c>
    </row>
    <row r="75" spans="1:7">
      <c r="A75" s="11">
        <v>35</v>
      </c>
      <c r="B75" s="11">
        <v>304.54000000000002</v>
      </c>
      <c r="C75" s="11">
        <f t="shared" si="4"/>
        <v>0.30454000000000003</v>
      </c>
      <c r="D75" s="11">
        <f t="shared" si="5"/>
        <v>2.1317800000000001E-2</v>
      </c>
      <c r="E75" s="11">
        <f t="shared" si="6"/>
        <v>9.5168750000000017E-4</v>
      </c>
      <c r="F75" s="11">
        <f>E75/Calculation!K$18*1000</f>
        <v>1.1387798021707364E-3</v>
      </c>
      <c r="G75" s="11">
        <f t="shared" si="7"/>
        <v>294.26038727372315</v>
      </c>
    </row>
    <row r="76" spans="1:7">
      <c r="A76" s="11">
        <v>35.5</v>
      </c>
      <c r="B76" s="11">
        <v>300.48</v>
      </c>
      <c r="C76" s="11">
        <f t="shared" si="4"/>
        <v>0.30048000000000002</v>
      </c>
      <c r="D76" s="11">
        <f t="shared" si="5"/>
        <v>2.1033600000000003E-2</v>
      </c>
      <c r="E76" s="11">
        <f t="shared" si="6"/>
        <v>9.3900000000000016E-4</v>
      </c>
      <c r="F76" s="11">
        <f>E76/Calculation!K$18*1000</f>
        <v>1.1235980657918921E-3</v>
      </c>
      <c r="G76" s="11">
        <f t="shared" si="7"/>
        <v>294.29432294174262</v>
      </c>
    </row>
    <row r="77" spans="1:7">
      <c r="A77" s="11">
        <v>36</v>
      </c>
      <c r="B77" s="11">
        <v>268</v>
      </c>
      <c r="C77" s="11">
        <f t="shared" si="4"/>
        <v>0.26800000000000002</v>
      </c>
      <c r="D77" s="11">
        <f t="shared" si="5"/>
        <v>1.8759999999999999E-2</v>
      </c>
      <c r="E77" s="11">
        <f t="shared" si="6"/>
        <v>8.3750000000000003E-4</v>
      </c>
      <c r="F77" s="11">
        <f>E77/Calculation!K$18*1000</f>
        <v>1.0021441747611391E-3</v>
      </c>
      <c r="G77" s="11">
        <f t="shared" si="7"/>
        <v>294.3262090753509</v>
      </c>
    </row>
    <row r="78" spans="1:7">
      <c r="A78" s="11">
        <v>36.5</v>
      </c>
      <c r="B78" s="11">
        <v>270.70999999999998</v>
      </c>
      <c r="C78" s="11">
        <f t="shared" si="4"/>
        <v>0.27071000000000001</v>
      </c>
      <c r="D78" s="11">
        <f t="shared" si="5"/>
        <v>1.89497E-2</v>
      </c>
      <c r="E78" s="11">
        <f t="shared" si="6"/>
        <v>8.4596875000000004E-4</v>
      </c>
      <c r="F78" s="11">
        <f>E78/Calculation!K$18*1000</f>
        <v>1.0122777968268207E-3</v>
      </c>
      <c r="G78" s="11">
        <f t="shared" si="7"/>
        <v>294.35642540492472</v>
      </c>
    </row>
    <row r="79" spans="1:7">
      <c r="A79" s="11">
        <v>37</v>
      </c>
      <c r="B79" s="11">
        <v>224.69</v>
      </c>
      <c r="C79" s="11">
        <f t="shared" si="4"/>
        <v>0.22469</v>
      </c>
      <c r="D79" s="11">
        <f t="shared" si="5"/>
        <v>1.5728300000000001E-2</v>
      </c>
      <c r="E79" s="11">
        <f t="shared" si="6"/>
        <v>7.0215625000000009E-4</v>
      </c>
      <c r="F79" s="11">
        <f>E79/Calculation!K$18*1000</f>
        <v>8.4019318890701626E-4</v>
      </c>
      <c r="G79" s="11">
        <f t="shared" si="7"/>
        <v>294.38421246971075</v>
      </c>
    </row>
    <row r="80" spans="1:7">
      <c r="A80" s="11">
        <v>37.5</v>
      </c>
      <c r="B80" s="11">
        <v>239.57</v>
      </c>
      <c r="C80" s="11">
        <f t="shared" si="4"/>
        <v>0.23957000000000001</v>
      </c>
      <c r="D80" s="11">
        <f t="shared" si="5"/>
        <v>1.6769900000000001E-2</v>
      </c>
      <c r="E80" s="11">
        <f t="shared" si="6"/>
        <v>7.4865625000000008E-4</v>
      </c>
      <c r="F80" s="11">
        <f>E80/Calculation!K$18*1000</f>
        <v>8.9583462666987352E-4</v>
      </c>
      <c r="G80" s="11">
        <f t="shared" si="7"/>
        <v>294.41025288694442</v>
      </c>
    </row>
    <row r="81" spans="1:7">
      <c r="A81" s="11">
        <v>38</v>
      </c>
      <c r="B81" s="11">
        <v>226.04</v>
      </c>
      <c r="C81" s="11">
        <f t="shared" si="4"/>
        <v>0.22603999999999999</v>
      </c>
      <c r="D81" s="11">
        <f t="shared" si="5"/>
        <v>1.5822800000000001E-2</v>
      </c>
      <c r="E81" s="11">
        <f t="shared" si="6"/>
        <v>7.0637500000000008E-4</v>
      </c>
      <c r="F81" s="11">
        <f>E81/Calculation!K$18*1000</f>
        <v>8.4524130322017883E-4</v>
      </c>
      <c r="G81" s="11">
        <f t="shared" si="7"/>
        <v>294.43636902589276</v>
      </c>
    </row>
    <row r="82" spans="1:7">
      <c r="A82" s="11">
        <v>38.5</v>
      </c>
      <c r="B82" s="11">
        <v>203.03</v>
      </c>
      <c r="C82" s="11">
        <f t="shared" si="4"/>
        <v>0.20302999999999999</v>
      </c>
      <c r="D82" s="11">
        <f t="shared" si="5"/>
        <v>1.4212099999999998E-2</v>
      </c>
      <c r="E82" s="11">
        <f t="shared" si="6"/>
        <v>6.3446874999999994E-4</v>
      </c>
      <c r="F82" s="11">
        <f>E82/Calculation!K$18*1000</f>
        <v>7.5919899926027629E-4</v>
      </c>
      <c r="G82" s="11">
        <f t="shared" si="7"/>
        <v>294.46043563042997</v>
      </c>
    </row>
    <row r="83" spans="1:7">
      <c r="A83" s="11">
        <v>39</v>
      </c>
      <c r="B83" s="11">
        <v>189.49</v>
      </c>
      <c r="C83" s="11">
        <f t="shared" si="4"/>
        <v>0.18949000000000002</v>
      </c>
      <c r="D83" s="11">
        <f t="shared" si="5"/>
        <v>1.3264300000000001E-2</v>
      </c>
      <c r="E83" s="11">
        <f t="shared" si="6"/>
        <v>5.9215625000000013E-4</v>
      </c>
      <c r="F83" s="11">
        <f>E83/Calculation!K$18*1000</f>
        <v>7.0856828237122495E-4</v>
      </c>
      <c r="G83" s="11">
        <f t="shared" si="7"/>
        <v>294.48245213965447</v>
      </c>
    </row>
    <row r="84" spans="1:7">
      <c r="A84" s="11">
        <v>39.5</v>
      </c>
      <c r="B84" s="11">
        <v>171.9</v>
      </c>
      <c r="C84" s="11">
        <f t="shared" si="4"/>
        <v>0.1719</v>
      </c>
      <c r="D84" s="11">
        <f t="shared" si="5"/>
        <v>1.2033E-2</v>
      </c>
      <c r="E84" s="11">
        <f t="shared" si="6"/>
        <v>5.3718750000000001E-4</v>
      </c>
      <c r="F84" s="11">
        <f>E84/Calculation!K$18*1000</f>
        <v>6.427932225426859E-4</v>
      </c>
      <c r="G84" s="11">
        <f t="shared" si="7"/>
        <v>294.5027225622282</v>
      </c>
    </row>
    <row r="85" spans="1:7">
      <c r="A85" s="11">
        <v>40</v>
      </c>
      <c r="B85" s="11">
        <v>181.37</v>
      </c>
      <c r="C85" s="11">
        <f t="shared" si="4"/>
        <v>0.18137</v>
      </c>
      <c r="D85" s="11">
        <f t="shared" si="5"/>
        <v>1.2695900000000001E-2</v>
      </c>
      <c r="E85" s="11">
        <f t="shared" si="6"/>
        <v>5.6678125000000012E-4</v>
      </c>
      <c r="F85" s="11">
        <f>E85/Calculation!K$18*1000</f>
        <v>6.7820480961353665E-4</v>
      </c>
      <c r="G85" s="11">
        <f t="shared" si="7"/>
        <v>294.52253753271054</v>
      </c>
    </row>
    <row r="86" spans="1:7">
      <c r="A86" s="11">
        <v>40.5</v>
      </c>
      <c r="B86" s="11">
        <v>185.43</v>
      </c>
      <c r="C86" s="11">
        <f t="shared" si="4"/>
        <v>0.18543000000000001</v>
      </c>
      <c r="D86" s="11">
        <f t="shared" si="5"/>
        <v>1.2980100000000001E-2</v>
      </c>
      <c r="E86" s="11">
        <f t="shared" si="6"/>
        <v>5.7946875000000012E-4</v>
      </c>
      <c r="F86" s="11">
        <f>E86/Calculation!K$18*1000</f>
        <v>6.933865459923808E-4</v>
      </c>
      <c r="G86" s="11">
        <f t="shared" si="7"/>
        <v>294.54311140304463</v>
      </c>
    </row>
    <row r="87" spans="1:7">
      <c r="A87" s="11">
        <v>41</v>
      </c>
      <c r="B87" s="11">
        <v>50.08</v>
      </c>
      <c r="C87" s="11">
        <f t="shared" si="4"/>
        <v>5.008E-2</v>
      </c>
      <c r="D87" s="11">
        <f t="shared" si="5"/>
        <v>3.5056000000000002E-3</v>
      </c>
      <c r="E87" s="11">
        <f t="shared" si="6"/>
        <v>1.5650000000000001E-4</v>
      </c>
      <c r="F87" s="11">
        <f>E87/Calculation!K$18*1000</f>
        <v>1.8726634429864868E-4</v>
      </c>
      <c r="G87" s="11">
        <f t="shared" si="7"/>
        <v>294.55632119639898</v>
      </c>
    </row>
    <row r="88" spans="1:7">
      <c r="A88" s="11">
        <v>41.5</v>
      </c>
      <c r="B88" s="11">
        <v>124.52</v>
      </c>
      <c r="C88" s="11">
        <f t="shared" si="4"/>
        <v>0.12451999999999999</v>
      </c>
      <c r="D88" s="11">
        <f t="shared" si="5"/>
        <v>8.7163999999999991E-3</v>
      </c>
      <c r="E88" s="11">
        <f t="shared" si="6"/>
        <v>3.8912499999999999E-4</v>
      </c>
      <c r="F88" s="11">
        <f>E88/Calculation!K$18*1000</f>
        <v>4.6562310687036209E-4</v>
      </c>
      <c r="G88" s="11">
        <f t="shared" si="7"/>
        <v>294.56611453816652</v>
      </c>
    </row>
    <row r="89" spans="1:7">
      <c r="A89" s="11">
        <v>42</v>
      </c>
      <c r="B89" s="11">
        <v>108.28</v>
      </c>
      <c r="C89" s="11">
        <f t="shared" si="4"/>
        <v>0.10828</v>
      </c>
      <c r="D89" s="11">
        <f t="shared" si="5"/>
        <v>7.5795999999999997E-3</v>
      </c>
      <c r="E89" s="11">
        <f t="shared" si="6"/>
        <v>3.3837500000000003E-4</v>
      </c>
      <c r="F89" s="11">
        <f>E89/Calculation!K$18*1000</f>
        <v>4.048961613549856E-4</v>
      </c>
      <c r="G89" s="11">
        <f t="shared" si="7"/>
        <v>294.57917232718989</v>
      </c>
    </row>
    <row r="90" spans="1:7">
      <c r="A90" s="11">
        <v>42.5</v>
      </c>
      <c r="B90" s="11">
        <v>106.93</v>
      </c>
      <c r="C90" s="11">
        <f t="shared" si="4"/>
        <v>0.10693000000000001</v>
      </c>
      <c r="D90" s="11">
        <f t="shared" si="5"/>
        <v>7.4851000000000006E-3</v>
      </c>
      <c r="E90" s="11">
        <f t="shared" si="6"/>
        <v>3.3415625000000003E-4</v>
      </c>
      <c r="F90" s="11">
        <f>E90/Calculation!K$18*1000</f>
        <v>3.9984804704182319E-4</v>
      </c>
      <c r="G90" s="11">
        <f t="shared" si="7"/>
        <v>294.59124349031583</v>
      </c>
    </row>
    <row r="91" spans="1:7">
      <c r="A91" s="11">
        <v>43</v>
      </c>
      <c r="B91" s="11">
        <v>132.65</v>
      </c>
      <c r="C91" s="11">
        <f t="shared" si="4"/>
        <v>0.13265000000000002</v>
      </c>
      <c r="D91" s="11">
        <f t="shared" si="5"/>
        <v>9.2855000000000021E-3</v>
      </c>
      <c r="E91" s="11">
        <f t="shared" si="6"/>
        <v>4.1453125000000013E-4</v>
      </c>
      <c r="F91" s="11">
        <f>E91/Calculation!K$18*1000</f>
        <v>4.960239730674072E-4</v>
      </c>
      <c r="G91" s="11">
        <f t="shared" si="7"/>
        <v>294.60468157061746</v>
      </c>
    </row>
    <row r="92" spans="1:7">
      <c r="A92" s="11">
        <v>43.5</v>
      </c>
      <c r="B92" s="11">
        <v>105.58</v>
      </c>
      <c r="C92" s="11">
        <f t="shared" si="4"/>
        <v>0.10557999999999999</v>
      </c>
      <c r="D92" s="11">
        <f t="shared" si="5"/>
        <v>7.3905999999999989E-3</v>
      </c>
      <c r="E92" s="11">
        <f t="shared" si="6"/>
        <v>3.2993749999999999E-4</v>
      </c>
      <c r="F92" s="11">
        <f>E92/Calculation!K$18*1000</f>
        <v>3.9479993272866068E-4</v>
      </c>
      <c r="G92" s="11">
        <f t="shared" si="7"/>
        <v>294.61804392920442</v>
      </c>
    </row>
    <row r="93" spans="1:7">
      <c r="A93" s="11">
        <v>44</v>
      </c>
      <c r="B93" s="11">
        <v>119.11</v>
      </c>
      <c r="C93" s="11">
        <f t="shared" si="4"/>
        <v>0.11910999999999999</v>
      </c>
      <c r="D93" s="11">
        <f t="shared" si="5"/>
        <v>8.3377E-3</v>
      </c>
      <c r="E93" s="11">
        <f t="shared" si="6"/>
        <v>3.7221875000000005E-4</v>
      </c>
      <c r="F93" s="11">
        <f>E93/Calculation!K$18*1000</f>
        <v>4.4539325617835553E-4</v>
      </c>
      <c r="G93" s="11">
        <f t="shared" si="7"/>
        <v>294.63064682703805</v>
      </c>
    </row>
    <row r="94" spans="1:7">
      <c r="A94" s="11">
        <v>44.5</v>
      </c>
      <c r="B94" s="11">
        <v>119.11</v>
      </c>
      <c r="C94" s="11">
        <f t="shared" si="4"/>
        <v>0.11910999999999999</v>
      </c>
      <c r="D94" s="11">
        <f t="shared" si="5"/>
        <v>8.3377E-3</v>
      </c>
      <c r="E94" s="11">
        <f t="shared" si="6"/>
        <v>3.7221875000000005E-4</v>
      </c>
      <c r="F94" s="11">
        <f>E94/Calculation!K$18*1000</f>
        <v>4.4539325617835553E-4</v>
      </c>
      <c r="G94" s="11">
        <f t="shared" si="7"/>
        <v>294.64400862472343</v>
      </c>
    </row>
    <row r="95" spans="1:7">
      <c r="A95" s="11">
        <v>45</v>
      </c>
      <c r="B95" s="11">
        <v>85.27</v>
      </c>
      <c r="C95" s="11">
        <f t="shared" si="4"/>
        <v>8.5269999999999999E-2</v>
      </c>
      <c r="D95" s="11">
        <f t="shared" si="5"/>
        <v>5.9689000000000001E-3</v>
      </c>
      <c r="E95" s="11">
        <f t="shared" si="6"/>
        <v>2.6646875E-4</v>
      </c>
      <c r="F95" s="11">
        <f>E95/Calculation!K$18*1000</f>
        <v>3.1885385739508334E-4</v>
      </c>
      <c r="G95" s="11">
        <f t="shared" si="7"/>
        <v>294.65547233142701</v>
      </c>
    </row>
    <row r="96" spans="1:7">
      <c r="A96" s="11">
        <v>45.5</v>
      </c>
      <c r="B96" s="11">
        <v>92.04</v>
      </c>
      <c r="C96" s="11">
        <f t="shared" si="4"/>
        <v>9.2040000000000011E-2</v>
      </c>
      <c r="D96" s="11">
        <f t="shared" si="5"/>
        <v>6.4428000000000003E-3</v>
      </c>
      <c r="E96" s="11">
        <f t="shared" si="6"/>
        <v>2.8762500000000001E-4</v>
      </c>
      <c r="F96" s="11">
        <f>E96/Calculation!K$18*1000</f>
        <v>3.4416921583960912E-4</v>
      </c>
      <c r="G96" s="11">
        <f t="shared" si="7"/>
        <v>294.66541767752551</v>
      </c>
    </row>
    <row r="97" spans="1:7">
      <c r="A97" s="11">
        <v>46</v>
      </c>
      <c r="B97" s="11">
        <v>110.99</v>
      </c>
      <c r="C97" s="11">
        <f t="shared" si="4"/>
        <v>0.11098999999999999</v>
      </c>
      <c r="D97" s="11">
        <f t="shared" si="5"/>
        <v>7.7692999999999998E-3</v>
      </c>
      <c r="E97" s="11">
        <f t="shared" si="6"/>
        <v>3.4684375000000004E-4</v>
      </c>
      <c r="F97" s="11">
        <f>E97/Calculation!K$18*1000</f>
        <v>4.1502978342066729E-4</v>
      </c>
      <c r="G97" s="11">
        <f t="shared" si="7"/>
        <v>294.67680566251443</v>
      </c>
    </row>
    <row r="98" spans="1:7">
      <c r="A98" s="11">
        <v>46.5</v>
      </c>
      <c r="B98" s="11">
        <v>150.24</v>
      </c>
      <c r="C98" s="11">
        <f t="shared" si="4"/>
        <v>0.15024000000000001</v>
      </c>
      <c r="D98" s="11">
        <f t="shared" si="5"/>
        <v>1.0516800000000001E-2</v>
      </c>
      <c r="E98" s="11">
        <f t="shared" si="6"/>
        <v>4.6950000000000008E-4</v>
      </c>
      <c r="F98" s="11">
        <f>E98/Calculation!K$18*1000</f>
        <v>5.6179903289594604E-4</v>
      </c>
      <c r="G98" s="11">
        <f t="shared" si="7"/>
        <v>294.69145809475918</v>
      </c>
    </row>
    <row r="99" spans="1:7">
      <c r="A99" s="11">
        <v>47</v>
      </c>
      <c r="B99" s="11">
        <v>52.79</v>
      </c>
      <c r="C99" s="11">
        <f t="shared" si="4"/>
        <v>5.2789999999999997E-2</v>
      </c>
      <c r="D99" s="11">
        <f t="shared" si="5"/>
        <v>3.6952999999999995E-3</v>
      </c>
      <c r="E99" s="11">
        <f t="shared" si="6"/>
        <v>1.6496874999999999E-4</v>
      </c>
      <c r="F99" s="11">
        <f>E99/Calculation!K$18*1000</f>
        <v>1.9739996636433034E-4</v>
      </c>
      <c r="G99" s="11">
        <f t="shared" si="7"/>
        <v>294.7028460797481</v>
      </c>
    </row>
    <row r="100" spans="1:7">
      <c r="A100" s="11">
        <v>47.5</v>
      </c>
      <c r="B100" s="11">
        <v>40.61</v>
      </c>
      <c r="C100" s="11">
        <f t="shared" si="4"/>
        <v>4.061E-2</v>
      </c>
      <c r="D100" s="11">
        <f t="shared" si="5"/>
        <v>2.8427000000000001E-3</v>
      </c>
      <c r="E100" s="11">
        <f t="shared" si="6"/>
        <v>1.2690625000000001E-4</v>
      </c>
      <c r="F100" s="11">
        <f>E100/Calculation!K$18*1000</f>
        <v>1.51854757227798E-4</v>
      </c>
      <c r="G100" s="11">
        <f t="shared" si="7"/>
        <v>294.70808490060199</v>
      </c>
    </row>
    <row r="101" spans="1:7">
      <c r="A101" s="11">
        <v>48</v>
      </c>
      <c r="B101" s="11">
        <v>31.13</v>
      </c>
      <c r="C101" s="11">
        <f t="shared" si="4"/>
        <v>3.1129999999999998E-2</v>
      </c>
      <c r="D101" s="11">
        <f t="shared" si="5"/>
        <v>2.1790999999999998E-3</v>
      </c>
      <c r="E101" s="11">
        <f t="shared" si="6"/>
        <v>9.7281249999999996E-5</v>
      </c>
      <c r="F101" s="11">
        <f>E101/Calculation!K$19*1000</f>
        <v>1.2415676669273273E-4</v>
      </c>
      <c r="G101" s="11">
        <f t="shared" si="7"/>
        <v>294.71222507346079</v>
      </c>
    </row>
    <row r="103" spans="1:7">
      <c r="B103" t="s">
        <v>156</v>
      </c>
    </row>
    <row r="104" spans="1:7">
      <c r="A104" s="91" t="s">
        <v>5</v>
      </c>
      <c r="B104" s="91" t="s">
        <v>36</v>
      </c>
      <c r="C104" s="91"/>
      <c r="D104" s="91" t="s">
        <v>51</v>
      </c>
      <c r="E104" s="91"/>
      <c r="F104" s="91"/>
      <c r="G104" s="79" t="s">
        <v>52</v>
      </c>
    </row>
    <row r="105" spans="1:7">
      <c r="A105" s="91"/>
      <c r="B105" s="79" t="s">
        <v>53</v>
      </c>
      <c r="C105" s="79" t="s">
        <v>54</v>
      </c>
      <c r="D105" s="79" t="s">
        <v>55</v>
      </c>
      <c r="E105" s="79" t="s">
        <v>56</v>
      </c>
      <c r="F105" s="79" t="s">
        <v>57</v>
      </c>
      <c r="G105" s="79" t="s">
        <v>58</v>
      </c>
    </row>
    <row r="106" spans="1:7">
      <c r="A106" s="11">
        <v>0</v>
      </c>
      <c r="B106" s="11">
        <v>0</v>
      </c>
      <c r="C106" s="11">
        <f>B106/1000</f>
        <v>0</v>
      </c>
      <c r="D106" s="11">
        <f>C106/1000*$B$1</f>
        <v>0</v>
      </c>
      <c r="E106" s="11">
        <f>D106/22.4</f>
        <v>0</v>
      </c>
      <c r="F106" s="11">
        <f>E106/Calculation!K$4*1000</f>
        <v>0</v>
      </c>
      <c r="G106" s="11">
        <f>(0+F106)/2*30</f>
        <v>0</v>
      </c>
    </row>
    <row r="107" spans="1:7">
      <c r="A107" s="11">
        <v>0.5</v>
      </c>
      <c r="B107" s="11">
        <v>3028.54</v>
      </c>
      <c r="C107" s="11">
        <f t="shared" ref="C107:C170" si="8">B107/1000</f>
        <v>3.02854</v>
      </c>
      <c r="D107" s="11">
        <f>C107/1000*$B$1</f>
        <v>0.21199780000000001</v>
      </c>
      <c r="E107" s="11">
        <f>D107/22.4</f>
        <v>9.4641875000000004E-3</v>
      </c>
      <c r="F107" s="11">
        <f>E107/Calculation!K$4*1000</f>
        <v>6.429475203804348E-3</v>
      </c>
      <c r="G107" s="11">
        <f>G106+(F107+F106)/2*30</f>
        <v>9.6442128057065216E-2</v>
      </c>
    </row>
    <row r="108" spans="1:7">
      <c r="A108" s="11">
        <v>1</v>
      </c>
      <c r="B108" s="11">
        <v>9165.3700000000008</v>
      </c>
      <c r="C108" s="11">
        <f t="shared" si="8"/>
        <v>9.1653700000000011</v>
      </c>
      <c r="D108" s="11">
        <f t="shared" ref="D108:D171" si="9">C108/1000*$B$1</f>
        <v>0.64157590000000009</v>
      </c>
      <c r="E108" s="11">
        <f t="shared" ref="E108:E171" si="10">D108/22.4</f>
        <v>2.8641781250000005E-2</v>
      </c>
      <c r="F108" s="11">
        <f>E108/Calculation!K$4*1000</f>
        <v>1.9457731827445656E-2</v>
      </c>
      <c r="G108" s="11">
        <f t="shared" ref="G108:G171" si="11">G107+(F108+F107)/2*30</f>
        <v>0.48475023352581526</v>
      </c>
    </row>
    <row r="109" spans="1:7">
      <c r="A109" s="11">
        <v>1.5</v>
      </c>
      <c r="B109" s="11">
        <v>9240.07</v>
      </c>
      <c r="C109" s="11">
        <f t="shared" si="8"/>
        <v>9.2400699999999993</v>
      </c>
      <c r="D109" s="11">
        <f t="shared" si="9"/>
        <v>0.64680490000000002</v>
      </c>
      <c r="E109" s="11">
        <f t="shared" si="10"/>
        <v>2.8875218750000004E-2</v>
      </c>
      <c r="F109" s="11">
        <f>E109/Calculation!K$4*1000</f>
        <v>1.9616317085597829E-2</v>
      </c>
      <c r="G109" s="11">
        <f t="shared" si="11"/>
        <v>1.0708609672214675</v>
      </c>
    </row>
    <row r="110" spans="1:7">
      <c r="A110" s="11">
        <v>2</v>
      </c>
      <c r="B110" s="11">
        <v>11772.53</v>
      </c>
      <c r="C110" s="11">
        <f t="shared" si="8"/>
        <v>11.772530000000001</v>
      </c>
      <c r="D110" s="11">
        <f t="shared" si="9"/>
        <v>0.82407710000000012</v>
      </c>
      <c r="E110" s="11">
        <f t="shared" si="10"/>
        <v>3.678915625000001E-2</v>
      </c>
      <c r="F110" s="11">
        <f>E110/Calculation!K$5*1000</f>
        <v>2.5834490444436503E-2</v>
      </c>
      <c r="G110" s="11">
        <f t="shared" si="11"/>
        <v>1.7526230801719824</v>
      </c>
    </row>
    <row r="111" spans="1:7">
      <c r="A111" s="11">
        <v>2.5</v>
      </c>
      <c r="B111" s="11">
        <v>13594.02</v>
      </c>
      <c r="C111" s="11">
        <f t="shared" si="8"/>
        <v>13.59402</v>
      </c>
      <c r="D111" s="11">
        <f t="shared" si="9"/>
        <v>0.95158140000000002</v>
      </c>
      <c r="E111" s="11">
        <f t="shared" si="10"/>
        <v>4.2481312500000007E-2</v>
      </c>
      <c r="F111" s="11">
        <f>E111/Calculation!K$5*1000</f>
        <v>2.9831699710383297E-2</v>
      </c>
      <c r="G111" s="11">
        <f t="shared" si="11"/>
        <v>2.5876159324942796</v>
      </c>
    </row>
    <row r="112" spans="1:7">
      <c r="A112" s="11">
        <v>3</v>
      </c>
      <c r="B112" s="11">
        <v>22536.95</v>
      </c>
      <c r="C112" s="11">
        <f t="shared" si="8"/>
        <v>22.536950000000001</v>
      </c>
      <c r="D112" s="11">
        <f t="shared" si="9"/>
        <v>1.5775865</v>
      </c>
      <c r="E112" s="11">
        <f t="shared" si="10"/>
        <v>7.042796875E-2</v>
      </c>
      <c r="F112" s="11">
        <f>E112/Calculation!K$5*1000</f>
        <v>4.9456711464888441E-2</v>
      </c>
      <c r="G112" s="11">
        <f t="shared" si="11"/>
        <v>3.7769421001233558</v>
      </c>
    </row>
    <row r="113" spans="1:7">
      <c r="A113" s="11">
        <v>3.5</v>
      </c>
      <c r="B113" s="11">
        <v>33131.81</v>
      </c>
      <c r="C113" s="11">
        <f t="shared" si="8"/>
        <v>33.131809999999994</v>
      </c>
      <c r="D113" s="11">
        <f t="shared" si="9"/>
        <v>2.3192266999999998</v>
      </c>
      <c r="E113" s="11">
        <f t="shared" si="10"/>
        <v>0.10353690624999999</v>
      </c>
      <c r="F113" s="11">
        <f>E113/Calculation!K$6*1000</f>
        <v>7.5237605147005518E-2</v>
      </c>
      <c r="G113" s="11">
        <f t="shared" si="11"/>
        <v>5.6473568493017652</v>
      </c>
    </row>
    <row r="114" spans="1:7">
      <c r="A114" s="11">
        <v>4</v>
      </c>
      <c r="B114" s="11">
        <v>38963.1</v>
      </c>
      <c r="C114" s="11">
        <f t="shared" si="8"/>
        <v>38.963099999999997</v>
      </c>
      <c r="D114" s="11">
        <f t="shared" si="9"/>
        <v>2.727417</v>
      </c>
      <c r="E114" s="11">
        <f t="shared" si="10"/>
        <v>0.12175968750000001</v>
      </c>
      <c r="F114" s="11">
        <f>E114/Calculation!K$6*1000</f>
        <v>8.8479631300049433E-2</v>
      </c>
      <c r="G114" s="11">
        <f t="shared" si="11"/>
        <v>8.1031153960075883</v>
      </c>
    </row>
    <row r="115" spans="1:7">
      <c r="A115" s="11">
        <v>4.5</v>
      </c>
      <c r="B115" s="11">
        <v>51381.96</v>
      </c>
      <c r="C115" s="11">
        <f t="shared" si="8"/>
        <v>51.381959999999999</v>
      </c>
      <c r="D115" s="11">
        <f t="shared" si="9"/>
        <v>3.5967371999999997</v>
      </c>
      <c r="E115" s="11">
        <f t="shared" si="10"/>
        <v>0.16056862499999999</v>
      </c>
      <c r="F115" s="11">
        <f>E115/Calculation!K$6*1000</f>
        <v>0.11668108739483993</v>
      </c>
      <c r="G115" s="11">
        <f t="shared" si="11"/>
        <v>11.180526176430929</v>
      </c>
    </row>
    <row r="116" spans="1:7">
      <c r="A116" s="11">
        <v>5</v>
      </c>
      <c r="B116" s="11">
        <v>67643.59</v>
      </c>
      <c r="C116" s="11">
        <f t="shared" si="8"/>
        <v>67.643590000000003</v>
      </c>
      <c r="D116" s="11">
        <f t="shared" si="9"/>
        <v>4.7350513000000003</v>
      </c>
      <c r="E116" s="11">
        <f t="shared" si="10"/>
        <v>0.21138621875000002</v>
      </c>
      <c r="F116" s="11">
        <f>E116/Calculation!K$7*1000</f>
        <v>0.15854553462695725</v>
      </c>
      <c r="G116" s="11">
        <f t="shared" si="11"/>
        <v>15.308925506757886</v>
      </c>
    </row>
    <row r="117" spans="1:7">
      <c r="A117" s="11">
        <v>5.5</v>
      </c>
      <c r="B117" s="11">
        <v>81073.929999999993</v>
      </c>
      <c r="C117" s="11">
        <f t="shared" si="8"/>
        <v>81.07392999999999</v>
      </c>
      <c r="D117" s="11">
        <f t="shared" si="9"/>
        <v>5.6751750999999988</v>
      </c>
      <c r="E117" s="11">
        <f t="shared" si="10"/>
        <v>0.25335603124999995</v>
      </c>
      <c r="F117" s="11">
        <f>E117/Calculation!K$7*1000</f>
        <v>0.19002405957694593</v>
      </c>
      <c r="G117" s="11">
        <f t="shared" si="11"/>
        <v>20.537469419816432</v>
      </c>
    </row>
    <row r="118" spans="1:7">
      <c r="A118" s="11">
        <v>6</v>
      </c>
      <c r="B118" s="11">
        <v>85280.14</v>
      </c>
      <c r="C118" s="11">
        <f t="shared" si="8"/>
        <v>85.280140000000003</v>
      </c>
      <c r="D118" s="11">
        <f t="shared" si="9"/>
        <v>5.9696098000000006</v>
      </c>
      <c r="E118" s="11">
        <f t="shared" si="10"/>
        <v>0.26650043750000002</v>
      </c>
      <c r="F118" s="11">
        <f>E118/Calculation!K$8*1000</f>
        <v>0.20697733235397317</v>
      </c>
      <c r="G118" s="11">
        <f t="shared" si="11"/>
        <v>26.492490298780218</v>
      </c>
    </row>
    <row r="119" spans="1:7">
      <c r="A119" s="11">
        <v>6.5</v>
      </c>
      <c r="B119" s="11">
        <v>85572.25</v>
      </c>
      <c r="C119" s="11">
        <f t="shared" si="8"/>
        <v>85.572249999999997</v>
      </c>
      <c r="D119" s="11">
        <f t="shared" si="9"/>
        <v>5.9900574999999998</v>
      </c>
      <c r="E119" s="11">
        <f t="shared" si="10"/>
        <v>0.26741328125000002</v>
      </c>
      <c r="F119" s="11">
        <f>E119/Calculation!K$8*1000</f>
        <v>0.20768629165626701</v>
      </c>
      <c r="G119" s="11">
        <f t="shared" si="11"/>
        <v>32.712444658933819</v>
      </c>
    </row>
    <row r="120" spans="1:7">
      <c r="A120" s="11">
        <v>7</v>
      </c>
      <c r="B120" s="11">
        <v>92621.5</v>
      </c>
      <c r="C120" s="11">
        <f t="shared" si="8"/>
        <v>92.621499999999997</v>
      </c>
      <c r="D120" s="11">
        <f t="shared" si="9"/>
        <v>6.4835050000000001</v>
      </c>
      <c r="E120" s="11">
        <f t="shared" si="10"/>
        <v>0.2894421875</v>
      </c>
      <c r="F120" s="11">
        <f>E120/Calculation!K$8*1000</f>
        <v>0.22479502248264985</v>
      </c>
      <c r="G120" s="11">
        <f t="shared" si="11"/>
        <v>39.199664371017576</v>
      </c>
    </row>
    <row r="121" spans="1:7">
      <c r="A121" s="11">
        <v>7.5</v>
      </c>
      <c r="B121" s="11">
        <v>103992.81</v>
      </c>
      <c r="C121" s="11">
        <f t="shared" si="8"/>
        <v>103.99280999999999</v>
      </c>
      <c r="D121" s="11">
        <f t="shared" si="9"/>
        <v>7.2794966999999993</v>
      </c>
      <c r="E121" s="11">
        <f t="shared" si="10"/>
        <v>0.32497753125000001</v>
      </c>
      <c r="F121" s="11">
        <f>E121/Calculation!K$9*1000</f>
        <v>0.26206222234156235</v>
      </c>
      <c r="G121" s="11">
        <f t="shared" si="11"/>
        <v>46.502523043380762</v>
      </c>
    </row>
    <row r="122" spans="1:7">
      <c r="A122" s="11">
        <v>8</v>
      </c>
      <c r="B122" s="11">
        <v>106551.29</v>
      </c>
      <c r="C122" s="11">
        <f t="shared" si="8"/>
        <v>106.55128999999999</v>
      </c>
      <c r="D122" s="11">
        <f t="shared" si="9"/>
        <v>7.4585902999999991</v>
      </c>
      <c r="E122" s="11">
        <f t="shared" si="10"/>
        <v>0.33297278124999996</v>
      </c>
      <c r="F122" s="11">
        <f>E122/Calculation!K$9*1000</f>
        <v>0.2685096003344874</v>
      </c>
      <c r="G122" s="11">
        <f t="shared" si="11"/>
        <v>54.461100383521512</v>
      </c>
    </row>
    <row r="123" spans="1:7">
      <c r="A123" s="11">
        <v>8.5</v>
      </c>
      <c r="B123" s="11">
        <v>111361.03</v>
      </c>
      <c r="C123" s="11">
        <f t="shared" si="8"/>
        <v>111.36103</v>
      </c>
      <c r="D123" s="11">
        <f t="shared" si="9"/>
        <v>7.7952721</v>
      </c>
      <c r="E123" s="11">
        <f t="shared" si="10"/>
        <v>0.34800321875000001</v>
      </c>
      <c r="F123" s="11">
        <f>E123/Calculation!K$9*1000</f>
        <v>0.28063016091252263</v>
      </c>
      <c r="G123" s="11">
        <f t="shared" si="11"/>
        <v>62.698196802226661</v>
      </c>
    </row>
    <row r="124" spans="1:7">
      <c r="A124" s="11">
        <v>9</v>
      </c>
      <c r="B124" s="11">
        <v>114498.69</v>
      </c>
      <c r="C124" s="11">
        <f t="shared" si="8"/>
        <v>114.49869</v>
      </c>
      <c r="D124" s="11">
        <f t="shared" si="9"/>
        <v>8.0149083000000001</v>
      </c>
      <c r="E124" s="11">
        <f t="shared" si="10"/>
        <v>0.35780840625000004</v>
      </c>
      <c r="F124" s="11">
        <f>E124/Calculation!K$9*1000</f>
        <v>0.28853707440540965</v>
      </c>
      <c r="G124" s="11">
        <f t="shared" si="11"/>
        <v>71.235705331995646</v>
      </c>
    </row>
    <row r="125" spans="1:7">
      <c r="A125" s="11">
        <v>9.5</v>
      </c>
      <c r="B125" s="11">
        <v>114450</v>
      </c>
      <c r="C125" s="11">
        <f t="shared" si="8"/>
        <v>114.45</v>
      </c>
      <c r="D125" s="11">
        <f t="shared" si="9"/>
        <v>8.0114999999999998</v>
      </c>
      <c r="E125" s="11">
        <f t="shared" si="10"/>
        <v>0.35765625000000001</v>
      </c>
      <c r="F125" s="11">
        <f>E125/Calculation!K$9*1000</f>
        <v>0.28841437544568527</v>
      </c>
      <c r="G125" s="11">
        <f t="shared" si="11"/>
        <v>79.889977079762076</v>
      </c>
    </row>
    <row r="126" spans="1:7">
      <c r="A126" s="11">
        <v>10</v>
      </c>
      <c r="B126" s="11">
        <v>116541.78</v>
      </c>
      <c r="C126" s="11">
        <f t="shared" si="8"/>
        <v>116.54178</v>
      </c>
      <c r="D126" s="11">
        <f t="shared" si="9"/>
        <v>8.1579245999999994</v>
      </c>
      <c r="E126" s="11">
        <f t="shared" si="10"/>
        <v>0.3641930625</v>
      </c>
      <c r="F126" s="11">
        <f>E126/Calculation!K$9*1000</f>
        <v>0.29368566790763173</v>
      </c>
      <c r="G126" s="11">
        <f t="shared" si="11"/>
        <v>88.621477730061827</v>
      </c>
    </row>
    <row r="127" spans="1:7">
      <c r="A127" s="11">
        <v>10.5</v>
      </c>
      <c r="B127" s="11">
        <v>121918.11</v>
      </c>
      <c r="C127" s="11">
        <f t="shared" si="8"/>
        <v>121.91811</v>
      </c>
      <c r="D127" s="11">
        <f t="shared" si="9"/>
        <v>8.5342676999999991</v>
      </c>
      <c r="E127" s="11">
        <f t="shared" si="10"/>
        <v>0.38099409374999998</v>
      </c>
      <c r="F127" s="11">
        <f>E127/Calculation!K$10*1000</f>
        <v>0.31827839795670593</v>
      </c>
      <c r="G127" s="11">
        <f t="shared" si="11"/>
        <v>97.800938718026885</v>
      </c>
    </row>
    <row r="128" spans="1:7">
      <c r="A128" s="11">
        <v>11</v>
      </c>
      <c r="B128" s="11">
        <v>125677.77</v>
      </c>
      <c r="C128" s="11">
        <f t="shared" si="8"/>
        <v>125.67777000000001</v>
      </c>
      <c r="D128" s="11">
        <f t="shared" si="9"/>
        <v>8.7974439000000011</v>
      </c>
      <c r="E128" s="11">
        <f t="shared" si="10"/>
        <v>0.3927430312500001</v>
      </c>
      <c r="F128" s="11">
        <f>E128/Calculation!K$10*1000</f>
        <v>0.3280933348980834</v>
      </c>
      <c r="G128" s="11">
        <f t="shared" si="11"/>
        <v>107.49651471084873</v>
      </c>
    </row>
    <row r="129" spans="1:7">
      <c r="A129" s="11">
        <v>11.5</v>
      </c>
      <c r="B129" s="11">
        <v>129509.61</v>
      </c>
      <c r="C129" s="11">
        <f t="shared" si="8"/>
        <v>129.50961000000001</v>
      </c>
      <c r="D129" s="11">
        <f t="shared" si="9"/>
        <v>9.0656727000000004</v>
      </c>
      <c r="E129" s="11">
        <f t="shared" si="10"/>
        <v>0.40471753125000004</v>
      </c>
      <c r="F129" s="11">
        <f>E129/Calculation!K$10*1000</f>
        <v>0.33809670434357775</v>
      </c>
      <c r="G129" s="11">
        <f t="shared" si="11"/>
        <v>117.48936529947365</v>
      </c>
    </row>
    <row r="130" spans="1:7">
      <c r="A130" s="11">
        <v>12</v>
      </c>
      <c r="B130" s="11">
        <v>130108.1</v>
      </c>
      <c r="C130" s="11">
        <f t="shared" si="8"/>
        <v>130.10810000000001</v>
      </c>
      <c r="D130" s="11">
        <f t="shared" si="9"/>
        <v>9.1075669999999995</v>
      </c>
      <c r="E130" s="11">
        <f t="shared" si="10"/>
        <v>0.40658781249999998</v>
      </c>
      <c r="F130" s="11">
        <f>E130/Calculation!K$11*1000</f>
        <v>0.35105707428779831</v>
      </c>
      <c r="G130" s="11">
        <f t="shared" si="11"/>
        <v>127.82667197894429</v>
      </c>
    </row>
    <row r="131" spans="1:7">
      <c r="A131" s="11">
        <v>12.5</v>
      </c>
      <c r="B131" s="11">
        <v>126729.53</v>
      </c>
      <c r="C131" s="11">
        <f t="shared" si="8"/>
        <v>126.72953</v>
      </c>
      <c r="D131" s="11">
        <f t="shared" si="9"/>
        <v>8.8710671000000012</v>
      </c>
      <c r="E131" s="11">
        <f t="shared" si="10"/>
        <v>0.3960297812500001</v>
      </c>
      <c r="F131" s="11">
        <f>E131/Calculation!K$11*1000</f>
        <v>0.34194103232364303</v>
      </c>
      <c r="G131" s="11">
        <f t="shared" si="11"/>
        <v>138.2216435781159</v>
      </c>
    </row>
    <row r="132" spans="1:7">
      <c r="A132" s="11">
        <v>13</v>
      </c>
      <c r="B132" s="11">
        <v>133650.35999999999</v>
      </c>
      <c r="C132" s="11">
        <f t="shared" si="8"/>
        <v>133.65035999999998</v>
      </c>
      <c r="D132" s="11">
        <f t="shared" si="9"/>
        <v>9.3555251999999971</v>
      </c>
      <c r="E132" s="11">
        <f t="shared" si="10"/>
        <v>0.41765737499999989</v>
      </c>
      <c r="F132" s="11">
        <f>E132/Calculation!K$12*1000</f>
        <v>0.37209735442387593</v>
      </c>
      <c r="G132" s="11">
        <f t="shared" si="11"/>
        <v>148.93221937932867</v>
      </c>
    </row>
    <row r="133" spans="1:7">
      <c r="A133" s="11">
        <v>13.5</v>
      </c>
      <c r="B133" s="11">
        <v>123060.53</v>
      </c>
      <c r="C133" s="11">
        <f t="shared" si="8"/>
        <v>123.06053</v>
      </c>
      <c r="D133" s="11">
        <f t="shared" si="9"/>
        <v>8.6142371000000004</v>
      </c>
      <c r="E133" s="11">
        <f t="shared" si="10"/>
        <v>0.38456415625000007</v>
      </c>
      <c r="F133" s="11">
        <f>E133/Calculation!K$12*1000</f>
        <v>0.34261409880976035</v>
      </c>
      <c r="G133" s="11">
        <f t="shared" si="11"/>
        <v>159.65289117783323</v>
      </c>
    </row>
    <row r="134" spans="1:7">
      <c r="A134" s="11">
        <v>14</v>
      </c>
      <c r="B134" s="11">
        <v>116869.98</v>
      </c>
      <c r="C134" s="11">
        <f t="shared" si="8"/>
        <v>116.86998</v>
      </c>
      <c r="D134" s="11">
        <f t="shared" si="9"/>
        <v>8.180898599999999</v>
      </c>
      <c r="E134" s="11">
        <f t="shared" si="10"/>
        <v>0.36521868749999997</v>
      </c>
      <c r="F134" s="11">
        <f>E134/Calculation!K$12*1000</f>
        <v>0.32537892430346838</v>
      </c>
      <c r="G134" s="11">
        <f t="shared" si="11"/>
        <v>169.67278652453166</v>
      </c>
    </row>
    <row r="135" spans="1:7">
      <c r="A135" s="11">
        <v>14.5</v>
      </c>
      <c r="B135" s="11">
        <v>57001.72</v>
      </c>
      <c r="C135" s="11">
        <f t="shared" si="8"/>
        <v>57.001719999999999</v>
      </c>
      <c r="D135" s="11">
        <f t="shared" si="9"/>
        <v>3.9901203999999999</v>
      </c>
      <c r="E135" s="11">
        <f t="shared" si="10"/>
        <v>0.17813037500000001</v>
      </c>
      <c r="F135" s="11">
        <f>E135/Calculation!K$13*1000</f>
        <v>0.16534690270443117</v>
      </c>
      <c r="G135" s="11">
        <f t="shared" si="11"/>
        <v>177.03367392965015</v>
      </c>
    </row>
    <row r="136" spans="1:7">
      <c r="A136" s="11">
        <v>15</v>
      </c>
      <c r="B136" s="11">
        <v>17372.98</v>
      </c>
      <c r="C136" s="11">
        <f t="shared" si="8"/>
        <v>17.372979999999998</v>
      </c>
      <c r="D136" s="11">
        <f t="shared" si="9"/>
        <v>1.2161085999999999</v>
      </c>
      <c r="E136" s="11">
        <f t="shared" si="10"/>
        <v>5.42905625E-2</v>
      </c>
      <c r="F136" s="11">
        <f>E136/Calculation!K$13*1000</f>
        <v>5.0394416760512283E-2</v>
      </c>
      <c r="G136" s="11">
        <f t="shared" si="11"/>
        <v>180.2697937216243</v>
      </c>
    </row>
    <row r="137" spans="1:7">
      <c r="A137" s="11">
        <v>15.5</v>
      </c>
      <c r="B137" s="11">
        <v>4220.4799999999996</v>
      </c>
      <c r="C137" s="11">
        <f t="shared" si="8"/>
        <v>4.2204799999999993</v>
      </c>
      <c r="D137" s="11">
        <f t="shared" si="9"/>
        <v>0.29543359999999996</v>
      </c>
      <c r="E137" s="11">
        <f t="shared" si="10"/>
        <v>1.3188999999999999E-2</v>
      </c>
      <c r="F137" s="11">
        <f>E137/Calculation!K$13*1000</f>
        <v>1.2242495418138218E-2</v>
      </c>
      <c r="G137" s="11">
        <f t="shared" si="11"/>
        <v>181.20934740430405</v>
      </c>
    </row>
    <row r="138" spans="1:7">
      <c r="A138" s="11">
        <v>16</v>
      </c>
      <c r="B138" s="11">
        <v>1542.81</v>
      </c>
      <c r="C138" s="11">
        <f t="shared" si="8"/>
        <v>1.54281</v>
      </c>
      <c r="D138" s="11">
        <f t="shared" si="9"/>
        <v>0.1079967</v>
      </c>
      <c r="E138" s="11">
        <f t="shared" si="10"/>
        <v>4.82128125E-3</v>
      </c>
      <c r="F138" s="11">
        <f>E138/Calculation!K$14*1000</f>
        <v>4.6614089320142259E-3</v>
      </c>
      <c r="G138" s="11">
        <f t="shared" si="11"/>
        <v>181.46290596955635</v>
      </c>
    </row>
    <row r="139" spans="1:7">
      <c r="A139" s="11">
        <v>16.5</v>
      </c>
      <c r="B139" s="11">
        <v>810.02</v>
      </c>
      <c r="C139" s="11">
        <f t="shared" si="8"/>
        <v>0.81001999999999996</v>
      </c>
      <c r="D139" s="11">
        <f t="shared" si="9"/>
        <v>5.6701399999999999E-2</v>
      </c>
      <c r="E139" s="11">
        <f t="shared" si="10"/>
        <v>2.5313125000000001E-3</v>
      </c>
      <c r="F139" s="11">
        <f>E139/Calculation!K$14*1000</f>
        <v>2.4473748958784057E-3</v>
      </c>
      <c r="G139" s="11">
        <f t="shared" si="11"/>
        <v>181.56953772697474</v>
      </c>
    </row>
    <row r="140" spans="1:7">
      <c r="A140" s="11">
        <v>17</v>
      </c>
      <c r="B140" s="11">
        <v>590.92999999999995</v>
      </c>
      <c r="C140" s="11">
        <f t="shared" si="8"/>
        <v>0.59092999999999996</v>
      </c>
      <c r="D140" s="11">
        <f t="shared" si="9"/>
        <v>4.1365099999999995E-2</v>
      </c>
      <c r="E140" s="11">
        <f t="shared" si="10"/>
        <v>1.84665625E-3</v>
      </c>
      <c r="F140" s="11">
        <f>E140/Calculation!K$15*1000</f>
        <v>1.8573178267644154E-3</v>
      </c>
      <c r="G140" s="11">
        <f t="shared" si="11"/>
        <v>181.63410811781438</v>
      </c>
    </row>
    <row r="141" spans="1:7">
      <c r="A141" s="11">
        <v>17.5</v>
      </c>
      <c r="B141" s="11">
        <v>730.27</v>
      </c>
      <c r="C141" s="11">
        <f t="shared" si="8"/>
        <v>0.73026999999999997</v>
      </c>
      <c r="D141" s="11">
        <f t="shared" si="9"/>
        <v>5.1118900000000002E-2</v>
      </c>
      <c r="E141" s="11">
        <f t="shared" si="10"/>
        <v>2.2820937500000003E-3</v>
      </c>
      <c r="F141" s="11">
        <f>E141/Calculation!K$15*1000</f>
        <v>2.2952693032190778E-3</v>
      </c>
      <c r="G141" s="11">
        <f t="shared" si="11"/>
        <v>181.69639692476414</v>
      </c>
    </row>
    <row r="142" spans="1:7">
      <c r="A142" s="11">
        <v>18</v>
      </c>
      <c r="B142" s="11">
        <v>530.5</v>
      </c>
      <c r="C142" s="11">
        <f t="shared" si="8"/>
        <v>0.53049999999999997</v>
      </c>
      <c r="D142" s="11">
        <f t="shared" si="9"/>
        <v>3.7134999999999994E-2</v>
      </c>
      <c r="E142" s="11">
        <f t="shared" si="10"/>
        <v>1.6578124999999998E-3</v>
      </c>
      <c r="F142" s="11">
        <f>E142/Calculation!K$15*1000</f>
        <v>1.6673837968939169E-3</v>
      </c>
      <c r="G142" s="11">
        <f t="shared" si="11"/>
        <v>181.75583672126584</v>
      </c>
    </row>
    <row r="143" spans="1:7">
      <c r="A143" s="11">
        <v>18.5</v>
      </c>
      <c r="B143" s="11">
        <v>498.6</v>
      </c>
      <c r="C143" s="11">
        <f t="shared" si="8"/>
        <v>0.49860000000000004</v>
      </c>
      <c r="D143" s="11">
        <f t="shared" si="9"/>
        <v>3.4902000000000002E-2</v>
      </c>
      <c r="E143" s="11">
        <f t="shared" si="10"/>
        <v>1.5581250000000003E-3</v>
      </c>
      <c r="F143" s="11">
        <f>E143/Calculation!K$16*1000</f>
        <v>1.6425688968549682E-3</v>
      </c>
      <c r="G143" s="11">
        <f t="shared" si="11"/>
        <v>181.80548601167206</v>
      </c>
    </row>
    <row r="144" spans="1:7">
      <c r="A144" s="11">
        <v>19</v>
      </c>
      <c r="B144" s="11">
        <v>506.16</v>
      </c>
      <c r="C144" s="11">
        <f t="shared" si="8"/>
        <v>0.50616000000000005</v>
      </c>
      <c r="D144" s="11">
        <f t="shared" si="9"/>
        <v>3.5431200000000003E-2</v>
      </c>
      <c r="E144" s="11">
        <f t="shared" si="10"/>
        <v>1.5817500000000003E-3</v>
      </c>
      <c r="F144" s="11">
        <f>E144/Calculation!K$16*1000</f>
        <v>1.6674742736303865E-3</v>
      </c>
      <c r="G144" s="11">
        <f t="shared" si="11"/>
        <v>181.85513665922934</v>
      </c>
    </row>
    <row r="145" spans="1:7">
      <c r="A145" s="11">
        <v>19.5</v>
      </c>
      <c r="B145" s="11">
        <v>601.85</v>
      </c>
      <c r="C145" s="11">
        <f t="shared" si="8"/>
        <v>0.60185</v>
      </c>
      <c r="D145" s="11">
        <f t="shared" si="9"/>
        <v>4.21295E-2</v>
      </c>
      <c r="E145" s="11">
        <f t="shared" si="10"/>
        <v>1.8807812500000001E-3</v>
      </c>
      <c r="F145" s="11">
        <f>E145/Calculation!K$16*1000</f>
        <v>1.9827117741118383E-3</v>
      </c>
      <c r="G145" s="11">
        <f t="shared" si="11"/>
        <v>181.90988944994547</v>
      </c>
    </row>
    <row r="146" spans="1:7">
      <c r="A146" s="11">
        <v>20</v>
      </c>
      <c r="B146" s="11">
        <v>507.83</v>
      </c>
      <c r="C146" s="11">
        <f t="shared" si="8"/>
        <v>0.50783</v>
      </c>
      <c r="D146" s="11">
        <f t="shared" si="9"/>
        <v>3.5548099999999999E-2</v>
      </c>
      <c r="E146" s="11">
        <f t="shared" si="10"/>
        <v>1.5869687500000001E-3</v>
      </c>
      <c r="F146" s="11">
        <f>E146/Calculation!K$16*1000</f>
        <v>1.6729758581826282E-3</v>
      </c>
      <c r="G146" s="11">
        <f t="shared" si="11"/>
        <v>181.96472476442989</v>
      </c>
    </row>
    <row r="147" spans="1:7">
      <c r="A147" s="11">
        <v>20.5</v>
      </c>
      <c r="B147" s="11">
        <v>501.12</v>
      </c>
      <c r="C147" s="11">
        <f t="shared" si="8"/>
        <v>0.50112000000000001</v>
      </c>
      <c r="D147" s="11">
        <f t="shared" si="9"/>
        <v>3.5078399999999996E-2</v>
      </c>
      <c r="E147" s="11">
        <f t="shared" si="10"/>
        <v>1.5659999999999999E-3</v>
      </c>
      <c r="F147" s="11">
        <f>E147/Calculation!K$16*1000</f>
        <v>1.6508706891134406E-3</v>
      </c>
      <c r="G147" s="11">
        <f t="shared" si="11"/>
        <v>182.01458246263934</v>
      </c>
    </row>
    <row r="148" spans="1:7">
      <c r="A148" s="11">
        <v>21</v>
      </c>
      <c r="B148" s="11">
        <v>438.16</v>
      </c>
      <c r="C148" s="11">
        <f t="shared" si="8"/>
        <v>0.43816000000000005</v>
      </c>
      <c r="D148" s="11">
        <f t="shared" si="9"/>
        <v>3.0671200000000003E-2</v>
      </c>
      <c r="E148" s="11">
        <f t="shared" si="10"/>
        <v>1.3692500000000002E-3</v>
      </c>
      <c r="F148" s="11">
        <f>E148/Calculation!K$16*1000</f>
        <v>1.4434576571319151E-3</v>
      </c>
      <c r="G148" s="11">
        <f t="shared" si="11"/>
        <v>182.06099738783303</v>
      </c>
    </row>
    <row r="149" spans="1:7">
      <c r="A149" s="11">
        <v>21.5</v>
      </c>
      <c r="B149" s="11">
        <v>451.6</v>
      </c>
      <c r="C149" s="11">
        <f t="shared" si="8"/>
        <v>0.4516</v>
      </c>
      <c r="D149" s="11">
        <f t="shared" si="9"/>
        <v>3.1612000000000001E-2</v>
      </c>
      <c r="E149" s="11">
        <f t="shared" si="10"/>
        <v>1.4112500000000002E-3</v>
      </c>
      <c r="F149" s="11">
        <f>E149/Calculation!K$16*1000</f>
        <v>1.4877338825104365E-3</v>
      </c>
      <c r="G149" s="11">
        <f t="shared" si="11"/>
        <v>182.10496526092766</v>
      </c>
    </row>
    <row r="150" spans="1:7">
      <c r="A150" s="11">
        <v>22</v>
      </c>
      <c r="B150" s="11">
        <v>438.16</v>
      </c>
      <c r="C150" s="11">
        <f t="shared" si="8"/>
        <v>0.43816000000000005</v>
      </c>
      <c r="D150" s="11">
        <f t="shared" si="9"/>
        <v>3.0671200000000003E-2</v>
      </c>
      <c r="E150" s="11">
        <f t="shared" si="10"/>
        <v>1.3692500000000002E-3</v>
      </c>
      <c r="F150" s="11">
        <f>E150/Calculation!K$16*1000</f>
        <v>1.4434576571319151E-3</v>
      </c>
      <c r="G150" s="11">
        <f t="shared" si="11"/>
        <v>182.14893313402229</v>
      </c>
    </row>
    <row r="151" spans="1:7">
      <c r="A151" s="11">
        <v>22.5</v>
      </c>
      <c r="B151" s="11">
        <v>402.07</v>
      </c>
      <c r="C151" s="11">
        <f t="shared" si="8"/>
        <v>0.40206999999999998</v>
      </c>
      <c r="D151" s="11">
        <f t="shared" si="9"/>
        <v>2.8144899999999997E-2</v>
      </c>
      <c r="E151" s="11">
        <f t="shared" si="10"/>
        <v>1.25646875E-3</v>
      </c>
      <c r="F151" s="11">
        <f>E151/Calculation!K$16*1000</f>
        <v>1.3245641322873587E-3</v>
      </c>
      <c r="G151" s="11">
        <f t="shared" si="11"/>
        <v>182.19045346086358</v>
      </c>
    </row>
    <row r="152" spans="1:7">
      <c r="A152" s="11">
        <v>23</v>
      </c>
      <c r="B152" s="11">
        <v>389.48</v>
      </c>
      <c r="C152" s="11">
        <f t="shared" si="8"/>
        <v>0.38947999999999999</v>
      </c>
      <c r="D152" s="11">
        <f t="shared" si="9"/>
        <v>2.7263599999999999E-2</v>
      </c>
      <c r="E152" s="11">
        <f t="shared" si="10"/>
        <v>1.2171250000000001E-3</v>
      </c>
      <c r="F152" s="11">
        <f>E152/Calculation!K$16*1000</f>
        <v>1.283088114615068E-3</v>
      </c>
      <c r="G152" s="11">
        <f t="shared" si="11"/>
        <v>182.2295682445671</v>
      </c>
    </row>
    <row r="153" spans="1:7">
      <c r="A153" s="11">
        <v>23.5</v>
      </c>
      <c r="B153" s="11">
        <v>404.59</v>
      </c>
      <c r="C153" s="11">
        <f t="shared" si="8"/>
        <v>0.40458999999999995</v>
      </c>
      <c r="D153" s="11">
        <f t="shared" si="9"/>
        <v>2.8321299999999997E-2</v>
      </c>
      <c r="E153" s="11">
        <f t="shared" si="10"/>
        <v>1.2643437500000001E-3</v>
      </c>
      <c r="F153" s="11">
        <f>E153/Calculation!K$16*1000</f>
        <v>1.3328659245458313E-3</v>
      </c>
      <c r="G153" s="11">
        <f t="shared" si="11"/>
        <v>182.26880755515452</v>
      </c>
    </row>
    <row r="154" spans="1:7">
      <c r="A154" s="11">
        <v>24</v>
      </c>
      <c r="B154" s="11">
        <v>433.97</v>
      </c>
      <c r="C154" s="11">
        <f t="shared" si="8"/>
        <v>0.43397000000000002</v>
      </c>
      <c r="D154" s="11">
        <f t="shared" si="9"/>
        <v>3.0377900000000003E-2</v>
      </c>
      <c r="E154" s="11">
        <f t="shared" si="10"/>
        <v>1.3561562500000002E-3</v>
      </c>
      <c r="F154" s="11">
        <f>E154/Calculation!K$17*1000</f>
        <v>1.51607028666087E-3</v>
      </c>
      <c r="G154" s="11">
        <f t="shared" si="11"/>
        <v>182.31154159832263</v>
      </c>
    </row>
    <row r="155" spans="1:7">
      <c r="A155" s="11">
        <v>24.5</v>
      </c>
      <c r="B155" s="11">
        <v>409.63</v>
      </c>
      <c r="C155" s="11">
        <f t="shared" si="8"/>
        <v>0.40962999999999999</v>
      </c>
      <c r="D155" s="11">
        <f t="shared" si="9"/>
        <v>2.8674100000000001E-2</v>
      </c>
      <c r="E155" s="11">
        <f t="shared" si="10"/>
        <v>1.2800937500000002E-3</v>
      </c>
      <c r="F155" s="11">
        <f>E155/Calculation!K$17*1000</f>
        <v>1.4310387158672079E-3</v>
      </c>
      <c r="G155" s="11">
        <f t="shared" si="11"/>
        <v>182.35574823336054</v>
      </c>
    </row>
    <row r="156" spans="1:7">
      <c r="A156" s="11">
        <v>25</v>
      </c>
      <c r="B156" s="11">
        <v>395.36</v>
      </c>
      <c r="C156" s="11">
        <f t="shared" si="8"/>
        <v>0.39535999999999999</v>
      </c>
      <c r="D156" s="11">
        <f t="shared" si="9"/>
        <v>2.7675199999999997E-2</v>
      </c>
      <c r="E156" s="11">
        <f t="shared" si="10"/>
        <v>1.2355000000000001E-3</v>
      </c>
      <c r="F156" s="11">
        <f>E156/Calculation!K$17*1000</f>
        <v>1.3811865993830022E-3</v>
      </c>
      <c r="G156" s="11">
        <f t="shared" si="11"/>
        <v>182.3979316130893</v>
      </c>
    </row>
    <row r="157" spans="1:7">
      <c r="A157" s="11">
        <v>25.5</v>
      </c>
      <c r="B157" s="11">
        <v>407.11</v>
      </c>
      <c r="C157" s="11">
        <f t="shared" si="8"/>
        <v>0.40711000000000003</v>
      </c>
      <c r="D157" s="11">
        <f t="shared" si="9"/>
        <v>2.8497700000000001E-2</v>
      </c>
      <c r="E157" s="11">
        <f t="shared" si="10"/>
        <v>1.2722187500000001E-3</v>
      </c>
      <c r="F157" s="11">
        <f>E157/Calculation!K$17*1000</f>
        <v>1.4222351185623585E-3</v>
      </c>
      <c r="G157" s="11">
        <f t="shared" si="11"/>
        <v>182.43998293885849</v>
      </c>
    </row>
    <row r="158" spans="1:7">
      <c r="A158" s="11">
        <v>26</v>
      </c>
      <c r="B158" s="11">
        <v>520.42999999999995</v>
      </c>
      <c r="C158" s="11">
        <f t="shared" si="8"/>
        <v>0.52042999999999995</v>
      </c>
      <c r="D158" s="11">
        <f t="shared" si="9"/>
        <v>3.6430099999999993E-2</v>
      </c>
      <c r="E158" s="11">
        <f t="shared" si="10"/>
        <v>1.6263437499999998E-3</v>
      </c>
      <c r="F158" s="11">
        <f>E158/Calculation!K$17*1000</f>
        <v>1.8181175180010515E-3</v>
      </c>
      <c r="G158" s="11">
        <f t="shared" si="11"/>
        <v>182.48858822840694</v>
      </c>
    </row>
    <row r="159" spans="1:7">
      <c r="A159" s="11">
        <v>26.5</v>
      </c>
      <c r="B159" s="11">
        <v>387.8</v>
      </c>
      <c r="C159" s="11">
        <f t="shared" si="8"/>
        <v>0.38780000000000003</v>
      </c>
      <c r="D159" s="11">
        <f t="shared" si="9"/>
        <v>2.7146000000000003E-2</v>
      </c>
      <c r="E159" s="11">
        <f t="shared" si="10"/>
        <v>1.2118750000000003E-3</v>
      </c>
      <c r="F159" s="11">
        <f>E159/Calculation!K$17*1000</f>
        <v>1.3547758074684551E-3</v>
      </c>
      <c r="G159" s="11">
        <f t="shared" si="11"/>
        <v>182.53618162828897</v>
      </c>
    </row>
    <row r="160" spans="1:7">
      <c r="A160" s="11">
        <v>27</v>
      </c>
      <c r="B160" s="11">
        <v>350.87</v>
      </c>
      <c r="C160" s="11">
        <f t="shared" si="8"/>
        <v>0.35087000000000002</v>
      </c>
      <c r="D160" s="11">
        <f t="shared" si="9"/>
        <v>2.4560900000000004E-2</v>
      </c>
      <c r="E160" s="11">
        <f t="shared" si="10"/>
        <v>1.0964687500000002E-3</v>
      </c>
      <c r="F160" s="11">
        <f>E160/Calculation!K$17*1000</f>
        <v>1.225761185060487E-3</v>
      </c>
      <c r="G160" s="11">
        <f t="shared" si="11"/>
        <v>182.57488968317691</v>
      </c>
    </row>
    <row r="161" spans="1:7">
      <c r="A161" s="11">
        <v>27.5</v>
      </c>
      <c r="B161" s="11">
        <v>382.76</v>
      </c>
      <c r="C161" s="11">
        <f t="shared" si="8"/>
        <v>0.38275999999999999</v>
      </c>
      <c r="D161" s="11">
        <f t="shared" si="9"/>
        <v>2.67932E-2</v>
      </c>
      <c r="E161" s="11">
        <f t="shared" si="10"/>
        <v>1.1961250000000001E-3</v>
      </c>
      <c r="F161" s="11">
        <f>E161/Calculation!K$17*1000</f>
        <v>1.3371686128587565E-3</v>
      </c>
      <c r="G161" s="11">
        <f t="shared" si="11"/>
        <v>182.61333363014569</v>
      </c>
    </row>
    <row r="162" spans="1:7">
      <c r="A162" s="11">
        <v>28</v>
      </c>
      <c r="B162" s="11">
        <v>365.98</v>
      </c>
      <c r="C162" s="11">
        <f t="shared" si="8"/>
        <v>0.36598000000000003</v>
      </c>
      <c r="D162" s="11">
        <f t="shared" si="9"/>
        <v>2.5618600000000002E-2</v>
      </c>
      <c r="E162" s="11">
        <f t="shared" si="10"/>
        <v>1.1436875000000002E-3</v>
      </c>
      <c r="F162" s="11">
        <f>E162/Calculation!K$17*1000</f>
        <v>1.278547833979642E-3</v>
      </c>
      <c r="G162" s="11">
        <f t="shared" si="11"/>
        <v>182.65256937684828</v>
      </c>
    </row>
    <row r="163" spans="1:7">
      <c r="A163" s="11">
        <v>28.5</v>
      </c>
      <c r="B163" s="11">
        <v>377.73</v>
      </c>
      <c r="C163" s="11">
        <f t="shared" si="8"/>
        <v>0.37773000000000001</v>
      </c>
      <c r="D163" s="11">
        <f t="shared" si="9"/>
        <v>2.6441099999999999E-2</v>
      </c>
      <c r="E163" s="11">
        <f t="shared" si="10"/>
        <v>1.18040625E-3</v>
      </c>
      <c r="F163" s="11">
        <f>E163/Calculation!K$17*1000</f>
        <v>1.3195963531589978E-3</v>
      </c>
      <c r="G163" s="11">
        <f t="shared" si="11"/>
        <v>182.69154153965536</v>
      </c>
    </row>
    <row r="164" spans="1:7">
      <c r="A164" s="11">
        <v>29</v>
      </c>
      <c r="B164" s="11">
        <v>303.86</v>
      </c>
      <c r="C164" s="11">
        <f t="shared" si="8"/>
        <v>0.30386000000000002</v>
      </c>
      <c r="D164" s="11">
        <f t="shared" si="9"/>
        <v>2.1270200000000003E-2</v>
      </c>
      <c r="E164" s="11">
        <f t="shared" si="10"/>
        <v>9.4956250000000021E-4</v>
      </c>
      <c r="F164" s="11">
        <f>E164/Calculation!K$17*1000</f>
        <v>1.061532173433122E-3</v>
      </c>
      <c r="G164" s="11">
        <f t="shared" si="11"/>
        <v>182.72725846755424</v>
      </c>
    </row>
    <row r="165" spans="1:7">
      <c r="A165" s="11">
        <v>29.5</v>
      </c>
      <c r="B165" s="11">
        <v>332.4</v>
      </c>
      <c r="C165" s="11">
        <f t="shared" si="8"/>
        <v>0.33239999999999997</v>
      </c>
      <c r="D165" s="11">
        <f t="shared" si="9"/>
        <v>2.3267999999999997E-2</v>
      </c>
      <c r="E165" s="11">
        <f t="shared" si="10"/>
        <v>1.03875E-3</v>
      </c>
      <c r="F165" s="11">
        <f>E165/Calculation!K$17*1000</f>
        <v>1.1612364064015326E-3</v>
      </c>
      <c r="G165" s="11">
        <f t="shared" si="11"/>
        <v>182.76059999625176</v>
      </c>
    </row>
    <row r="166" spans="1:7">
      <c r="A166" s="11">
        <v>30</v>
      </c>
      <c r="B166" s="11">
        <v>278.68</v>
      </c>
      <c r="C166" s="11">
        <f t="shared" si="8"/>
        <v>0.27867999999999998</v>
      </c>
      <c r="D166" s="11">
        <f t="shared" si="9"/>
        <v>1.95076E-2</v>
      </c>
      <c r="E166" s="11">
        <f t="shared" si="10"/>
        <v>8.7087500000000001E-4</v>
      </c>
      <c r="F166" s="11">
        <f>E166/Calculation!K$18*1000</f>
        <v>1.0420803679941576E-3</v>
      </c>
      <c r="G166" s="11">
        <f t="shared" si="11"/>
        <v>182.7936497478677</v>
      </c>
    </row>
    <row r="167" spans="1:7">
      <c r="A167" s="11">
        <v>30.5</v>
      </c>
      <c r="B167" s="11">
        <v>345.83</v>
      </c>
      <c r="C167" s="11">
        <f t="shared" si="8"/>
        <v>0.34582999999999997</v>
      </c>
      <c r="D167" s="11">
        <f t="shared" si="9"/>
        <v>2.42081E-2</v>
      </c>
      <c r="E167" s="11">
        <f t="shared" si="10"/>
        <v>1.0807187500000001E-3</v>
      </c>
      <c r="F167" s="11">
        <f>E167/Calculation!K$18*1000</f>
        <v>1.2931773132747939E-3</v>
      </c>
      <c r="G167" s="11">
        <f t="shared" si="11"/>
        <v>182.82867861308674</v>
      </c>
    </row>
    <row r="168" spans="1:7">
      <c r="A168" s="11">
        <v>31</v>
      </c>
      <c r="B168" s="11">
        <v>300.5</v>
      </c>
      <c r="C168" s="11">
        <f t="shared" si="8"/>
        <v>0.30049999999999999</v>
      </c>
      <c r="D168" s="11">
        <f t="shared" si="9"/>
        <v>2.1034999999999998E-2</v>
      </c>
      <c r="E168" s="11">
        <f t="shared" si="10"/>
        <v>9.3906250000000001E-4</v>
      </c>
      <c r="F168" s="11">
        <f>E168/Calculation!K$18*1000</f>
        <v>1.1236728526706056E-3</v>
      </c>
      <c r="G168" s="11">
        <f t="shared" si="11"/>
        <v>182.86493136557593</v>
      </c>
    </row>
    <row r="169" spans="1:7">
      <c r="A169" s="11">
        <v>31.5</v>
      </c>
      <c r="B169" s="11">
        <v>285.39</v>
      </c>
      <c r="C169" s="11">
        <f t="shared" si="8"/>
        <v>0.28538999999999998</v>
      </c>
      <c r="D169" s="11">
        <f t="shared" si="9"/>
        <v>1.99773E-2</v>
      </c>
      <c r="E169" s="11">
        <f t="shared" si="10"/>
        <v>8.9184375000000006E-4</v>
      </c>
      <c r="F169" s="11">
        <f>E169/Calculation!K$18*1000</f>
        <v>1.0671713658025428E-3</v>
      </c>
      <c r="G169" s="11">
        <f t="shared" si="11"/>
        <v>182.89779402885301</v>
      </c>
    </row>
    <row r="170" spans="1:7">
      <c r="A170" s="11">
        <v>32</v>
      </c>
      <c r="B170" s="11">
        <v>284.56</v>
      </c>
      <c r="C170" s="11">
        <f t="shared" si="8"/>
        <v>0.28455999999999998</v>
      </c>
      <c r="D170" s="11">
        <f t="shared" si="9"/>
        <v>1.9919200000000001E-2</v>
      </c>
      <c r="E170" s="11">
        <f t="shared" si="10"/>
        <v>8.8925000000000017E-4</v>
      </c>
      <c r="F170" s="11">
        <f>E170/Calculation!K$18*1000</f>
        <v>1.0640677103359321E-3</v>
      </c>
      <c r="G170" s="11">
        <f t="shared" si="11"/>
        <v>182.9297626149951</v>
      </c>
    </row>
    <row r="171" spans="1:7">
      <c r="A171" s="11">
        <v>32.5</v>
      </c>
      <c r="B171" s="11">
        <v>358.42</v>
      </c>
      <c r="C171" s="11">
        <f t="shared" ref="C171:C202" si="12">B171/1000</f>
        <v>0.35842000000000002</v>
      </c>
      <c r="D171" s="11">
        <f t="shared" si="9"/>
        <v>2.5089400000000001E-2</v>
      </c>
      <c r="E171" s="11">
        <f t="shared" si="10"/>
        <v>1.1200625000000002E-3</v>
      </c>
      <c r="F171" s="11">
        <f>E171/Calculation!K$18*1000</f>
        <v>1.3402556534249535E-3</v>
      </c>
      <c r="G171" s="11">
        <f t="shared" si="11"/>
        <v>182.96582746545153</v>
      </c>
    </row>
    <row r="172" spans="1:7">
      <c r="A172" s="11">
        <v>33</v>
      </c>
      <c r="B172" s="11">
        <v>280.36</v>
      </c>
      <c r="C172" s="11">
        <f t="shared" si="12"/>
        <v>0.28036</v>
      </c>
      <c r="D172" s="11">
        <f t="shared" ref="D172:D202" si="13">C172/1000*$B$1</f>
        <v>1.9625199999999999E-2</v>
      </c>
      <c r="E172" s="11">
        <f t="shared" ref="E172:E202" si="14">D172/22.4</f>
        <v>8.7612500000000006E-4</v>
      </c>
      <c r="F172" s="11">
        <f>E172/Calculation!K$18*1000</f>
        <v>1.0483624658060933E-3</v>
      </c>
      <c r="G172" s="11">
        <f t="shared" ref="G172:G202" si="15">G171+(F172+F171)/2*30</f>
        <v>183.00165673723998</v>
      </c>
    </row>
    <row r="173" spans="1:7">
      <c r="A173" s="11">
        <v>33.5</v>
      </c>
      <c r="B173" s="11">
        <v>269.45</v>
      </c>
      <c r="C173" s="11">
        <f t="shared" si="12"/>
        <v>0.26944999999999997</v>
      </c>
      <c r="D173" s="11">
        <f t="shared" si="13"/>
        <v>1.8861499999999996E-2</v>
      </c>
      <c r="E173" s="11">
        <f t="shared" si="14"/>
        <v>8.420312499999999E-4</v>
      </c>
      <c r="F173" s="11">
        <f>E173/Calculation!K$18*1000</f>
        <v>1.0075662234678691E-3</v>
      </c>
      <c r="G173" s="11">
        <f t="shared" si="15"/>
        <v>183.0324956675791</v>
      </c>
    </row>
    <row r="174" spans="1:7">
      <c r="A174" s="11">
        <v>34</v>
      </c>
      <c r="B174" s="11">
        <v>241.75</v>
      </c>
      <c r="C174" s="11">
        <f t="shared" si="12"/>
        <v>0.24174999999999999</v>
      </c>
      <c r="D174" s="11">
        <f t="shared" si="13"/>
        <v>1.69225E-2</v>
      </c>
      <c r="E174" s="11">
        <f t="shared" si="14"/>
        <v>7.5546875000000006E-4</v>
      </c>
      <c r="F174" s="11">
        <f>E174/Calculation!K$18*1000</f>
        <v>9.0398639644964694E-4</v>
      </c>
      <c r="G174" s="11">
        <f t="shared" si="15"/>
        <v>183.06116895687785</v>
      </c>
    </row>
    <row r="175" spans="1:7">
      <c r="A175" s="11">
        <v>34.5</v>
      </c>
      <c r="B175" s="11">
        <v>215.72</v>
      </c>
      <c r="C175" s="11">
        <f t="shared" si="12"/>
        <v>0.21572</v>
      </c>
      <c r="D175" s="11">
        <f t="shared" si="13"/>
        <v>1.51004E-2</v>
      </c>
      <c r="E175" s="11">
        <f t="shared" si="14"/>
        <v>6.7412500000000003E-4</v>
      </c>
      <c r="F175" s="11">
        <f>E175/Calculation!K$18*1000</f>
        <v>8.0665127380400348E-4</v>
      </c>
      <c r="G175" s="11">
        <f t="shared" si="15"/>
        <v>183.08682852193166</v>
      </c>
    </row>
    <row r="176" spans="1:7">
      <c r="A176" s="11">
        <v>35</v>
      </c>
      <c r="B176" s="11">
        <v>208.17</v>
      </c>
      <c r="C176" s="11">
        <f t="shared" si="12"/>
        <v>0.20816999999999999</v>
      </c>
      <c r="D176" s="11">
        <f t="shared" si="13"/>
        <v>1.4571899999999999E-2</v>
      </c>
      <c r="E176" s="11">
        <f t="shared" si="14"/>
        <v>6.5053124999999996E-4</v>
      </c>
      <c r="F176" s="11">
        <f>E176/Calculation!K$18*1000</f>
        <v>7.7841922708965039E-4</v>
      </c>
      <c r="G176" s="11">
        <f t="shared" si="15"/>
        <v>183.11060457944507</v>
      </c>
    </row>
    <row r="177" spans="1:7">
      <c r="A177" s="11">
        <v>35.5</v>
      </c>
      <c r="B177" s="11">
        <v>186.35</v>
      </c>
      <c r="C177" s="11">
        <f t="shared" si="12"/>
        <v>0.18634999999999999</v>
      </c>
      <c r="D177" s="11">
        <f t="shared" si="13"/>
        <v>1.3044499999999999E-2</v>
      </c>
      <c r="E177" s="11">
        <f t="shared" si="14"/>
        <v>5.8234374999999996E-4</v>
      </c>
      <c r="F177" s="11">
        <f>E177/Calculation!K$18*1000</f>
        <v>6.9682674241320242E-4</v>
      </c>
      <c r="G177" s="11">
        <f t="shared" si="15"/>
        <v>183.13273326898761</v>
      </c>
    </row>
    <row r="178" spans="1:7">
      <c r="A178" s="11">
        <v>36</v>
      </c>
      <c r="B178" s="11">
        <v>187.19</v>
      </c>
      <c r="C178" s="11">
        <f t="shared" si="12"/>
        <v>0.18719</v>
      </c>
      <c r="D178" s="11">
        <f t="shared" si="13"/>
        <v>1.31033E-2</v>
      </c>
      <c r="E178" s="11">
        <f t="shared" si="14"/>
        <v>5.8496874999999999E-4</v>
      </c>
      <c r="F178" s="11">
        <f>E178/Calculation!K$18*1000</f>
        <v>6.9996779131917014E-4</v>
      </c>
      <c r="G178" s="11">
        <f t="shared" si="15"/>
        <v>183.15368518699358</v>
      </c>
    </row>
    <row r="179" spans="1:7">
      <c r="A179" s="11">
        <v>36.5</v>
      </c>
      <c r="B179" s="11">
        <v>167.88</v>
      </c>
      <c r="C179" s="11">
        <f t="shared" si="12"/>
        <v>0.16788</v>
      </c>
      <c r="D179" s="11">
        <f t="shared" si="13"/>
        <v>1.1751599999999999E-2</v>
      </c>
      <c r="E179" s="11">
        <f t="shared" si="14"/>
        <v>5.2462500000000003E-4</v>
      </c>
      <c r="F179" s="11">
        <f>E179/Calculation!K$18*1000</f>
        <v>6.277610599212688E-4</v>
      </c>
      <c r="G179" s="11">
        <f t="shared" si="15"/>
        <v>183.1736011197622</v>
      </c>
    </row>
    <row r="180" spans="1:7">
      <c r="A180" s="11">
        <v>37</v>
      </c>
      <c r="B180" s="11">
        <v>167.88</v>
      </c>
      <c r="C180" s="11">
        <f t="shared" si="12"/>
        <v>0.16788</v>
      </c>
      <c r="D180" s="11">
        <f t="shared" si="13"/>
        <v>1.1751599999999999E-2</v>
      </c>
      <c r="E180" s="11">
        <f t="shared" si="14"/>
        <v>5.2462500000000003E-4</v>
      </c>
      <c r="F180" s="11">
        <f>E180/Calculation!K$18*1000</f>
        <v>6.277610599212688E-4</v>
      </c>
      <c r="G180" s="11">
        <f t="shared" si="15"/>
        <v>183.19243395155982</v>
      </c>
    </row>
    <row r="181" spans="1:7">
      <c r="A181" s="11">
        <v>37.5</v>
      </c>
      <c r="B181" s="11">
        <v>135.97999999999999</v>
      </c>
      <c r="C181" s="11">
        <f t="shared" si="12"/>
        <v>0.13597999999999999</v>
      </c>
      <c r="D181" s="11">
        <f t="shared" si="13"/>
        <v>9.5185999999999986E-3</v>
      </c>
      <c r="E181" s="11">
        <f t="shared" si="14"/>
        <v>4.2493749999999997E-4</v>
      </c>
      <c r="F181" s="11">
        <f>E181/Calculation!K$18*1000</f>
        <v>5.0847598837320781E-4</v>
      </c>
      <c r="G181" s="11">
        <f t="shared" si="15"/>
        <v>183.20947750728425</v>
      </c>
    </row>
    <row r="182" spans="1:7">
      <c r="A182" s="11">
        <v>38</v>
      </c>
      <c r="B182" s="11">
        <v>171.24</v>
      </c>
      <c r="C182" s="11">
        <f t="shared" si="12"/>
        <v>0.17124</v>
      </c>
      <c r="D182" s="11">
        <f t="shared" si="13"/>
        <v>1.1986799999999999E-2</v>
      </c>
      <c r="E182" s="11">
        <f t="shared" si="14"/>
        <v>5.3512500000000001E-4</v>
      </c>
      <c r="F182" s="11">
        <f>E182/Calculation!K$18*1000</f>
        <v>6.4032525554513981E-4</v>
      </c>
      <c r="G182" s="11">
        <f t="shared" si="15"/>
        <v>183.22670952594302</v>
      </c>
    </row>
    <row r="183" spans="1:7">
      <c r="A183" s="11">
        <v>38.5</v>
      </c>
      <c r="B183" s="11">
        <v>148.57</v>
      </c>
      <c r="C183" s="11">
        <f t="shared" si="12"/>
        <v>0.14856999999999998</v>
      </c>
      <c r="D183" s="11">
        <f t="shared" si="13"/>
        <v>1.0399899999999998E-2</v>
      </c>
      <c r="E183" s="11">
        <f t="shared" si="14"/>
        <v>4.6428124999999996E-4</v>
      </c>
      <c r="F183" s="11">
        <f>E183/Calculation!K$18*1000</f>
        <v>5.5555432852336724E-4</v>
      </c>
      <c r="G183" s="11">
        <f t="shared" si="15"/>
        <v>183.24464771970406</v>
      </c>
    </row>
    <row r="184" spans="1:7">
      <c r="A184" s="11">
        <v>39</v>
      </c>
      <c r="B184" s="11">
        <v>156.97</v>
      </c>
      <c r="C184" s="11">
        <f t="shared" si="12"/>
        <v>0.15697</v>
      </c>
      <c r="D184" s="11">
        <f t="shared" si="13"/>
        <v>1.09879E-2</v>
      </c>
      <c r="E184" s="11">
        <f t="shared" si="14"/>
        <v>4.9053125000000008E-4</v>
      </c>
      <c r="F184" s="11">
        <f>E184/Calculation!K$18*1000</f>
        <v>5.8696481758304493E-4</v>
      </c>
      <c r="G184" s="11">
        <f t="shared" si="15"/>
        <v>183.26178550689565</v>
      </c>
    </row>
    <row r="185" spans="1:7">
      <c r="A185" s="11">
        <v>39.5</v>
      </c>
      <c r="B185" s="11">
        <v>139.34</v>
      </c>
      <c r="C185" s="11">
        <f t="shared" si="12"/>
        <v>0.13933999999999999</v>
      </c>
      <c r="D185" s="11">
        <f t="shared" si="13"/>
        <v>9.7538E-3</v>
      </c>
      <c r="E185" s="11">
        <f t="shared" si="14"/>
        <v>4.3543750000000001E-4</v>
      </c>
      <c r="F185" s="11">
        <f>E185/Calculation!K$18*1000</f>
        <v>5.2104018399707882E-4</v>
      </c>
      <c r="G185" s="11">
        <f t="shared" si="15"/>
        <v>183.27840558191934</v>
      </c>
    </row>
    <row r="186" spans="1:7">
      <c r="A186" s="11">
        <v>40</v>
      </c>
      <c r="B186" s="11">
        <v>138.5</v>
      </c>
      <c r="C186" s="11">
        <f t="shared" si="12"/>
        <v>0.13850000000000001</v>
      </c>
      <c r="D186" s="11">
        <f t="shared" si="13"/>
        <v>9.6950000000000005E-3</v>
      </c>
      <c r="E186" s="11">
        <f t="shared" si="14"/>
        <v>4.3281250000000004E-4</v>
      </c>
      <c r="F186" s="11">
        <f>E186/Calculation!K$18*1000</f>
        <v>5.1789913509111109E-4</v>
      </c>
      <c r="G186" s="11">
        <f t="shared" si="15"/>
        <v>183.29398967170567</v>
      </c>
    </row>
    <row r="187" spans="1:7">
      <c r="A187" s="11">
        <v>40.5</v>
      </c>
      <c r="B187" s="11">
        <v>121.71</v>
      </c>
      <c r="C187" s="11">
        <f t="shared" si="12"/>
        <v>0.12171</v>
      </c>
      <c r="D187" s="11">
        <f t="shared" si="13"/>
        <v>8.5196999999999998E-3</v>
      </c>
      <c r="E187" s="11">
        <f t="shared" si="14"/>
        <v>3.8034375000000004E-4</v>
      </c>
      <c r="F187" s="11">
        <f>E187/Calculation!K$18*1000</f>
        <v>4.5511555041111287E-4</v>
      </c>
      <c r="G187" s="11">
        <f t="shared" si="15"/>
        <v>183.3085848919882</v>
      </c>
    </row>
    <row r="188" spans="1:7">
      <c r="A188" s="11">
        <v>41</v>
      </c>
      <c r="B188" s="11">
        <v>52.04</v>
      </c>
      <c r="C188" s="11">
        <f t="shared" si="12"/>
        <v>5.2039999999999996E-2</v>
      </c>
      <c r="D188" s="11">
        <f t="shared" si="13"/>
        <v>3.6427999999999999E-3</v>
      </c>
      <c r="E188" s="11">
        <f t="shared" si="14"/>
        <v>1.6262500000000001E-4</v>
      </c>
      <c r="F188" s="11">
        <f>E188/Calculation!K$18*1000</f>
        <v>1.9459545841257343E-4</v>
      </c>
      <c r="G188" s="11">
        <f t="shared" si="15"/>
        <v>183.31833055712056</v>
      </c>
    </row>
    <row r="189" spans="1:7">
      <c r="A189" s="11">
        <v>41.5</v>
      </c>
      <c r="B189" s="11">
        <v>113.32</v>
      </c>
      <c r="C189" s="11">
        <f t="shared" si="12"/>
        <v>0.11331999999999999</v>
      </c>
      <c r="D189" s="11">
        <f t="shared" si="13"/>
        <v>7.9323999999999992E-3</v>
      </c>
      <c r="E189" s="11">
        <f t="shared" si="14"/>
        <v>3.54125E-4</v>
      </c>
      <c r="F189" s="11">
        <f>E189/Calculation!K$18*1000</f>
        <v>4.2374245479079211E-4</v>
      </c>
      <c r="G189" s="11">
        <f t="shared" si="15"/>
        <v>183.32760562581862</v>
      </c>
    </row>
    <row r="190" spans="1:7">
      <c r="A190" s="11">
        <v>42</v>
      </c>
      <c r="B190" s="11">
        <v>67.150000000000006</v>
      </c>
      <c r="C190" s="11">
        <f t="shared" si="12"/>
        <v>6.7150000000000001E-2</v>
      </c>
      <c r="D190" s="11">
        <f t="shared" si="13"/>
        <v>4.7005000000000007E-3</v>
      </c>
      <c r="E190" s="11">
        <f t="shared" si="14"/>
        <v>2.0984375000000004E-4</v>
      </c>
      <c r="F190" s="11">
        <f>E190/Calculation!K$18*1000</f>
        <v>2.5109694528063618E-4</v>
      </c>
      <c r="G190" s="11">
        <f t="shared" si="15"/>
        <v>183.3377282168197</v>
      </c>
    </row>
    <row r="191" spans="1:7">
      <c r="A191" s="11">
        <v>42.5</v>
      </c>
      <c r="B191" s="11">
        <v>62.95</v>
      </c>
      <c r="C191" s="11">
        <f t="shared" si="12"/>
        <v>6.2950000000000006E-2</v>
      </c>
      <c r="D191" s="11">
        <f t="shared" si="13"/>
        <v>4.4065000000000007E-3</v>
      </c>
      <c r="E191" s="11">
        <f t="shared" si="14"/>
        <v>1.9671875000000003E-4</v>
      </c>
      <c r="F191" s="11">
        <f>E191/Calculation!K$18*1000</f>
        <v>2.3539170075079745E-4</v>
      </c>
      <c r="G191" s="11">
        <f t="shared" si="15"/>
        <v>183.34502554651016</v>
      </c>
    </row>
    <row r="192" spans="1:7">
      <c r="A192" s="11">
        <v>43</v>
      </c>
      <c r="B192" s="11">
        <v>117.52</v>
      </c>
      <c r="C192" s="11">
        <f t="shared" si="12"/>
        <v>0.11752</v>
      </c>
      <c r="D192" s="11">
        <f t="shared" si="13"/>
        <v>8.2264E-3</v>
      </c>
      <c r="E192" s="11">
        <f t="shared" si="14"/>
        <v>3.6725000000000001E-4</v>
      </c>
      <c r="F192" s="11">
        <f>E192/Calculation!K$18*1000</f>
        <v>4.394476993206309E-4</v>
      </c>
      <c r="G192" s="11">
        <f t="shared" si="15"/>
        <v>183.35514813751124</v>
      </c>
    </row>
    <row r="193" spans="1:7">
      <c r="A193" s="11">
        <v>43.5</v>
      </c>
      <c r="B193" s="11">
        <v>65.47</v>
      </c>
      <c r="C193" s="11">
        <f t="shared" si="12"/>
        <v>6.547E-2</v>
      </c>
      <c r="D193" s="11">
        <f t="shared" si="13"/>
        <v>4.5829E-3</v>
      </c>
      <c r="E193" s="11">
        <f t="shared" si="14"/>
        <v>2.0459375000000002E-4</v>
      </c>
      <c r="F193" s="11">
        <f>E193/Calculation!K$18*1000</f>
        <v>2.4481484746870067E-4</v>
      </c>
      <c r="G193" s="11">
        <f t="shared" si="15"/>
        <v>183.36541207571307</v>
      </c>
    </row>
    <row r="194" spans="1:7">
      <c r="A194" s="11">
        <v>44</v>
      </c>
      <c r="B194" s="11">
        <v>73.87</v>
      </c>
      <c r="C194" s="11">
        <f t="shared" si="12"/>
        <v>7.3870000000000005E-2</v>
      </c>
      <c r="D194" s="11">
        <f t="shared" si="13"/>
        <v>5.1709000000000008E-3</v>
      </c>
      <c r="E194" s="11">
        <f t="shared" si="14"/>
        <v>2.3084375000000006E-4</v>
      </c>
      <c r="F194" s="11">
        <f>E194/Calculation!K$18*1000</f>
        <v>2.7622533652837825E-4</v>
      </c>
      <c r="G194" s="11">
        <f t="shared" si="15"/>
        <v>183.37322767847303</v>
      </c>
    </row>
    <row r="195" spans="1:7">
      <c r="A195" s="11">
        <v>44.5</v>
      </c>
      <c r="B195" s="11">
        <v>100.73</v>
      </c>
      <c r="C195" s="11">
        <f t="shared" si="12"/>
        <v>0.10073</v>
      </c>
      <c r="D195" s="11">
        <f t="shared" si="13"/>
        <v>7.0511000000000002E-3</v>
      </c>
      <c r="E195" s="11">
        <f t="shared" si="14"/>
        <v>3.1478125000000001E-4</v>
      </c>
      <c r="F195" s="11">
        <f>E195/Calculation!K$18*1000</f>
        <v>3.7666411464063268E-4</v>
      </c>
      <c r="G195" s="11">
        <f t="shared" si="15"/>
        <v>183.38302102024056</v>
      </c>
    </row>
    <row r="196" spans="1:7">
      <c r="A196" s="11">
        <v>45</v>
      </c>
      <c r="B196" s="11">
        <v>52.88</v>
      </c>
      <c r="C196" s="11">
        <f t="shared" si="12"/>
        <v>5.2880000000000003E-2</v>
      </c>
      <c r="D196" s="11">
        <f t="shared" si="13"/>
        <v>3.7016000000000002E-3</v>
      </c>
      <c r="E196" s="11">
        <f t="shared" si="14"/>
        <v>1.6525000000000003E-4</v>
      </c>
      <c r="F196" s="11">
        <f>E196/Calculation!K$18*1000</f>
        <v>1.9773650731854121E-4</v>
      </c>
      <c r="G196" s="11">
        <f t="shared" si="15"/>
        <v>183.39163702956995</v>
      </c>
    </row>
    <row r="197" spans="1:7">
      <c r="A197" s="11">
        <v>45.5</v>
      </c>
      <c r="B197" s="11">
        <v>92.33</v>
      </c>
      <c r="C197" s="11">
        <f t="shared" si="12"/>
        <v>9.2329999999999995E-2</v>
      </c>
      <c r="D197" s="11">
        <f t="shared" si="13"/>
        <v>6.4630999999999994E-3</v>
      </c>
      <c r="E197" s="11">
        <f t="shared" si="14"/>
        <v>2.8853125E-4</v>
      </c>
      <c r="F197" s="11">
        <f>E197/Calculation!K$18*1000</f>
        <v>3.4525362558095516E-4</v>
      </c>
      <c r="G197" s="11">
        <f t="shared" si="15"/>
        <v>183.39978188156346</v>
      </c>
    </row>
    <row r="198" spans="1:7">
      <c r="A198" s="11">
        <v>46</v>
      </c>
      <c r="B198" s="11">
        <v>85.62</v>
      </c>
      <c r="C198" s="11">
        <f t="shared" si="12"/>
        <v>8.5620000000000002E-2</v>
      </c>
      <c r="D198" s="11">
        <f t="shared" si="13"/>
        <v>5.9933999999999994E-3</v>
      </c>
      <c r="E198" s="11">
        <f t="shared" si="14"/>
        <v>2.6756250000000001E-4</v>
      </c>
      <c r="F198" s="11">
        <f>E198/Calculation!K$18*1000</f>
        <v>3.2016262777256991E-4</v>
      </c>
      <c r="G198" s="11">
        <f t="shared" si="15"/>
        <v>183.40976312536375</v>
      </c>
    </row>
    <row r="199" spans="1:7">
      <c r="A199" s="11">
        <v>46.5</v>
      </c>
      <c r="B199" s="11">
        <v>93.17</v>
      </c>
      <c r="C199" s="11">
        <f t="shared" si="12"/>
        <v>9.3170000000000003E-2</v>
      </c>
      <c r="D199" s="11">
        <f t="shared" si="13"/>
        <v>6.5219000000000006E-3</v>
      </c>
      <c r="E199" s="11">
        <f t="shared" si="14"/>
        <v>2.9115625000000002E-4</v>
      </c>
      <c r="F199" s="11">
        <f>E199/Calculation!K$18*1000</f>
        <v>3.4839467448692288E-4</v>
      </c>
      <c r="G199" s="11">
        <f t="shared" si="15"/>
        <v>183.41979148489764</v>
      </c>
    </row>
    <row r="200" spans="1:7">
      <c r="A200" s="11">
        <v>47</v>
      </c>
      <c r="B200" s="11">
        <v>21.82</v>
      </c>
      <c r="C200" s="11">
        <f t="shared" si="12"/>
        <v>2.1819999999999999E-2</v>
      </c>
      <c r="D200" s="11">
        <f t="shared" si="13"/>
        <v>1.5273999999999999E-3</v>
      </c>
      <c r="E200" s="11">
        <f t="shared" si="14"/>
        <v>6.8187499999999997E-5</v>
      </c>
      <c r="F200" s="11">
        <f>E200/Calculation!K$18*1000</f>
        <v>8.159248467644797E-5</v>
      </c>
      <c r="G200" s="11">
        <f t="shared" si="15"/>
        <v>183.42624129228508</v>
      </c>
    </row>
    <row r="201" spans="1:7">
      <c r="A201" s="11">
        <v>47.5</v>
      </c>
      <c r="B201" s="11">
        <v>25.18</v>
      </c>
      <c r="C201" s="11">
        <f t="shared" si="12"/>
        <v>2.5180000000000001E-2</v>
      </c>
      <c r="D201" s="11">
        <f t="shared" si="13"/>
        <v>1.7626E-3</v>
      </c>
      <c r="E201" s="11">
        <f t="shared" si="14"/>
        <v>7.8687500000000009E-5</v>
      </c>
      <c r="F201" s="11">
        <f>E201/Calculation!K$18*1000</f>
        <v>9.4156680300318978E-5</v>
      </c>
      <c r="G201" s="11">
        <f t="shared" si="15"/>
        <v>183.42887752975975</v>
      </c>
    </row>
    <row r="202" spans="1:7">
      <c r="A202" s="11">
        <v>48</v>
      </c>
      <c r="B202" s="11">
        <v>44.49</v>
      </c>
      <c r="C202" s="11">
        <f t="shared" si="12"/>
        <v>4.4490000000000002E-2</v>
      </c>
      <c r="D202" s="11">
        <f t="shared" si="13"/>
        <v>3.1143000000000004E-3</v>
      </c>
      <c r="E202" s="11">
        <f t="shared" si="14"/>
        <v>1.3903125000000002E-4</v>
      </c>
      <c r="F202" s="11">
        <f>E202/Calculation!K$19*1000</f>
        <v>1.7744087857885256E-4</v>
      </c>
      <c r="G202" s="11">
        <f t="shared" si="15"/>
        <v>183.43295149314292</v>
      </c>
    </row>
  </sheetData>
  <mergeCells count="6">
    <mergeCell ref="D104:F104"/>
    <mergeCell ref="A3:A4"/>
    <mergeCell ref="B3:C3"/>
    <mergeCell ref="D3:F3"/>
    <mergeCell ref="A104:A105"/>
    <mergeCell ref="B104:C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204"/>
  <sheetViews>
    <sheetView topLeftCell="A76" zoomScale="98" zoomScaleNormal="98" zoomScalePageLayoutView="98" workbookViewId="0">
      <selection activeCell="C5" sqref="C5:C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7">
      <c r="A1" s="7" t="s">
        <v>49</v>
      </c>
      <c r="B1" s="11">
        <v>70</v>
      </c>
      <c r="C1" s="8" t="s">
        <v>50</v>
      </c>
    </row>
    <row r="3" spans="1:7">
      <c r="A3" s="91" t="s">
        <v>5</v>
      </c>
      <c r="B3" s="91" t="s">
        <v>36</v>
      </c>
      <c r="C3" s="91"/>
      <c r="D3" s="91" t="s">
        <v>51</v>
      </c>
      <c r="E3" s="91"/>
      <c r="F3" s="91"/>
      <c r="G3" s="7" t="s">
        <v>52</v>
      </c>
    </row>
    <row r="4" spans="1:7">
      <c r="A4" s="91"/>
      <c r="B4" s="7" t="s">
        <v>53</v>
      </c>
      <c r="C4" s="7" t="s">
        <v>54</v>
      </c>
      <c r="D4" s="7" t="s">
        <v>55</v>
      </c>
      <c r="E4" s="7" t="s">
        <v>56</v>
      </c>
      <c r="F4" s="7" t="s">
        <v>57</v>
      </c>
      <c r="G4" s="7" t="s">
        <v>58</v>
      </c>
    </row>
    <row r="5" spans="1:7">
      <c r="A5" s="32">
        <v>0</v>
      </c>
      <c r="B5" s="33">
        <v>0</v>
      </c>
      <c r="C5" s="33">
        <f>B5/1000</f>
        <v>0</v>
      </c>
      <c r="D5" s="11">
        <f>C5/1000*$B$1</f>
        <v>0</v>
      </c>
      <c r="E5" s="11">
        <f>D5/22.4</f>
        <v>0</v>
      </c>
      <c r="F5" s="11">
        <f>E5/Calculation!K$4*1000</f>
        <v>0</v>
      </c>
      <c r="G5" s="11">
        <f>(0+F5)/2*30</f>
        <v>0</v>
      </c>
    </row>
    <row r="6" spans="1:7">
      <c r="A6" s="32">
        <v>0.5</v>
      </c>
      <c r="B6" s="11">
        <v>2022.15</v>
      </c>
      <c r="C6" s="33">
        <f t="shared" ref="C6:C69" si="0">B6/1000</f>
        <v>2.0221499999999999</v>
      </c>
      <c r="D6" s="11">
        <f t="shared" ref="D6:D69" si="1">C6/1000*$B$1</f>
        <v>0.1415505</v>
      </c>
      <c r="E6" s="11">
        <f t="shared" ref="E6:E69" si="2">D6/22.4</f>
        <v>6.3192187500000002E-3</v>
      </c>
      <c r="F6" s="11">
        <f>E6/Calculation!K$4*1000</f>
        <v>4.292947520380435E-3</v>
      </c>
      <c r="G6" s="11">
        <f>G5+(F6+F5)/2*30</f>
        <v>6.4394212805706522E-2</v>
      </c>
    </row>
    <row r="7" spans="1:7">
      <c r="A7" s="32">
        <v>1</v>
      </c>
      <c r="B7" s="11">
        <v>2449.2399999999998</v>
      </c>
      <c r="C7" s="33">
        <f t="shared" si="0"/>
        <v>2.4492399999999996</v>
      </c>
      <c r="D7" s="11">
        <f t="shared" si="1"/>
        <v>0.17144679999999998</v>
      </c>
      <c r="E7" s="11">
        <f t="shared" si="2"/>
        <v>7.6538750000000001E-3</v>
      </c>
      <c r="F7" s="11">
        <f>E7/Calculation!K$4*1000</f>
        <v>5.1996433423913049E-3</v>
      </c>
      <c r="G7" s="11">
        <f>G6+(F7+F6)/2*30</f>
        <v>0.20678307574728261</v>
      </c>
    </row>
    <row r="8" spans="1:7">
      <c r="A8" s="32">
        <v>1.5</v>
      </c>
      <c r="B8" s="11">
        <v>3010.42</v>
      </c>
      <c r="C8" s="33">
        <f t="shared" si="0"/>
        <v>3.0104199999999999</v>
      </c>
      <c r="D8" s="11">
        <f t="shared" si="1"/>
        <v>0.21072939999999998</v>
      </c>
      <c r="E8" s="11">
        <f t="shared" si="2"/>
        <v>9.4075624999999993E-3</v>
      </c>
      <c r="F8" s="11">
        <f>E8/Calculation!K$4*1000</f>
        <v>6.3910071331521739E-3</v>
      </c>
      <c r="G8" s="11">
        <f t="shared" ref="G8:G70" si="3">G7+(F8+F7)/2*30</f>
        <v>0.38064283288043477</v>
      </c>
    </row>
    <row r="9" spans="1:7">
      <c r="A9" s="32">
        <v>2</v>
      </c>
      <c r="B9" s="11">
        <v>3582.64</v>
      </c>
      <c r="C9" s="33">
        <f t="shared" si="0"/>
        <v>3.58264</v>
      </c>
      <c r="D9" s="11">
        <f t="shared" si="1"/>
        <v>0.25078480000000003</v>
      </c>
      <c r="E9" s="11">
        <f t="shared" si="2"/>
        <v>1.1195750000000003E-2</v>
      </c>
      <c r="F9" s="11">
        <f>E9/Calculation!K$5*1000</f>
        <v>7.8620040760869585E-3</v>
      </c>
      <c r="G9" s="11">
        <f t="shared" si="3"/>
        <v>0.59443800101902178</v>
      </c>
    </row>
    <row r="10" spans="1:7">
      <c r="A10" s="32">
        <v>2.5</v>
      </c>
      <c r="B10" s="11">
        <v>3905.68</v>
      </c>
      <c r="C10" s="33">
        <f t="shared" si="0"/>
        <v>3.9056799999999998</v>
      </c>
      <c r="D10" s="11">
        <f t="shared" si="1"/>
        <v>0.27339760000000002</v>
      </c>
      <c r="E10" s="11">
        <f t="shared" si="2"/>
        <v>1.2205250000000001E-2</v>
      </c>
      <c r="F10" s="11">
        <f>E10/Calculation!K$5*1000</f>
        <v>8.5709063930205949E-3</v>
      </c>
      <c r="G10" s="11">
        <f t="shared" si="3"/>
        <v>0.84093165805563508</v>
      </c>
    </row>
    <row r="11" spans="1:7">
      <c r="A11" s="32">
        <v>3</v>
      </c>
      <c r="B11" s="11">
        <v>4620.42</v>
      </c>
      <c r="C11" s="33">
        <f t="shared" si="0"/>
        <v>4.6204200000000002</v>
      </c>
      <c r="D11" s="11">
        <f t="shared" si="1"/>
        <v>0.32342939999999998</v>
      </c>
      <c r="E11" s="11">
        <f t="shared" si="2"/>
        <v>1.44388125E-2</v>
      </c>
      <c r="F11" s="11">
        <f>E11/Calculation!K$5*1000</f>
        <v>1.0139383491847826E-2</v>
      </c>
      <c r="G11" s="11">
        <f t="shared" si="3"/>
        <v>1.1215860063286613</v>
      </c>
    </row>
    <row r="12" spans="1:7">
      <c r="A12" s="32">
        <v>3.5</v>
      </c>
      <c r="B12" s="11">
        <v>6211.42</v>
      </c>
      <c r="C12" s="33">
        <f t="shared" si="0"/>
        <v>6.2114200000000004</v>
      </c>
      <c r="D12" s="11">
        <f t="shared" si="1"/>
        <v>0.43479940000000006</v>
      </c>
      <c r="E12" s="11">
        <f t="shared" si="2"/>
        <v>1.9410687500000003E-2</v>
      </c>
      <c r="F12" s="11">
        <f>E12/Calculation!K$6*1000</f>
        <v>1.410524705297456E-2</v>
      </c>
      <c r="G12" s="11">
        <f t="shared" si="3"/>
        <v>1.4852554645009972</v>
      </c>
    </row>
    <row r="13" spans="1:7">
      <c r="A13" s="32">
        <v>4</v>
      </c>
      <c r="B13" s="11">
        <v>8310.19</v>
      </c>
      <c r="C13" s="33">
        <f t="shared" si="0"/>
        <v>8.3101900000000004</v>
      </c>
      <c r="D13" s="11">
        <f t="shared" si="1"/>
        <v>0.58171329999999999</v>
      </c>
      <c r="E13" s="11">
        <f t="shared" si="2"/>
        <v>2.5969343750000002E-2</v>
      </c>
      <c r="F13" s="11">
        <f>E13/Calculation!K$6*1000</f>
        <v>1.8871253756332473E-2</v>
      </c>
      <c r="G13" s="11">
        <f t="shared" si="3"/>
        <v>1.9799029766406027</v>
      </c>
    </row>
    <row r="14" spans="1:7">
      <c r="A14" s="32">
        <v>4.5</v>
      </c>
      <c r="B14" s="11">
        <v>11253.25</v>
      </c>
      <c r="C14" s="33">
        <f t="shared" si="0"/>
        <v>11.25325</v>
      </c>
      <c r="D14" s="11">
        <f t="shared" si="1"/>
        <v>0.78772749999999991</v>
      </c>
      <c r="E14" s="11">
        <f t="shared" si="2"/>
        <v>3.5166406249999997E-2</v>
      </c>
      <c r="F14" s="11">
        <f>E14/Calculation!K$6*1000</f>
        <v>2.5554522379566336E-2</v>
      </c>
      <c r="G14" s="11">
        <f t="shared" si="3"/>
        <v>2.6462896186790847</v>
      </c>
    </row>
    <row r="15" spans="1:7">
      <c r="A15" s="32">
        <v>5</v>
      </c>
      <c r="B15" s="11">
        <v>15107.46</v>
      </c>
      <c r="C15" s="33">
        <f t="shared" si="0"/>
        <v>15.10746</v>
      </c>
      <c r="D15" s="11">
        <f t="shared" si="1"/>
        <v>1.0575222</v>
      </c>
      <c r="E15" s="11">
        <f t="shared" si="2"/>
        <v>4.7210812500000005E-2</v>
      </c>
      <c r="F15" s="11">
        <f>E15/Calculation!K$7*1000</f>
        <v>3.5409420501711565E-2</v>
      </c>
      <c r="G15" s="11">
        <f t="shared" si="3"/>
        <v>3.5607487618982532</v>
      </c>
    </row>
    <row r="16" spans="1:7">
      <c r="A16" s="32">
        <v>5.5</v>
      </c>
      <c r="B16" s="11">
        <v>20644.240000000002</v>
      </c>
      <c r="C16" s="33">
        <f t="shared" si="0"/>
        <v>20.64424</v>
      </c>
      <c r="D16" s="11">
        <f t="shared" si="1"/>
        <v>1.4450968000000002</v>
      </c>
      <c r="E16" s="11">
        <f t="shared" si="2"/>
        <v>6.4513250000000008E-2</v>
      </c>
      <c r="F16" s="11">
        <f>E16/Calculation!K$7*1000</f>
        <v>4.8386729145617723E-2</v>
      </c>
      <c r="G16" s="11">
        <f t="shared" si="3"/>
        <v>4.817691006608193</v>
      </c>
    </row>
    <row r="17" spans="1:7">
      <c r="A17" s="32">
        <v>6</v>
      </c>
      <c r="B17" s="11">
        <v>25969.98</v>
      </c>
      <c r="C17" s="33">
        <f t="shared" si="0"/>
        <v>25.96998</v>
      </c>
      <c r="D17" s="11">
        <f t="shared" si="1"/>
        <v>1.8178985999999999</v>
      </c>
      <c r="E17" s="11">
        <f t="shared" si="2"/>
        <v>8.1156187500000004E-2</v>
      </c>
      <c r="F17" s="11">
        <f>E17/Calculation!K$8*1000</f>
        <v>6.3029882240883239E-2</v>
      </c>
      <c r="G17" s="11">
        <f t="shared" si="3"/>
        <v>6.4889401774057074</v>
      </c>
    </row>
    <row r="18" spans="1:7">
      <c r="A18" s="32">
        <v>6.5</v>
      </c>
      <c r="B18" s="11">
        <v>30406.799999999999</v>
      </c>
      <c r="C18" s="33">
        <f t="shared" si="0"/>
        <v>30.4068</v>
      </c>
      <c r="D18" s="11">
        <f t="shared" si="1"/>
        <v>2.128476</v>
      </c>
      <c r="E18" s="11">
        <f t="shared" si="2"/>
        <v>9.5021250000000002E-2</v>
      </c>
      <c r="F18" s="11">
        <f>E18/Calculation!K$8*1000</f>
        <v>7.3798170938987578E-2</v>
      </c>
      <c r="G18" s="11">
        <f t="shared" si="3"/>
        <v>8.5413609751037693</v>
      </c>
    </row>
    <row r="19" spans="1:7">
      <c r="A19" s="32">
        <v>7</v>
      </c>
      <c r="B19" s="11">
        <v>34847.360000000001</v>
      </c>
      <c r="C19" s="33">
        <f t="shared" si="0"/>
        <v>34.847360000000002</v>
      </c>
      <c r="D19" s="11">
        <f t="shared" si="1"/>
        <v>2.4393152000000002</v>
      </c>
      <c r="E19" s="11">
        <f t="shared" si="2"/>
        <v>0.10889800000000002</v>
      </c>
      <c r="F19" s="11">
        <f>E19/Calculation!K$8*1000</f>
        <v>8.4575536723773576E-2</v>
      </c>
      <c r="G19" s="11">
        <f t="shared" si="3"/>
        <v>10.916966590045186</v>
      </c>
    </row>
    <row r="20" spans="1:7">
      <c r="A20" s="32">
        <v>7.5</v>
      </c>
      <c r="B20" s="11">
        <v>38814.230000000003</v>
      </c>
      <c r="C20" s="33">
        <f t="shared" si="0"/>
        <v>38.814230000000002</v>
      </c>
      <c r="D20" s="11">
        <f t="shared" si="1"/>
        <v>2.7169961000000002</v>
      </c>
      <c r="E20" s="11">
        <f t="shared" si="2"/>
        <v>0.12129446875000002</v>
      </c>
      <c r="F20" s="11">
        <f>E20/Calculation!K$9*1000</f>
        <v>9.7811986927524519E-2</v>
      </c>
      <c r="G20" s="11">
        <f t="shared" si="3"/>
        <v>13.652779444814659</v>
      </c>
    </row>
    <row r="21" spans="1:7">
      <c r="A21" s="32">
        <v>8</v>
      </c>
      <c r="B21" s="11">
        <v>43360.14</v>
      </c>
      <c r="C21" s="33">
        <f t="shared" si="0"/>
        <v>43.360140000000001</v>
      </c>
      <c r="D21" s="11">
        <f t="shared" si="1"/>
        <v>3.0352098000000001</v>
      </c>
      <c r="E21" s="11">
        <f t="shared" si="2"/>
        <v>0.13550043750000001</v>
      </c>
      <c r="F21" s="11">
        <f>E21/Calculation!K$9*1000</f>
        <v>0.10926769504008278</v>
      </c>
      <c r="G21" s="11">
        <f t="shared" si="3"/>
        <v>16.758974674328769</v>
      </c>
    </row>
    <row r="22" spans="1:7">
      <c r="A22" s="32">
        <v>8.5</v>
      </c>
      <c r="B22" s="11">
        <v>47224.09</v>
      </c>
      <c r="C22" s="33">
        <f t="shared" si="0"/>
        <v>47.224089999999997</v>
      </c>
      <c r="D22" s="11">
        <f t="shared" si="1"/>
        <v>3.3056862999999996</v>
      </c>
      <c r="E22" s="11">
        <f t="shared" si="2"/>
        <v>0.14757528125</v>
      </c>
      <c r="F22" s="11">
        <f>E22/Calculation!K$9*1000</f>
        <v>0.11900486171551621</v>
      </c>
      <c r="G22" s="11">
        <f t="shared" si="3"/>
        <v>20.183063025662754</v>
      </c>
    </row>
    <row r="23" spans="1:7">
      <c r="A23" s="32">
        <v>9</v>
      </c>
      <c r="B23" s="11">
        <v>49724.63</v>
      </c>
      <c r="C23" s="33">
        <f t="shared" si="0"/>
        <v>49.724629999999998</v>
      </c>
      <c r="D23" s="11">
        <f t="shared" si="1"/>
        <v>3.4807240999999998</v>
      </c>
      <c r="E23" s="11">
        <f t="shared" si="2"/>
        <v>0.15538946875000001</v>
      </c>
      <c r="F23" s="11">
        <f>E23/Calculation!K$9*1000</f>
        <v>0.12530623071837296</v>
      </c>
      <c r="G23" s="11">
        <f t="shared" si="3"/>
        <v>23.847729412171091</v>
      </c>
    </row>
    <row r="24" spans="1:7">
      <c r="A24" s="32">
        <v>9.5</v>
      </c>
      <c r="B24" s="11">
        <v>52962.81</v>
      </c>
      <c r="C24" s="33">
        <f t="shared" si="0"/>
        <v>52.962809999999998</v>
      </c>
      <c r="D24" s="11">
        <f t="shared" si="1"/>
        <v>3.7073966999999999</v>
      </c>
      <c r="E24" s="11">
        <f t="shared" si="2"/>
        <v>0.16550878125000001</v>
      </c>
      <c r="F24" s="11">
        <f>E24/Calculation!K$9*1000</f>
        <v>0.13346645494100912</v>
      </c>
      <c r="G24" s="11">
        <f t="shared" si="3"/>
        <v>27.729319697061822</v>
      </c>
    </row>
    <row r="25" spans="1:7">
      <c r="A25" s="32">
        <v>10</v>
      </c>
      <c r="B25" s="11">
        <v>56980.65</v>
      </c>
      <c r="C25" s="33">
        <f t="shared" si="0"/>
        <v>56.980650000000004</v>
      </c>
      <c r="D25" s="11">
        <f t="shared" si="1"/>
        <v>3.9886455000000005</v>
      </c>
      <c r="E25" s="11">
        <f t="shared" si="2"/>
        <v>0.17806453125000005</v>
      </c>
      <c r="F25" s="11">
        <f>E25/Calculation!K$9*1000</f>
        <v>0.14359142492126856</v>
      </c>
      <c r="G25" s="11">
        <f t="shared" si="3"/>
        <v>31.885187894995987</v>
      </c>
    </row>
    <row r="26" spans="1:7">
      <c r="A26" s="32">
        <v>10.5</v>
      </c>
      <c r="B26" s="11">
        <v>58339.519999999997</v>
      </c>
      <c r="C26" s="33">
        <f t="shared" si="0"/>
        <v>58.33952</v>
      </c>
      <c r="D26" s="11">
        <f t="shared" si="1"/>
        <v>4.0837664</v>
      </c>
      <c r="E26" s="11">
        <f t="shared" si="2"/>
        <v>0.182311</v>
      </c>
      <c r="F26" s="11">
        <f>E26/Calculation!K$10*1000</f>
        <v>0.15230066282329346</v>
      </c>
      <c r="G26" s="11">
        <f t="shared" si="3"/>
        <v>36.323569211164418</v>
      </c>
    </row>
    <row r="27" spans="1:7">
      <c r="A27" s="32">
        <v>11</v>
      </c>
      <c r="B27" s="11">
        <v>60244.63</v>
      </c>
      <c r="C27" s="33">
        <f t="shared" si="0"/>
        <v>60.244630000000001</v>
      </c>
      <c r="D27" s="11">
        <f t="shared" si="1"/>
        <v>4.2171241000000004</v>
      </c>
      <c r="E27" s="11">
        <f t="shared" si="2"/>
        <v>0.18826446875000002</v>
      </c>
      <c r="F27" s="11">
        <f>E27/Calculation!K$10*1000</f>
        <v>0.15727412705048091</v>
      </c>
      <c r="G27" s="11">
        <f t="shared" si="3"/>
        <v>40.96719105927103</v>
      </c>
    </row>
    <row r="28" spans="1:7">
      <c r="A28" s="32">
        <v>11.5</v>
      </c>
      <c r="B28" s="11">
        <v>61093.78</v>
      </c>
      <c r="C28" s="33">
        <f t="shared" si="0"/>
        <v>61.093779999999995</v>
      </c>
      <c r="D28" s="11">
        <f t="shared" si="1"/>
        <v>4.2765645999999995</v>
      </c>
      <c r="E28" s="11">
        <f t="shared" si="2"/>
        <v>0.19091806249999999</v>
      </c>
      <c r="F28" s="11">
        <f>E28/Calculation!K$10*1000</f>
        <v>0.15949091093619677</v>
      </c>
      <c r="G28" s="11">
        <f t="shared" si="3"/>
        <v>45.718666629071194</v>
      </c>
    </row>
    <row r="29" spans="1:7">
      <c r="A29" s="32">
        <v>12</v>
      </c>
      <c r="B29" s="11">
        <v>60656.47</v>
      </c>
      <c r="C29" s="33">
        <f t="shared" si="0"/>
        <v>60.656469999999999</v>
      </c>
      <c r="D29" s="11">
        <f t="shared" si="1"/>
        <v>4.2459528999999998</v>
      </c>
      <c r="E29" s="11">
        <f t="shared" si="2"/>
        <v>0.18955146875000001</v>
      </c>
      <c r="F29" s="11">
        <f>E29/Calculation!K$11*1000</f>
        <v>0.16366300710582671</v>
      </c>
      <c r="G29" s="11">
        <f t="shared" si="3"/>
        <v>50.565975399701543</v>
      </c>
    </row>
    <row r="30" spans="1:7">
      <c r="A30" s="32">
        <v>12.5</v>
      </c>
      <c r="B30" s="11">
        <v>60929.83</v>
      </c>
      <c r="C30" s="33">
        <f t="shared" si="0"/>
        <v>60.929830000000003</v>
      </c>
      <c r="D30" s="11">
        <f t="shared" si="1"/>
        <v>4.2650881000000007</v>
      </c>
      <c r="E30" s="11">
        <f t="shared" si="2"/>
        <v>0.19040571875000004</v>
      </c>
      <c r="F30" s="11">
        <f>E30/Calculation!K$11*1000</f>
        <v>0.16440058579483466</v>
      </c>
      <c r="G30" s="11">
        <f t="shared" si="3"/>
        <v>55.48692929321146</v>
      </c>
    </row>
    <row r="31" spans="1:7">
      <c r="A31" s="32">
        <v>13</v>
      </c>
      <c r="B31" s="11">
        <v>59269.68</v>
      </c>
      <c r="C31" s="33">
        <f t="shared" si="0"/>
        <v>59.269680000000001</v>
      </c>
      <c r="D31" s="11">
        <f t="shared" si="1"/>
        <v>4.1488775999999996</v>
      </c>
      <c r="E31" s="11">
        <f t="shared" si="2"/>
        <v>0.18521774999999999</v>
      </c>
      <c r="F31" s="11">
        <f>E31/Calculation!K$12*1000</f>
        <v>0.16501333124392417</v>
      </c>
      <c r="G31" s="11">
        <f t="shared" si="3"/>
        <v>60.428138048792846</v>
      </c>
    </row>
    <row r="32" spans="1:7">
      <c r="A32" s="32">
        <v>13.5</v>
      </c>
      <c r="B32" s="11">
        <v>58798.27</v>
      </c>
      <c r="C32" s="33">
        <f t="shared" si="0"/>
        <v>58.798269999999995</v>
      </c>
      <c r="D32" s="11">
        <f t="shared" si="1"/>
        <v>4.1158788999999993</v>
      </c>
      <c r="E32" s="11">
        <f t="shared" si="2"/>
        <v>0.18374459374999999</v>
      </c>
      <c r="F32" s="11">
        <f>E32/Calculation!K$12*1000</f>
        <v>0.1637008737701923</v>
      </c>
      <c r="G32" s="11">
        <f t="shared" si="3"/>
        <v>65.358851124004588</v>
      </c>
    </row>
    <row r="33" spans="1:7">
      <c r="A33" s="32">
        <v>14</v>
      </c>
      <c r="B33" s="11">
        <v>59194.84</v>
      </c>
      <c r="C33" s="33">
        <f t="shared" si="0"/>
        <v>59.194839999999999</v>
      </c>
      <c r="D33" s="11">
        <f t="shared" si="1"/>
        <v>4.1436387999999997</v>
      </c>
      <c r="E33" s="11">
        <f t="shared" si="2"/>
        <v>0.18498387499999999</v>
      </c>
      <c r="F33" s="11">
        <f>E33/Calculation!K$12*1000</f>
        <v>0.164804968423165</v>
      </c>
      <c r="G33" s="11">
        <f t="shared" si="3"/>
        <v>70.286438756904943</v>
      </c>
    </row>
    <row r="34" spans="1:7">
      <c r="A34" s="32">
        <v>14.5</v>
      </c>
      <c r="B34" s="11">
        <v>53489.08</v>
      </c>
      <c r="C34" s="33">
        <f t="shared" si="0"/>
        <v>53.489080000000001</v>
      </c>
      <c r="D34" s="11">
        <f t="shared" si="1"/>
        <v>3.7442356000000001</v>
      </c>
      <c r="E34" s="11">
        <f t="shared" si="2"/>
        <v>0.16715337500000002</v>
      </c>
      <c r="F34" s="11">
        <f>E34/Calculation!K$13*1000</f>
        <v>0.15515766377768136</v>
      </c>
      <c r="G34" s="11">
        <f t="shared" si="3"/>
        <v>75.085878239917633</v>
      </c>
    </row>
    <row r="35" spans="1:7">
      <c r="A35" s="32">
        <v>15</v>
      </c>
      <c r="B35" s="11">
        <v>48491.73</v>
      </c>
      <c r="C35" s="33">
        <f t="shared" si="0"/>
        <v>48.491730000000004</v>
      </c>
      <c r="D35" s="11">
        <f t="shared" si="1"/>
        <v>3.3944211000000002</v>
      </c>
      <c r="E35" s="11">
        <f t="shared" si="2"/>
        <v>0.15153665625000001</v>
      </c>
      <c r="F35" s="11">
        <f>E35/Calculation!K$13*1000</f>
        <v>0.14066167410877331</v>
      </c>
      <c r="G35" s="11">
        <f t="shared" si="3"/>
        <v>79.523168308214451</v>
      </c>
    </row>
    <row r="36" spans="1:7">
      <c r="A36" s="32">
        <v>15.5</v>
      </c>
      <c r="B36" s="11">
        <v>43670.51</v>
      </c>
      <c r="C36" s="33">
        <f t="shared" si="0"/>
        <v>43.67051</v>
      </c>
      <c r="D36" s="11">
        <f t="shared" si="1"/>
        <v>3.0569357000000004</v>
      </c>
      <c r="E36" s="11">
        <f t="shared" si="2"/>
        <v>0.13647034375000003</v>
      </c>
      <c r="F36" s="11">
        <f>E36/Calculation!K$13*1000</f>
        <v>0.12667659095239389</v>
      </c>
      <c r="G36" s="11">
        <f t="shared" si="3"/>
        <v>83.533242284131958</v>
      </c>
    </row>
    <row r="37" spans="1:7">
      <c r="A37" s="32">
        <v>16</v>
      </c>
      <c r="B37" s="11">
        <v>38194.78</v>
      </c>
      <c r="C37" s="33">
        <f t="shared" si="0"/>
        <v>38.194780000000002</v>
      </c>
      <c r="D37" s="11">
        <f t="shared" si="1"/>
        <v>2.6736346000000002</v>
      </c>
      <c r="E37" s="11">
        <f t="shared" si="2"/>
        <v>0.11935868750000002</v>
      </c>
      <c r="F37" s="11">
        <f>E37/Calculation!K$14*1000</f>
        <v>0.11540078729611446</v>
      </c>
      <c r="G37" s="11">
        <f t="shared" si="3"/>
        <v>87.164402957859579</v>
      </c>
    </row>
    <row r="38" spans="1:7">
      <c r="A38" s="32">
        <v>16.5</v>
      </c>
      <c r="B38" s="11">
        <v>33259.919999999998</v>
      </c>
      <c r="C38" s="33">
        <f t="shared" si="0"/>
        <v>33.259920000000001</v>
      </c>
      <c r="D38" s="11">
        <f t="shared" si="1"/>
        <v>2.3281944000000001</v>
      </c>
      <c r="E38" s="11">
        <f t="shared" si="2"/>
        <v>0.10393725000000001</v>
      </c>
      <c r="F38" s="11">
        <f>E38/Calculation!K$14*1000</f>
        <v>0.10049072028705971</v>
      </c>
      <c r="G38" s="11">
        <f t="shared" si="3"/>
        <v>90.402775571607194</v>
      </c>
    </row>
    <row r="39" spans="1:7">
      <c r="A39" s="32">
        <v>17</v>
      </c>
      <c r="B39" s="11">
        <v>27395.57</v>
      </c>
      <c r="C39" s="33">
        <f t="shared" si="0"/>
        <v>27.395569999999999</v>
      </c>
      <c r="D39" s="11">
        <f t="shared" si="1"/>
        <v>1.9176899000000001</v>
      </c>
      <c r="E39" s="11">
        <f t="shared" si="2"/>
        <v>8.5611156250000015E-2</v>
      </c>
      <c r="F39" s="11">
        <f>E39/Calculation!K$15*1000</f>
        <v>8.6105427944718357E-2</v>
      </c>
      <c r="G39" s="11">
        <f t="shared" si="3"/>
        <v>93.201717795083866</v>
      </c>
    </row>
    <row r="40" spans="1:7">
      <c r="A40" s="32">
        <v>17.5</v>
      </c>
      <c r="B40" s="11">
        <v>23151.759999999998</v>
      </c>
      <c r="C40" s="33">
        <f t="shared" si="0"/>
        <v>23.151759999999999</v>
      </c>
      <c r="D40" s="11">
        <f t="shared" si="1"/>
        <v>1.6206232</v>
      </c>
      <c r="E40" s="11">
        <f t="shared" si="2"/>
        <v>7.2349250000000004E-2</v>
      </c>
      <c r="F40" s="11">
        <f>E40/Calculation!K$15*1000</f>
        <v>7.2766954747552709E-2</v>
      </c>
      <c r="G40" s="11">
        <f t="shared" si="3"/>
        <v>95.584803535467927</v>
      </c>
    </row>
    <row r="41" spans="1:7">
      <c r="A41" s="32">
        <v>18</v>
      </c>
      <c r="B41" s="11">
        <v>19581.46</v>
      </c>
      <c r="C41" s="33">
        <f t="shared" si="0"/>
        <v>19.58146</v>
      </c>
      <c r="D41" s="11">
        <f t="shared" si="1"/>
        <v>1.3707022</v>
      </c>
      <c r="E41" s="11">
        <f t="shared" si="2"/>
        <v>6.1192062500000005E-2</v>
      </c>
      <c r="F41" s="11">
        <f>E41/Calculation!K$15*1000</f>
        <v>6.1545351787985605E-2</v>
      </c>
      <c r="G41" s="11">
        <f t="shared" si="3"/>
        <v>97.599488133500998</v>
      </c>
    </row>
    <row r="42" spans="1:7">
      <c r="A42" s="32">
        <v>18.5</v>
      </c>
      <c r="B42" s="11">
        <v>16313.09</v>
      </c>
      <c r="C42" s="33">
        <f t="shared" si="0"/>
        <v>16.313089999999999</v>
      </c>
      <c r="D42" s="11">
        <f t="shared" si="1"/>
        <v>1.1419162999999999</v>
      </c>
      <c r="E42" s="11">
        <f t="shared" si="2"/>
        <v>5.0978406249999997E-2</v>
      </c>
      <c r="F42" s="11">
        <f>E42/Calculation!K$16*1000</f>
        <v>5.3741223918162467E-2</v>
      </c>
      <c r="G42" s="11">
        <f t="shared" si="3"/>
        <v>99.328786769093213</v>
      </c>
    </row>
    <row r="43" spans="1:7">
      <c r="A43" s="32">
        <v>19</v>
      </c>
      <c r="B43" s="11">
        <v>13543.57</v>
      </c>
      <c r="C43" s="33">
        <f t="shared" si="0"/>
        <v>13.543569999999999</v>
      </c>
      <c r="D43" s="11">
        <f t="shared" si="1"/>
        <v>0.9480499</v>
      </c>
      <c r="E43" s="11">
        <f t="shared" si="2"/>
        <v>4.2323656250000001E-2</v>
      </c>
      <c r="F43" s="11">
        <f>E43/Calculation!K$16*1000</f>
        <v>4.4617422451620613E-2</v>
      </c>
      <c r="G43" s="11">
        <f t="shared" si="3"/>
        <v>100.80416646463996</v>
      </c>
    </row>
    <row r="44" spans="1:7">
      <c r="A44" s="32">
        <v>19.5</v>
      </c>
      <c r="B44" s="11">
        <v>11261.85</v>
      </c>
      <c r="C44" s="33">
        <f t="shared" si="0"/>
        <v>11.261850000000001</v>
      </c>
      <c r="D44" s="11">
        <f t="shared" si="1"/>
        <v>0.78832950000000002</v>
      </c>
      <c r="E44" s="11">
        <f t="shared" si="2"/>
        <v>3.519328125E-2</v>
      </c>
      <c r="F44" s="11">
        <f>E44/Calculation!K$16*1000</f>
        <v>3.7100610772254551E-2</v>
      </c>
      <c r="G44" s="11">
        <f t="shared" si="3"/>
        <v>102.02993696299809</v>
      </c>
    </row>
    <row r="45" spans="1:7">
      <c r="A45" s="32">
        <v>20</v>
      </c>
      <c r="B45" s="11">
        <v>9330.2800000000007</v>
      </c>
      <c r="C45" s="33">
        <f t="shared" si="0"/>
        <v>9.3302800000000001</v>
      </c>
      <c r="D45" s="11">
        <f t="shared" si="1"/>
        <v>0.65311960000000002</v>
      </c>
      <c r="E45" s="11">
        <f t="shared" si="2"/>
        <v>2.9157125000000002E-2</v>
      </c>
      <c r="F45" s="11">
        <f>E45/Calculation!K$16*1000</f>
        <v>3.0737319949755256E-2</v>
      </c>
      <c r="G45" s="11">
        <f t="shared" si="3"/>
        <v>103.04750592382824</v>
      </c>
    </row>
    <row r="46" spans="1:7">
      <c r="A46" s="32">
        <v>20.5</v>
      </c>
      <c r="B46" s="11">
        <v>7770.28</v>
      </c>
      <c r="C46" s="33">
        <f t="shared" si="0"/>
        <v>7.7702799999999996</v>
      </c>
      <c r="D46" s="11">
        <f t="shared" si="1"/>
        <v>0.54391959999999995</v>
      </c>
      <c r="E46" s="11">
        <f t="shared" si="2"/>
        <v>2.4282124999999998E-2</v>
      </c>
      <c r="F46" s="11">
        <f>E46/Calculation!K$16*1000</f>
        <v>2.5598115218319731E-2</v>
      </c>
      <c r="G46" s="11">
        <f t="shared" si="3"/>
        <v>103.89253745134937</v>
      </c>
    </row>
    <row r="47" spans="1:7">
      <c r="A47" s="32">
        <v>21</v>
      </c>
      <c r="B47" s="11">
        <v>6369.69</v>
      </c>
      <c r="C47" s="33">
        <f t="shared" si="0"/>
        <v>6.3696899999999994</v>
      </c>
      <c r="D47" s="11">
        <f t="shared" si="1"/>
        <v>0.44587829999999995</v>
      </c>
      <c r="E47" s="11">
        <f t="shared" si="2"/>
        <v>1.990528125E-2</v>
      </c>
      <c r="F47" s="11">
        <f>E47/Calculation!K$16*1000</f>
        <v>2.0984064734472764E-2</v>
      </c>
      <c r="G47" s="11">
        <f t="shared" si="3"/>
        <v>104.59127015064125</v>
      </c>
    </row>
    <row r="48" spans="1:7">
      <c r="A48" s="32">
        <v>21.5</v>
      </c>
      <c r="B48" s="11">
        <v>5358.53</v>
      </c>
      <c r="C48" s="33">
        <f t="shared" si="0"/>
        <v>5.35853</v>
      </c>
      <c r="D48" s="11">
        <f t="shared" si="1"/>
        <v>0.37509710000000002</v>
      </c>
      <c r="E48" s="11">
        <f t="shared" si="2"/>
        <v>1.6745406250000001E-2</v>
      </c>
      <c r="F48" s="11">
        <f>E48/Calculation!K$16*1000</f>
        <v>1.7652937647140498E-2</v>
      </c>
      <c r="G48" s="11">
        <f t="shared" si="3"/>
        <v>105.17082518636545</v>
      </c>
    </row>
    <row r="49" spans="1:7">
      <c r="A49" s="32">
        <v>22</v>
      </c>
      <c r="B49" s="11">
        <v>4498.83</v>
      </c>
      <c r="C49" s="33">
        <f t="shared" si="0"/>
        <v>4.4988299999999999</v>
      </c>
      <c r="D49" s="11">
        <f t="shared" si="1"/>
        <v>0.31491809999999998</v>
      </c>
      <c r="E49" s="11">
        <f t="shared" si="2"/>
        <v>1.4058843749999999E-2</v>
      </c>
      <c r="F49" s="11">
        <f>E49/Calculation!K$16*1000</f>
        <v>1.4820774629438496E-2</v>
      </c>
      <c r="G49" s="11">
        <f t="shared" si="3"/>
        <v>105.65793087051414</v>
      </c>
    </row>
    <row r="50" spans="1:7">
      <c r="A50" s="32">
        <v>22.5</v>
      </c>
      <c r="B50" s="11">
        <v>3743.18</v>
      </c>
      <c r="C50" s="33">
        <f t="shared" si="0"/>
        <v>3.7431799999999997</v>
      </c>
      <c r="D50" s="11">
        <f t="shared" si="1"/>
        <v>0.26202259999999999</v>
      </c>
      <c r="E50" s="11">
        <f t="shared" si="2"/>
        <v>1.1697437500000001E-2</v>
      </c>
      <c r="F50" s="11">
        <f>E50/Calculation!K$16*1000</f>
        <v>1.2331389978599236E-2</v>
      </c>
      <c r="G50" s="11">
        <f t="shared" si="3"/>
        <v>106.0652133396347</v>
      </c>
    </row>
    <row r="51" spans="1:7">
      <c r="A51" s="32">
        <v>23</v>
      </c>
      <c r="B51" s="11">
        <v>3180.22</v>
      </c>
      <c r="C51" s="33">
        <f t="shared" si="0"/>
        <v>3.1802199999999998</v>
      </c>
      <c r="D51" s="11">
        <f t="shared" si="1"/>
        <v>0.22261539999999996</v>
      </c>
      <c r="E51" s="11">
        <f t="shared" si="2"/>
        <v>9.9381874999999991E-3</v>
      </c>
      <c r="F51" s="11">
        <f>E51/Calculation!K$16*1000</f>
        <v>1.0476795942952479E-2</v>
      </c>
      <c r="G51" s="11">
        <f t="shared" si="3"/>
        <v>106.40733612845797</v>
      </c>
    </row>
    <row r="52" spans="1:7">
      <c r="A52" s="32">
        <v>23.5</v>
      </c>
      <c r="B52" s="11">
        <v>2697.61</v>
      </c>
      <c r="C52" s="33">
        <f t="shared" si="0"/>
        <v>2.6976100000000001</v>
      </c>
      <c r="D52" s="11">
        <f t="shared" si="1"/>
        <v>0.18883269999999999</v>
      </c>
      <c r="E52" s="11">
        <f t="shared" si="2"/>
        <v>8.4300312500000009E-3</v>
      </c>
      <c r="F52" s="11">
        <f>E52/Calculation!K$16*1000</f>
        <v>8.8869038945947262E-3</v>
      </c>
      <c r="G52" s="11">
        <f t="shared" si="3"/>
        <v>106.69779162602117</v>
      </c>
    </row>
    <row r="53" spans="1:7">
      <c r="A53" s="32">
        <v>24</v>
      </c>
      <c r="B53" s="11">
        <v>2307.21</v>
      </c>
      <c r="C53" s="33">
        <f t="shared" si="0"/>
        <v>2.30721</v>
      </c>
      <c r="D53" s="11">
        <f t="shared" si="1"/>
        <v>0.1615047</v>
      </c>
      <c r="E53" s="11">
        <f t="shared" si="2"/>
        <v>7.2100312500000003E-3</v>
      </c>
      <c r="F53" s="11">
        <f>E53/Calculation!K$17*1000</f>
        <v>8.0602173562385072E-3</v>
      </c>
      <c r="G53" s="11">
        <f t="shared" si="3"/>
        <v>106.95199844478367</v>
      </c>
    </row>
    <row r="54" spans="1:7">
      <c r="A54" s="32">
        <v>24.5</v>
      </c>
      <c r="B54" s="11">
        <v>1996.5</v>
      </c>
      <c r="C54" s="33">
        <f t="shared" si="0"/>
        <v>1.9964999999999999</v>
      </c>
      <c r="D54" s="11">
        <f t="shared" si="1"/>
        <v>0.13975499999999999</v>
      </c>
      <c r="E54" s="11">
        <f t="shared" si="2"/>
        <v>6.2390624999999998E-3</v>
      </c>
      <c r="F54" s="11">
        <f>E54/Calculation!K$17*1000</f>
        <v>6.9747547694965703E-3</v>
      </c>
      <c r="G54" s="11">
        <f t="shared" si="3"/>
        <v>107.17752302666969</v>
      </c>
    </row>
    <row r="55" spans="1:7">
      <c r="A55" s="32">
        <v>25</v>
      </c>
      <c r="B55" s="11">
        <v>1700.41</v>
      </c>
      <c r="C55" s="33">
        <f t="shared" si="0"/>
        <v>1.70041</v>
      </c>
      <c r="D55" s="11">
        <f t="shared" si="1"/>
        <v>0.1190287</v>
      </c>
      <c r="E55" s="11">
        <f t="shared" si="2"/>
        <v>5.3137812500000008E-3</v>
      </c>
      <c r="F55" s="11">
        <f>E55/Calculation!K$17*1000</f>
        <v>5.9403670210867341E-3</v>
      </c>
      <c r="G55" s="11">
        <f t="shared" si="3"/>
        <v>107.37124985352844</v>
      </c>
    </row>
    <row r="56" spans="1:7">
      <c r="A56" s="32">
        <v>25.5</v>
      </c>
      <c r="B56" s="11">
        <v>1462.6</v>
      </c>
      <c r="C56" s="33">
        <f t="shared" si="0"/>
        <v>1.4625999999999999</v>
      </c>
      <c r="D56" s="11">
        <f t="shared" si="1"/>
        <v>0.10238199999999999</v>
      </c>
      <c r="E56" s="11">
        <f t="shared" si="2"/>
        <v>4.570625E-3</v>
      </c>
      <c r="F56" s="11">
        <f>E56/Calculation!K$17*1000</f>
        <v>5.109579927806503E-3</v>
      </c>
      <c r="G56" s="11">
        <f t="shared" si="3"/>
        <v>107.53699905776183</v>
      </c>
    </row>
    <row r="57" spans="1:7">
      <c r="A57" s="32">
        <v>26</v>
      </c>
      <c r="B57" s="11">
        <v>1299.1300000000001</v>
      </c>
      <c r="C57" s="33">
        <f t="shared" si="0"/>
        <v>1.2991300000000001</v>
      </c>
      <c r="D57" s="11">
        <f t="shared" si="1"/>
        <v>9.0939100000000009E-2</v>
      </c>
      <c r="E57" s="11">
        <f t="shared" si="2"/>
        <v>4.0597812500000009E-3</v>
      </c>
      <c r="F57" s="11">
        <f>E57/Calculation!K$17*1000</f>
        <v>4.5384989550193242E-3</v>
      </c>
      <c r="G57" s="11">
        <f t="shared" si="3"/>
        <v>107.68172024100421</v>
      </c>
    </row>
    <row r="58" spans="1:7">
      <c r="A58" s="32">
        <v>26.5</v>
      </c>
      <c r="B58" s="11">
        <v>1125.5999999999999</v>
      </c>
      <c r="C58" s="33">
        <f t="shared" si="0"/>
        <v>1.1255999999999999</v>
      </c>
      <c r="D58" s="11">
        <f t="shared" si="1"/>
        <v>7.8792000000000001E-2</v>
      </c>
      <c r="E58" s="11">
        <f t="shared" si="2"/>
        <v>3.5175000000000002E-3</v>
      </c>
      <c r="F58" s="11">
        <f>E58/Calculation!K$17*1000</f>
        <v>3.9322734628326264E-3</v>
      </c>
      <c r="G58" s="11">
        <f t="shared" si="3"/>
        <v>107.808781827272</v>
      </c>
    </row>
    <row r="59" spans="1:7">
      <c r="A59" s="32">
        <v>27</v>
      </c>
      <c r="B59" s="11">
        <v>1015.54</v>
      </c>
      <c r="C59" s="33">
        <f t="shared" si="0"/>
        <v>1.0155399999999999</v>
      </c>
      <c r="D59" s="11">
        <f t="shared" si="1"/>
        <v>7.1087799999999993E-2</v>
      </c>
      <c r="E59" s="11">
        <f t="shared" si="2"/>
        <v>3.1735624999999997E-3</v>
      </c>
      <c r="F59" s="11">
        <f>E59/Calculation!K$17*1000</f>
        <v>3.5477798440343329E-3</v>
      </c>
      <c r="G59" s="11">
        <f t="shared" si="3"/>
        <v>107.920982626875</v>
      </c>
    </row>
    <row r="60" spans="1:7">
      <c r="A60" s="32">
        <v>27.5</v>
      </c>
      <c r="B60" s="11">
        <v>929.02</v>
      </c>
      <c r="C60" s="33">
        <f t="shared" si="0"/>
        <v>0.92901999999999996</v>
      </c>
      <c r="D60" s="11">
        <f t="shared" si="1"/>
        <v>6.5031399999999989E-2</v>
      </c>
      <c r="E60" s="11">
        <f t="shared" si="2"/>
        <v>2.9031874999999995E-3</v>
      </c>
      <c r="F60" s="11">
        <f>E60/Calculation!K$17*1000</f>
        <v>3.2455230032345113E-3</v>
      </c>
      <c r="G60" s="11">
        <f t="shared" si="3"/>
        <v>108.02288216958404</v>
      </c>
    </row>
    <row r="61" spans="1:7">
      <c r="A61" s="32">
        <v>28</v>
      </c>
      <c r="B61" s="11">
        <v>827.89</v>
      </c>
      <c r="C61" s="33">
        <f t="shared" si="0"/>
        <v>0.82789000000000001</v>
      </c>
      <c r="D61" s="11">
        <f t="shared" si="1"/>
        <v>5.7952299999999998E-2</v>
      </c>
      <c r="E61" s="11">
        <f t="shared" si="2"/>
        <v>2.58715625E-3</v>
      </c>
      <c r="F61" s="11">
        <f>E61/Calculation!K$17*1000</f>
        <v>2.8922262590125297E-3</v>
      </c>
      <c r="G61" s="11">
        <f t="shared" si="3"/>
        <v>108.11494840851775</v>
      </c>
    </row>
    <row r="62" spans="1:7">
      <c r="A62" s="32">
        <v>28.5</v>
      </c>
      <c r="B62" s="11">
        <v>754.19</v>
      </c>
      <c r="C62" s="33">
        <f t="shared" si="0"/>
        <v>0.75419000000000003</v>
      </c>
      <c r="D62" s="11">
        <f t="shared" si="1"/>
        <v>5.2793300000000001E-2</v>
      </c>
      <c r="E62" s="11">
        <f t="shared" si="2"/>
        <v>2.35684375E-3</v>
      </c>
      <c r="F62" s="11">
        <f>E62/Calculation!K$17*1000</f>
        <v>2.6347559727556316E-3</v>
      </c>
      <c r="G62" s="11">
        <f t="shared" si="3"/>
        <v>108.19785314199427</v>
      </c>
    </row>
    <row r="63" spans="1:7">
      <c r="A63" s="32">
        <v>29</v>
      </c>
      <c r="B63" s="11">
        <v>681.46</v>
      </c>
      <c r="C63" s="33">
        <f t="shared" si="0"/>
        <v>0.68146000000000007</v>
      </c>
      <c r="D63" s="11">
        <f t="shared" si="1"/>
        <v>4.77022E-2</v>
      </c>
      <c r="E63" s="11">
        <f t="shared" si="2"/>
        <v>2.1295624999999999E-3</v>
      </c>
      <c r="F63" s="11">
        <f>E63/Calculation!K$17*1000</f>
        <v>2.380674372762901E-3</v>
      </c>
      <c r="G63" s="11">
        <f t="shared" si="3"/>
        <v>108.27308459717705</v>
      </c>
    </row>
    <row r="64" spans="1:7">
      <c r="A64" s="32">
        <v>29.5</v>
      </c>
      <c r="B64" s="11">
        <v>614.91</v>
      </c>
      <c r="C64" s="33">
        <f t="shared" si="0"/>
        <v>0.61490999999999996</v>
      </c>
      <c r="D64" s="11">
        <f t="shared" si="1"/>
        <v>4.3043699999999997E-2</v>
      </c>
      <c r="E64" s="11">
        <f t="shared" si="2"/>
        <v>1.9215937499999999E-3</v>
      </c>
      <c r="F64" s="11">
        <f>E64/Calculation!K$17*1000</f>
        <v>2.1481825471130157E-3</v>
      </c>
      <c r="G64" s="11">
        <f t="shared" si="3"/>
        <v>108.34101745097519</v>
      </c>
    </row>
    <row r="65" spans="1:7">
      <c r="A65" s="32">
        <v>30</v>
      </c>
      <c r="B65" s="11">
        <v>562.48</v>
      </c>
      <c r="C65" s="33">
        <f t="shared" si="0"/>
        <v>0.56247999999999998</v>
      </c>
      <c r="D65" s="11">
        <f t="shared" si="1"/>
        <v>3.9373599999999995E-2</v>
      </c>
      <c r="E65" s="11">
        <f t="shared" si="2"/>
        <v>1.75775E-3</v>
      </c>
      <c r="F65" s="11">
        <f>E65/Calculation!K$18*1000</f>
        <v>2.1033061769389757E-3</v>
      </c>
      <c r="G65" s="11">
        <f t="shared" si="3"/>
        <v>108.40478978183597</v>
      </c>
    </row>
    <row r="66" spans="1:7">
      <c r="A66" s="32">
        <v>30.5</v>
      </c>
      <c r="B66" s="11">
        <v>552.9</v>
      </c>
      <c r="C66" s="33">
        <f t="shared" si="0"/>
        <v>0.55289999999999995</v>
      </c>
      <c r="D66" s="11">
        <f t="shared" si="1"/>
        <v>3.8702999999999994E-2</v>
      </c>
      <c r="E66" s="11">
        <f t="shared" si="2"/>
        <v>1.7278125E-3</v>
      </c>
      <c r="F66" s="11">
        <f>E66/Calculation!K$18*1000</f>
        <v>2.0674832620352006E-3</v>
      </c>
      <c r="G66" s="11">
        <f t="shared" si="3"/>
        <v>108.46735162342058</v>
      </c>
    </row>
    <row r="67" spans="1:7">
      <c r="A67" s="32">
        <v>31</v>
      </c>
      <c r="B67" s="11">
        <v>519.62</v>
      </c>
      <c r="C67" s="33">
        <f t="shared" si="0"/>
        <v>0.51961999999999997</v>
      </c>
      <c r="D67" s="11">
        <f t="shared" si="1"/>
        <v>3.6373399999999993E-2</v>
      </c>
      <c r="E67" s="11">
        <f t="shared" si="2"/>
        <v>1.6238124999999998E-3</v>
      </c>
      <c r="F67" s="11">
        <f>E67/Calculation!K$18*1000</f>
        <v>1.9430378958559067E-3</v>
      </c>
      <c r="G67" s="11">
        <f t="shared" si="3"/>
        <v>108.52750944078895</v>
      </c>
    </row>
    <row r="68" spans="1:7">
      <c r="A68" s="32">
        <v>31.5</v>
      </c>
      <c r="B68" s="11">
        <v>472.06</v>
      </c>
      <c r="C68" s="33">
        <f t="shared" si="0"/>
        <v>0.47205999999999998</v>
      </c>
      <c r="D68" s="11">
        <f t="shared" si="1"/>
        <v>3.3044200000000003E-2</v>
      </c>
      <c r="E68" s="11">
        <f t="shared" si="2"/>
        <v>1.4751875000000002E-3</v>
      </c>
      <c r="F68" s="11">
        <f>E68/Calculation!K$18*1000</f>
        <v>1.765194698275162E-3</v>
      </c>
      <c r="G68" s="11">
        <f t="shared" si="3"/>
        <v>108.58313292970091</v>
      </c>
    </row>
    <row r="69" spans="1:7">
      <c r="A69" s="32">
        <v>32</v>
      </c>
      <c r="B69" s="11">
        <v>439.59</v>
      </c>
      <c r="C69" s="33">
        <f t="shared" si="0"/>
        <v>0.43958999999999998</v>
      </c>
      <c r="D69" s="11">
        <f t="shared" si="1"/>
        <v>3.0771299999999998E-2</v>
      </c>
      <c r="E69" s="11">
        <f t="shared" si="2"/>
        <v>1.3737187499999999E-3</v>
      </c>
      <c r="F69" s="11">
        <f>E69/Calculation!K$18*1000</f>
        <v>1.6437782006837654E-3</v>
      </c>
      <c r="G69" s="11">
        <f t="shared" si="3"/>
        <v>108.63426752318529</v>
      </c>
    </row>
    <row r="70" spans="1:7">
      <c r="A70" s="32">
        <v>32.5</v>
      </c>
      <c r="B70" s="11">
        <v>410.7</v>
      </c>
      <c r="C70" s="33">
        <f t="shared" ref="C70:C101" si="4">B70/1000</f>
        <v>0.41070000000000001</v>
      </c>
      <c r="D70" s="11">
        <f t="shared" ref="D70:D101" si="5">C70/1000*$B$1</f>
        <v>2.8749E-2</v>
      </c>
      <c r="E70" s="11">
        <f t="shared" ref="E70:E101" si="6">D70/22.4</f>
        <v>1.2834375000000001E-3</v>
      </c>
      <c r="F70" s="11">
        <f>E70/Calculation!K$18*1000</f>
        <v>1.535748554382089E-3</v>
      </c>
      <c r="G70" s="11">
        <f t="shared" si="3"/>
        <v>108.68196042451127</v>
      </c>
    </row>
    <row r="71" spans="1:7">
      <c r="A71" s="32">
        <v>33</v>
      </c>
      <c r="B71" s="11">
        <v>391.22</v>
      </c>
      <c r="C71" s="33">
        <f t="shared" si="4"/>
        <v>0.39122000000000001</v>
      </c>
      <c r="D71" s="11">
        <f t="shared" si="5"/>
        <v>2.7385400000000001E-2</v>
      </c>
      <c r="E71" s="11">
        <f t="shared" si="6"/>
        <v>1.2225625000000001E-3</v>
      </c>
      <c r="F71" s="11">
        <f>E71/Calculation!K$18*1000</f>
        <v>1.4629061345151227E-3</v>
      </c>
      <c r="G71" s="11">
        <f t="shared" ref="G71:G101" si="7">G70+(F71+F70)/2*30</f>
        <v>108.72694024484473</v>
      </c>
    </row>
    <row r="72" spans="1:7">
      <c r="A72" s="32">
        <v>33.5</v>
      </c>
      <c r="B72" s="11">
        <v>365.41</v>
      </c>
      <c r="C72" s="33">
        <f t="shared" si="4"/>
        <v>0.36541000000000001</v>
      </c>
      <c r="D72" s="11">
        <f t="shared" si="5"/>
        <v>2.5578699999999999E-2</v>
      </c>
      <c r="E72" s="11">
        <f t="shared" si="6"/>
        <v>1.1419062500000001E-3</v>
      </c>
      <c r="F72" s="11">
        <f>E72/Calculation!K$18*1000</f>
        <v>1.366393667535328E-3</v>
      </c>
      <c r="G72" s="11">
        <f t="shared" si="7"/>
        <v>108.76937974187548</v>
      </c>
    </row>
    <row r="73" spans="1:7">
      <c r="A73" s="32">
        <v>34</v>
      </c>
      <c r="B73" s="11">
        <v>348.04</v>
      </c>
      <c r="C73" s="33">
        <f t="shared" si="4"/>
        <v>0.34804000000000002</v>
      </c>
      <c r="D73" s="11">
        <f t="shared" si="5"/>
        <v>2.4362800000000004E-2</v>
      </c>
      <c r="E73" s="11">
        <f t="shared" si="6"/>
        <v>1.0876250000000003E-3</v>
      </c>
      <c r="F73" s="11">
        <f>E73/Calculation!K$18*1000</f>
        <v>1.3014412633726377E-3</v>
      </c>
      <c r="G73" s="11">
        <f t="shared" si="7"/>
        <v>108.8093972658391</v>
      </c>
    </row>
    <row r="74" spans="1:7">
      <c r="A74" s="32">
        <v>34.5</v>
      </c>
      <c r="B74" s="11">
        <v>324.33999999999997</v>
      </c>
      <c r="C74" s="33">
        <f t="shared" si="4"/>
        <v>0.32433999999999996</v>
      </c>
      <c r="D74" s="11">
        <f t="shared" si="5"/>
        <v>2.2703799999999996E-2</v>
      </c>
      <c r="E74" s="11">
        <f t="shared" si="6"/>
        <v>1.0135624999999999E-3</v>
      </c>
      <c r="F74" s="11">
        <f>E74/Calculation!K$18*1000</f>
        <v>1.2128188120971188E-3</v>
      </c>
      <c r="G74" s="11">
        <f t="shared" si="7"/>
        <v>108.84711116697115</v>
      </c>
    </row>
    <row r="75" spans="1:7">
      <c r="A75" s="32">
        <v>35</v>
      </c>
      <c r="B75" s="11">
        <v>291.70999999999998</v>
      </c>
      <c r="C75" s="33">
        <f t="shared" si="4"/>
        <v>0.29170999999999997</v>
      </c>
      <c r="D75" s="11">
        <f t="shared" si="5"/>
        <v>2.0419699999999999E-2</v>
      </c>
      <c r="E75" s="11">
        <f t="shared" si="6"/>
        <v>9.1159374999999997E-4</v>
      </c>
      <c r="F75" s="11">
        <f>E75/Calculation!K$18*1000</f>
        <v>1.0908040194760145E-3</v>
      </c>
      <c r="G75" s="11">
        <f t="shared" si="7"/>
        <v>108.88166550944474</v>
      </c>
    </row>
    <row r="76" spans="1:7">
      <c r="A76" s="32">
        <v>35.5</v>
      </c>
      <c r="B76" s="11">
        <v>268.33</v>
      </c>
      <c r="C76" s="33">
        <f t="shared" si="4"/>
        <v>0.26832999999999996</v>
      </c>
      <c r="D76" s="11">
        <f t="shared" si="5"/>
        <v>1.8783099999999997E-2</v>
      </c>
      <c r="E76" s="11">
        <f t="shared" si="6"/>
        <v>8.3853124999999987E-4</v>
      </c>
      <c r="F76" s="11">
        <f>E76/Calculation!K$18*1000</f>
        <v>1.003378158259912E-3</v>
      </c>
      <c r="G76" s="11">
        <f t="shared" si="7"/>
        <v>108.91307824211079</v>
      </c>
    </row>
    <row r="77" spans="1:7">
      <c r="A77" s="32">
        <v>36</v>
      </c>
      <c r="B77" s="11">
        <v>264.44</v>
      </c>
      <c r="C77" s="33">
        <f t="shared" si="4"/>
        <v>0.26444000000000001</v>
      </c>
      <c r="D77" s="11">
        <f t="shared" si="5"/>
        <v>1.8510800000000001E-2</v>
      </c>
      <c r="E77" s="11">
        <f t="shared" si="6"/>
        <v>8.2637500000000007E-4</v>
      </c>
      <c r="F77" s="11">
        <f>E77/Calculation!K$18*1000</f>
        <v>9.8883211035013293E-4</v>
      </c>
      <c r="G77" s="11">
        <f t="shared" si="7"/>
        <v>108.94296139613994</v>
      </c>
    </row>
    <row r="78" spans="1:7">
      <c r="A78" s="32">
        <v>36.5</v>
      </c>
      <c r="B78" s="11">
        <v>255.51</v>
      </c>
      <c r="C78" s="33">
        <f t="shared" si="4"/>
        <v>0.25551000000000001</v>
      </c>
      <c r="D78" s="11">
        <f t="shared" si="5"/>
        <v>1.7885700000000001E-2</v>
      </c>
      <c r="E78" s="11">
        <f t="shared" si="6"/>
        <v>7.9846875000000013E-4</v>
      </c>
      <c r="F78" s="11">
        <f>E78/Calculation!K$18*1000</f>
        <v>9.5543976900454742E-4</v>
      </c>
      <c r="G78" s="11">
        <f t="shared" si="7"/>
        <v>108.97212547433026</v>
      </c>
    </row>
    <row r="79" spans="1:7">
      <c r="A79" s="32">
        <v>37</v>
      </c>
      <c r="B79" s="11">
        <v>248.2</v>
      </c>
      <c r="C79" s="33">
        <f t="shared" si="4"/>
        <v>0.24819999999999998</v>
      </c>
      <c r="D79" s="11">
        <f t="shared" si="5"/>
        <v>1.7373999999999997E-2</v>
      </c>
      <c r="E79" s="11">
        <f t="shared" si="6"/>
        <v>7.7562499999999995E-4</v>
      </c>
      <c r="F79" s="11">
        <f>E79/Calculation!K$18*1000</f>
        <v>9.2810516483475634E-4</v>
      </c>
      <c r="G79" s="11">
        <f t="shared" si="7"/>
        <v>109.00037864833784</v>
      </c>
    </row>
    <row r="80" spans="1:7">
      <c r="A80" s="32">
        <v>37.5</v>
      </c>
      <c r="B80" s="11">
        <v>226.13</v>
      </c>
      <c r="C80" s="33">
        <f t="shared" si="4"/>
        <v>0.22613</v>
      </c>
      <c r="D80" s="11">
        <f t="shared" si="5"/>
        <v>1.5829099999999999E-2</v>
      </c>
      <c r="E80" s="11">
        <f t="shared" si="6"/>
        <v>7.0665625000000004E-4</v>
      </c>
      <c r="F80" s="11">
        <f>E80/Calculation!K$18*1000</f>
        <v>8.455778441743896E-4</v>
      </c>
      <c r="G80" s="11">
        <f t="shared" si="7"/>
        <v>109.02698389347299</v>
      </c>
    </row>
    <row r="81" spans="1:7">
      <c r="A81" s="32">
        <v>38</v>
      </c>
      <c r="B81" s="11">
        <v>206</v>
      </c>
      <c r="C81" s="33">
        <f t="shared" si="4"/>
        <v>0.20599999999999999</v>
      </c>
      <c r="D81" s="11">
        <f t="shared" si="5"/>
        <v>1.4419999999999999E-2</v>
      </c>
      <c r="E81" s="11">
        <f t="shared" si="6"/>
        <v>6.4375000000000001E-4</v>
      </c>
      <c r="F81" s="11">
        <f>E81/Calculation!K$18*1000</f>
        <v>7.7030485074923373E-4</v>
      </c>
      <c r="G81" s="11">
        <f t="shared" si="7"/>
        <v>109.05122213389684</v>
      </c>
    </row>
    <row r="82" spans="1:7">
      <c r="A82" s="32">
        <v>38.5</v>
      </c>
      <c r="B82" s="11">
        <v>197.56</v>
      </c>
      <c r="C82" s="33">
        <f t="shared" si="4"/>
        <v>0.19756000000000001</v>
      </c>
      <c r="D82" s="11">
        <f t="shared" si="5"/>
        <v>1.3829200000000002E-2</v>
      </c>
      <c r="E82" s="11">
        <f t="shared" si="6"/>
        <v>6.1737500000000009E-4</v>
      </c>
      <c r="F82" s="11">
        <f>E82/Calculation!K$18*1000</f>
        <v>7.3874478793212932E-4</v>
      </c>
      <c r="G82" s="11">
        <f t="shared" si="7"/>
        <v>109.07385787847706</v>
      </c>
    </row>
    <row r="83" spans="1:7">
      <c r="A83" s="32">
        <v>39</v>
      </c>
      <c r="B83" s="11">
        <v>181.49</v>
      </c>
      <c r="C83" s="33">
        <f t="shared" si="4"/>
        <v>0.18149000000000001</v>
      </c>
      <c r="D83" s="11">
        <f t="shared" si="5"/>
        <v>1.2704300000000002E-2</v>
      </c>
      <c r="E83" s="11">
        <f t="shared" si="6"/>
        <v>5.6715625000000006E-4</v>
      </c>
      <c r="F83" s="11">
        <f>E83/Calculation!K$18*1000</f>
        <v>6.7865353088581771E-4</v>
      </c>
      <c r="G83" s="11">
        <f t="shared" si="7"/>
        <v>109.09511885325932</v>
      </c>
    </row>
    <row r="84" spans="1:7">
      <c r="A84" s="32">
        <v>39.5</v>
      </c>
      <c r="B84" s="11">
        <v>165.9</v>
      </c>
      <c r="C84" s="33">
        <f t="shared" si="4"/>
        <v>0.16589999999999999</v>
      </c>
      <c r="D84" s="11">
        <f t="shared" si="5"/>
        <v>1.1613E-2</v>
      </c>
      <c r="E84" s="11">
        <f t="shared" si="6"/>
        <v>5.1843750000000002E-4</v>
      </c>
      <c r="F84" s="11">
        <f>E84/Calculation!K$18*1000</f>
        <v>6.2035715892863055E-4</v>
      </c>
      <c r="G84" s="11">
        <f t="shared" si="7"/>
        <v>109.11460401360654</v>
      </c>
    </row>
    <row r="85" spans="1:7">
      <c r="A85" s="32">
        <v>40</v>
      </c>
      <c r="B85" s="11">
        <v>174.34</v>
      </c>
      <c r="C85" s="33">
        <f t="shared" si="4"/>
        <v>0.17433999999999999</v>
      </c>
      <c r="D85" s="11">
        <f t="shared" si="5"/>
        <v>1.2203799999999999E-2</v>
      </c>
      <c r="E85" s="11">
        <f t="shared" si="6"/>
        <v>5.4481249999999994E-4</v>
      </c>
      <c r="F85" s="11">
        <f>E85/Calculation!K$18*1000</f>
        <v>6.5191722174573496E-4</v>
      </c>
      <c r="G85" s="11">
        <f t="shared" si="7"/>
        <v>109.13368812931665</v>
      </c>
    </row>
    <row r="86" spans="1:7">
      <c r="A86" s="32">
        <v>40.5</v>
      </c>
      <c r="B86" s="11">
        <v>172.88</v>
      </c>
      <c r="C86" s="33">
        <f t="shared" si="4"/>
        <v>0.17288000000000001</v>
      </c>
      <c r="D86" s="11">
        <f t="shared" si="5"/>
        <v>1.2101600000000001E-2</v>
      </c>
      <c r="E86" s="11">
        <f t="shared" si="6"/>
        <v>5.4025000000000004E-4</v>
      </c>
      <c r="F86" s="11">
        <f>E86/Calculation!K$18*1000</f>
        <v>6.4645777959964831E-4</v>
      </c>
      <c r="G86" s="11">
        <f t="shared" si="7"/>
        <v>109.15316375433683</v>
      </c>
    </row>
    <row r="87" spans="1:7">
      <c r="A87" s="32">
        <v>41</v>
      </c>
      <c r="B87" s="11">
        <v>149.34</v>
      </c>
      <c r="C87" s="33">
        <f t="shared" si="4"/>
        <v>0.14934</v>
      </c>
      <c r="D87" s="11">
        <f t="shared" si="5"/>
        <v>1.0453800000000001E-2</v>
      </c>
      <c r="E87" s="11">
        <f t="shared" si="6"/>
        <v>4.6668750000000009E-4</v>
      </c>
      <c r="F87" s="11">
        <f>E87/Calculation!K$18*1000</f>
        <v>5.5843362335383784E-4</v>
      </c>
      <c r="G87" s="11">
        <f t="shared" si="7"/>
        <v>109.17123712538114</v>
      </c>
    </row>
    <row r="88" spans="1:7">
      <c r="A88" s="32">
        <v>41.5</v>
      </c>
      <c r="B88" s="11">
        <v>0</v>
      </c>
      <c r="C88" s="33">
        <f t="shared" si="4"/>
        <v>0</v>
      </c>
      <c r="D88" s="11">
        <f t="shared" si="5"/>
        <v>0</v>
      </c>
      <c r="E88" s="11">
        <f t="shared" si="6"/>
        <v>0</v>
      </c>
      <c r="F88" s="11">
        <f>E88/Calculation!K$18*1000</f>
        <v>0</v>
      </c>
      <c r="G88" s="11">
        <f t="shared" si="7"/>
        <v>109.17961362973145</v>
      </c>
    </row>
    <row r="89" spans="1:7">
      <c r="A89" s="32">
        <v>42</v>
      </c>
      <c r="B89" s="11">
        <v>0</v>
      </c>
      <c r="C89" s="33">
        <f t="shared" si="4"/>
        <v>0</v>
      </c>
      <c r="D89" s="11">
        <f t="shared" si="5"/>
        <v>0</v>
      </c>
      <c r="E89" s="11">
        <f t="shared" si="6"/>
        <v>0</v>
      </c>
      <c r="F89" s="11">
        <f>E89/Calculation!K$18*1000</f>
        <v>0</v>
      </c>
      <c r="G89" s="11">
        <f t="shared" si="7"/>
        <v>109.17961362973145</v>
      </c>
    </row>
    <row r="90" spans="1:7">
      <c r="A90" s="32">
        <v>42.5</v>
      </c>
      <c r="B90" s="11">
        <v>0</v>
      </c>
      <c r="C90" s="33">
        <f t="shared" si="4"/>
        <v>0</v>
      </c>
      <c r="D90" s="11">
        <f t="shared" si="5"/>
        <v>0</v>
      </c>
      <c r="E90" s="11">
        <f t="shared" si="6"/>
        <v>0</v>
      </c>
      <c r="F90" s="11">
        <f>E90/Calculation!K$18*1000</f>
        <v>0</v>
      </c>
      <c r="G90" s="11">
        <f t="shared" si="7"/>
        <v>109.17961362973145</v>
      </c>
    </row>
    <row r="91" spans="1:7">
      <c r="A91" s="32">
        <v>43</v>
      </c>
      <c r="B91" s="11">
        <v>0</v>
      </c>
      <c r="C91" s="33">
        <f t="shared" si="4"/>
        <v>0</v>
      </c>
      <c r="D91" s="11">
        <f t="shared" si="5"/>
        <v>0</v>
      </c>
      <c r="E91" s="11">
        <f t="shared" si="6"/>
        <v>0</v>
      </c>
      <c r="F91" s="11">
        <f>E91/Calculation!K$18*1000</f>
        <v>0</v>
      </c>
      <c r="G91" s="11">
        <f t="shared" si="7"/>
        <v>109.17961362973145</v>
      </c>
    </row>
    <row r="92" spans="1:7">
      <c r="A92" s="32">
        <v>43.5</v>
      </c>
      <c r="B92" s="11">
        <v>0</v>
      </c>
      <c r="C92" s="33">
        <f t="shared" si="4"/>
        <v>0</v>
      </c>
      <c r="D92" s="11">
        <f t="shared" si="5"/>
        <v>0</v>
      </c>
      <c r="E92" s="11">
        <f t="shared" si="6"/>
        <v>0</v>
      </c>
      <c r="F92" s="11">
        <f>E92/Calculation!K$18*1000</f>
        <v>0</v>
      </c>
      <c r="G92" s="11">
        <f t="shared" si="7"/>
        <v>109.17961362973145</v>
      </c>
    </row>
    <row r="93" spans="1:7">
      <c r="A93" s="32">
        <v>44</v>
      </c>
      <c r="B93" s="11">
        <v>0</v>
      </c>
      <c r="C93" s="33">
        <f t="shared" si="4"/>
        <v>0</v>
      </c>
      <c r="D93" s="11">
        <f t="shared" si="5"/>
        <v>0</v>
      </c>
      <c r="E93" s="11">
        <f t="shared" si="6"/>
        <v>0</v>
      </c>
      <c r="F93" s="11">
        <f>E93/Calculation!K$18*1000</f>
        <v>0</v>
      </c>
      <c r="G93" s="11">
        <f t="shared" si="7"/>
        <v>109.17961362973145</v>
      </c>
    </row>
    <row r="94" spans="1:7">
      <c r="A94" s="32">
        <v>44.5</v>
      </c>
      <c r="B94" s="11">
        <v>0</v>
      </c>
      <c r="C94" s="33">
        <f t="shared" si="4"/>
        <v>0</v>
      </c>
      <c r="D94" s="11">
        <f t="shared" si="5"/>
        <v>0</v>
      </c>
      <c r="E94" s="11">
        <f t="shared" si="6"/>
        <v>0</v>
      </c>
      <c r="F94" s="11">
        <f>E94/Calculation!K$18*1000</f>
        <v>0</v>
      </c>
      <c r="G94" s="11">
        <f t="shared" si="7"/>
        <v>109.17961362973145</v>
      </c>
    </row>
    <row r="95" spans="1:7">
      <c r="A95" s="32">
        <v>45</v>
      </c>
      <c r="B95" s="11">
        <v>0</v>
      </c>
      <c r="C95" s="33">
        <f t="shared" si="4"/>
        <v>0</v>
      </c>
      <c r="D95" s="11">
        <f t="shared" si="5"/>
        <v>0</v>
      </c>
      <c r="E95" s="11">
        <f t="shared" si="6"/>
        <v>0</v>
      </c>
      <c r="F95" s="11">
        <f>E95/Calculation!K$18*1000</f>
        <v>0</v>
      </c>
      <c r="G95" s="11">
        <f t="shared" si="7"/>
        <v>109.17961362973145</v>
      </c>
    </row>
    <row r="96" spans="1:7">
      <c r="A96" s="32">
        <v>45.5</v>
      </c>
      <c r="B96" s="11">
        <v>0</v>
      </c>
      <c r="C96" s="33">
        <f t="shared" si="4"/>
        <v>0</v>
      </c>
      <c r="D96" s="11">
        <f t="shared" si="5"/>
        <v>0</v>
      </c>
      <c r="E96" s="11">
        <f t="shared" si="6"/>
        <v>0</v>
      </c>
      <c r="F96" s="11">
        <f>E96/Calculation!K$18*1000</f>
        <v>0</v>
      </c>
      <c r="G96" s="11">
        <f t="shared" si="7"/>
        <v>109.17961362973145</v>
      </c>
    </row>
    <row r="97" spans="1:7">
      <c r="A97" s="32">
        <v>46</v>
      </c>
      <c r="B97" s="11">
        <v>0</v>
      </c>
      <c r="C97" s="33">
        <f t="shared" si="4"/>
        <v>0</v>
      </c>
      <c r="D97" s="11">
        <f t="shared" si="5"/>
        <v>0</v>
      </c>
      <c r="E97" s="11">
        <f t="shared" si="6"/>
        <v>0</v>
      </c>
      <c r="F97" s="11">
        <f>E97/Calculation!K$18*1000</f>
        <v>0</v>
      </c>
      <c r="G97" s="11">
        <f t="shared" si="7"/>
        <v>109.17961362973145</v>
      </c>
    </row>
    <row r="98" spans="1:7">
      <c r="A98" s="32">
        <v>46.5</v>
      </c>
      <c r="B98" s="11">
        <v>0</v>
      </c>
      <c r="C98" s="33">
        <f t="shared" si="4"/>
        <v>0</v>
      </c>
      <c r="D98" s="11">
        <f t="shared" si="5"/>
        <v>0</v>
      </c>
      <c r="E98" s="11">
        <f t="shared" si="6"/>
        <v>0</v>
      </c>
      <c r="F98" s="11">
        <f>E98/Calculation!K$18*1000</f>
        <v>0</v>
      </c>
      <c r="G98" s="11">
        <f t="shared" si="7"/>
        <v>109.17961362973145</v>
      </c>
    </row>
    <row r="99" spans="1:7">
      <c r="A99" s="32">
        <v>47</v>
      </c>
      <c r="B99" s="11">
        <v>0</v>
      </c>
      <c r="C99" s="33">
        <f t="shared" si="4"/>
        <v>0</v>
      </c>
      <c r="D99" s="11">
        <f t="shared" si="5"/>
        <v>0</v>
      </c>
      <c r="E99" s="11">
        <f t="shared" si="6"/>
        <v>0</v>
      </c>
      <c r="F99" s="11">
        <f>E99/Calculation!K$18*1000</f>
        <v>0</v>
      </c>
      <c r="G99" s="11">
        <f t="shared" si="7"/>
        <v>109.17961362973145</v>
      </c>
    </row>
    <row r="100" spans="1:7">
      <c r="A100" s="32">
        <v>47.5</v>
      </c>
      <c r="B100" s="11">
        <v>0</v>
      </c>
      <c r="C100" s="33">
        <f t="shared" si="4"/>
        <v>0</v>
      </c>
      <c r="D100" s="11">
        <f t="shared" si="5"/>
        <v>0</v>
      </c>
      <c r="E100" s="11">
        <f t="shared" si="6"/>
        <v>0</v>
      </c>
      <c r="F100" s="11">
        <f>E100/Calculation!K$18*1000</f>
        <v>0</v>
      </c>
      <c r="G100" s="11">
        <f t="shared" si="7"/>
        <v>109.17961362973145</v>
      </c>
    </row>
    <row r="101" spans="1:7">
      <c r="A101" s="32">
        <v>48</v>
      </c>
      <c r="B101" s="11">
        <v>0</v>
      </c>
      <c r="C101" s="33">
        <f t="shared" si="4"/>
        <v>0</v>
      </c>
      <c r="D101" s="11">
        <f t="shared" si="5"/>
        <v>0</v>
      </c>
      <c r="E101" s="11">
        <f t="shared" si="6"/>
        <v>0</v>
      </c>
      <c r="F101" s="11">
        <f>E101/Calculation!K$19*1000</f>
        <v>0</v>
      </c>
      <c r="G101" s="11">
        <f t="shared" si="7"/>
        <v>109.17961362973145</v>
      </c>
    </row>
    <row r="102" spans="1:7">
      <c r="B102" s="9"/>
    </row>
    <row r="103" spans="1:7">
      <c r="B103" s="9"/>
    </row>
    <row r="106" spans="1:7">
      <c r="A106" s="91" t="s">
        <v>5</v>
      </c>
      <c r="B106" s="91" t="s">
        <v>36</v>
      </c>
      <c r="C106" s="91"/>
      <c r="D106" s="91" t="s">
        <v>51</v>
      </c>
      <c r="E106" s="91"/>
      <c r="F106" s="91"/>
      <c r="G106" s="79" t="s">
        <v>52</v>
      </c>
    </row>
    <row r="107" spans="1:7">
      <c r="A107" s="91"/>
      <c r="B107" s="79" t="s">
        <v>53</v>
      </c>
      <c r="C107" s="79" t="s">
        <v>54</v>
      </c>
      <c r="D107" s="79" t="s">
        <v>55</v>
      </c>
      <c r="E107" s="79" t="s">
        <v>56</v>
      </c>
      <c r="F107" s="79" t="s">
        <v>57</v>
      </c>
      <c r="G107" s="79" t="s">
        <v>58</v>
      </c>
    </row>
    <row r="108" spans="1:7">
      <c r="A108" s="32">
        <v>0</v>
      </c>
      <c r="B108" s="11">
        <v>0</v>
      </c>
      <c r="C108" s="33">
        <f>B108/1000</f>
        <v>0</v>
      </c>
      <c r="D108" s="11">
        <f>C108/1000*$B$1</f>
        <v>0</v>
      </c>
      <c r="E108" s="11">
        <f>D108/22.4</f>
        <v>0</v>
      </c>
      <c r="F108" s="11">
        <f>E108/Calculation!K$4*1000</f>
        <v>0</v>
      </c>
      <c r="G108" s="11">
        <f>(0+F108)/2*30</f>
        <v>0</v>
      </c>
    </row>
    <row r="109" spans="1:7">
      <c r="A109" s="32">
        <v>0.5</v>
      </c>
      <c r="B109" s="11">
        <v>2083.31</v>
      </c>
      <c r="C109" s="33">
        <f t="shared" ref="C109:C172" si="8">B109/1000</f>
        <v>2.08331</v>
      </c>
      <c r="D109" s="11">
        <f t="shared" ref="D109:D172" si="9">C109/1000*$B$1</f>
        <v>0.14583170000000001</v>
      </c>
      <c r="E109" s="11">
        <f t="shared" ref="E109:E172" si="10">D109/22.4</f>
        <v>6.5103437500000005E-3</v>
      </c>
      <c r="F109" s="11">
        <f>E109/Calculation!K$4*1000</f>
        <v>4.4227878736413043E-3</v>
      </c>
      <c r="G109" s="11">
        <f>G108+(F109+F108)/2*30</f>
        <v>6.634181810461956E-2</v>
      </c>
    </row>
    <row r="110" spans="1:7">
      <c r="A110" s="32">
        <v>1</v>
      </c>
      <c r="B110" s="11">
        <v>2523.31</v>
      </c>
      <c r="C110" s="33">
        <f t="shared" si="8"/>
        <v>2.5233099999999999</v>
      </c>
      <c r="D110" s="11">
        <f t="shared" si="9"/>
        <v>0.1766317</v>
      </c>
      <c r="E110" s="11">
        <f t="shared" si="10"/>
        <v>7.8853437500000009E-3</v>
      </c>
      <c r="F110" s="11">
        <f>E110/Calculation!K$4*1000</f>
        <v>5.3568911345108702E-3</v>
      </c>
      <c r="G110" s="11">
        <f>G109+(F110+F109)/2*30</f>
        <v>0.21303700322690217</v>
      </c>
    </row>
    <row r="111" spans="1:7">
      <c r="A111" s="32">
        <v>1.5</v>
      </c>
      <c r="B111" s="11">
        <v>3101.46</v>
      </c>
      <c r="C111" s="33">
        <f t="shared" si="8"/>
        <v>3.1014599999999999</v>
      </c>
      <c r="D111" s="11">
        <f t="shared" si="9"/>
        <v>0.2171022</v>
      </c>
      <c r="E111" s="11">
        <f t="shared" si="10"/>
        <v>9.692062500000001E-3</v>
      </c>
      <c r="F111" s="11">
        <f>E111/Calculation!K$4*1000</f>
        <v>6.5842815896739139E-3</v>
      </c>
      <c r="G111" s="11">
        <f t="shared" ref="G111:G174" si="11">G110+(F111+F110)/2*30</f>
        <v>0.3921545940896739</v>
      </c>
    </row>
    <row r="112" spans="1:7">
      <c r="A112" s="32">
        <v>2</v>
      </c>
      <c r="B112" s="11">
        <v>3690.98</v>
      </c>
      <c r="C112" s="33">
        <f t="shared" si="8"/>
        <v>3.6909800000000001</v>
      </c>
      <c r="D112" s="11">
        <f t="shared" si="9"/>
        <v>0.2583686</v>
      </c>
      <c r="E112" s="11">
        <f t="shared" si="10"/>
        <v>1.1534312500000001E-2</v>
      </c>
      <c r="F112" s="11">
        <f>E112/Calculation!K$5*1000</f>
        <v>8.099753200085812E-3</v>
      </c>
      <c r="G112" s="11">
        <f t="shared" si="11"/>
        <v>0.61241511593606979</v>
      </c>
    </row>
    <row r="113" spans="1:7">
      <c r="A113" s="32">
        <v>2.5</v>
      </c>
      <c r="B113" s="11">
        <v>4023.79</v>
      </c>
      <c r="C113" s="33">
        <f t="shared" si="8"/>
        <v>4.02379</v>
      </c>
      <c r="D113" s="11">
        <f t="shared" si="9"/>
        <v>0.28166530000000001</v>
      </c>
      <c r="E113" s="11">
        <f t="shared" si="10"/>
        <v>1.2574343750000001E-2</v>
      </c>
      <c r="F113" s="11">
        <f>E113/Calculation!K$5*1000</f>
        <v>8.8300955109410773E-3</v>
      </c>
      <c r="G113" s="11">
        <f t="shared" si="11"/>
        <v>0.86636284660147311</v>
      </c>
    </row>
    <row r="114" spans="1:7">
      <c r="A114" s="32">
        <v>3</v>
      </c>
      <c r="B114" s="11">
        <v>4760.1499999999996</v>
      </c>
      <c r="C114" s="33">
        <f t="shared" si="8"/>
        <v>4.7601499999999994</v>
      </c>
      <c r="D114" s="11">
        <f t="shared" si="9"/>
        <v>0.33321049999999997</v>
      </c>
      <c r="E114" s="11">
        <f t="shared" si="10"/>
        <v>1.4875468749999999E-2</v>
      </c>
      <c r="F114" s="11">
        <f>E114/Calculation!K$5*1000</f>
        <v>1.0446017099899885E-2</v>
      </c>
      <c r="G114" s="11">
        <f t="shared" si="11"/>
        <v>1.1555045357640876</v>
      </c>
    </row>
    <row r="115" spans="1:7">
      <c r="A115" s="32">
        <v>3.5</v>
      </c>
      <c r="B115" s="11">
        <v>6399.26</v>
      </c>
      <c r="C115" s="33">
        <f t="shared" si="8"/>
        <v>6.3992599999999999</v>
      </c>
      <c r="D115" s="11">
        <f t="shared" si="9"/>
        <v>0.44794820000000002</v>
      </c>
      <c r="E115" s="11">
        <f t="shared" si="10"/>
        <v>1.9997687500000003E-2</v>
      </c>
      <c r="F115" s="11">
        <f>E115/Calculation!K$6*1000</f>
        <v>1.4531804845947946E-2</v>
      </c>
      <c r="G115" s="11">
        <f t="shared" si="11"/>
        <v>1.530171864951805</v>
      </c>
    </row>
    <row r="116" spans="1:7">
      <c r="A116" s="32">
        <v>4</v>
      </c>
      <c r="B116" s="11">
        <v>8561.51</v>
      </c>
      <c r="C116" s="33">
        <f t="shared" si="8"/>
        <v>8.5615100000000002</v>
      </c>
      <c r="D116" s="11">
        <f t="shared" si="9"/>
        <v>0.59930569999999994</v>
      </c>
      <c r="E116" s="11">
        <f t="shared" si="10"/>
        <v>2.675471875E-2</v>
      </c>
      <c r="F116" s="11">
        <f>E116/Calculation!K$6*1000</f>
        <v>1.9441965556428679E-2</v>
      </c>
      <c r="G116" s="11">
        <f t="shared" si="11"/>
        <v>2.0397784209874543</v>
      </c>
    </row>
    <row r="117" spans="1:7">
      <c r="A117" s="32">
        <v>4.5</v>
      </c>
      <c r="B117" s="11">
        <v>11593.57</v>
      </c>
      <c r="C117" s="33">
        <f t="shared" si="8"/>
        <v>11.59357</v>
      </c>
      <c r="D117" s="11">
        <f t="shared" si="9"/>
        <v>0.81154989999999994</v>
      </c>
      <c r="E117" s="11">
        <f t="shared" si="10"/>
        <v>3.6229906249999999E-2</v>
      </c>
      <c r="F117" s="11">
        <f>E117/Calculation!K$6*1000</f>
        <v>2.6327340459340095E-2</v>
      </c>
      <c r="G117" s="11">
        <f t="shared" si="11"/>
        <v>2.7263180112239858</v>
      </c>
    </row>
    <row r="118" spans="1:7">
      <c r="A118" s="32">
        <v>5</v>
      </c>
      <c r="B118" s="11">
        <v>15564.34</v>
      </c>
      <c r="C118" s="33">
        <f t="shared" si="8"/>
        <v>15.56434</v>
      </c>
      <c r="D118" s="11">
        <f t="shared" si="9"/>
        <v>1.0895037999999999</v>
      </c>
      <c r="E118" s="11">
        <f t="shared" si="10"/>
        <v>4.8638562499999996E-2</v>
      </c>
      <c r="F118" s="11">
        <f>E118/Calculation!K$7*1000</f>
        <v>3.6480272652822471E-2</v>
      </c>
      <c r="G118" s="11">
        <f t="shared" si="11"/>
        <v>3.6684322079064242</v>
      </c>
    </row>
    <row r="119" spans="1:7">
      <c r="A119" s="32">
        <v>5.5</v>
      </c>
      <c r="B119" s="11">
        <v>21268.560000000001</v>
      </c>
      <c r="C119" s="33">
        <f t="shared" si="8"/>
        <v>21.268560000000001</v>
      </c>
      <c r="D119" s="11">
        <f t="shared" si="9"/>
        <v>1.4887992000000001</v>
      </c>
      <c r="E119" s="11">
        <f t="shared" si="10"/>
        <v>6.6464250000000002E-2</v>
      </c>
      <c r="F119" s="11">
        <f>E119/Calculation!K$7*1000</f>
        <v>4.9850033328294928E-2</v>
      </c>
      <c r="G119" s="11">
        <f t="shared" si="11"/>
        <v>4.9633867976231851</v>
      </c>
    </row>
    <row r="120" spans="1:7">
      <c r="A120" s="32">
        <v>6</v>
      </c>
      <c r="B120" s="11">
        <v>26755.360000000001</v>
      </c>
      <c r="C120" s="33">
        <f t="shared" si="8"/>
        <v>26.75536</v>
      </c>
      <c r="D120" s="11">
        <f t="shared" si="9"/>
        <v>1.8728752</v>
      </c>
      <c r="E120" s="11">
        <f t="shared" si="10"/>
        <v>8.3610500000000004E-2</v>
      </c>
      <c r="F120" s="11">
        <f>E120/Calculation!K$8*1000</f>
        <v>6.4936021903460761E-2</v>
      </c>
      <c r="G120" s="11">
        <f t="shared" si="11"/>
        <v>6.6851776260995202</v>
      </c>
    </row>
    <row r="121" spans="1:7">
      <c r="A121" s="32">
        <v>6.5</v>
      </c>
      <c r="B121" s="11">
        <v>31326.36</v>
      </c>
      <c r="C121" s="33">
        <f t="shared" si="8"/>
        <v>31.326360000000001</v>
      </c>
      <c r="D121" s="11">
        <f t="shared" si="9"/>
        <v>2.1928452000000003</v>
      </c>
      <c r="E121" s="11">
        <f t="shared" si="10"/>
        <v>9.789487500000002E-2</v>
      </c>
      <c r="F121" s="11">
        <f>E121/Calculation!K$8*1000</f>
        <v>7.6029969288983493E-2</v>
      </c>
      <c r="G121" s="11">
        <f t="shared" si="11"/>
        <v>8.7996674939861848</v>
      </c>
    </row>
    <row r="122" spans="1:7">
      <c r="A122" s="32">
        <v>7</v>
      </c>
      <c r="B122" s="11">
        <v>35901.21</v>
      </c>
      <c r="C122" s="33">
        <f t="shared" si="8"/>
        <v>35.901209999999999</v>
      </c>
      <c r="D122" s="11">
        <f t="shared" si="9"/>
        <v>2.5130846999999998</v>
      </c>
      <c r="E122" s="11">
        <f t="shared" si="10"/>
        <v>0.11219128125</v>
      </c>
      <c r="F122" s="11">
        <f>E122/Calculation!K$8*1000</f>
        <v>8.7133260734325535E-2</v>
      </c>
      <c r="G122" s="11">
        <f t="shared" si="11"/>
        <v>11.247115944335821</v>
      </c>
    </row>
    <row r="123" spans="1:7">
      <c r="A123" s="32">
        <v>7.5</v>
      </c>
      <c r="B123" s="11">
        <v>39988.050000000003</v>
      </c>
      <c r="C123" s="33">
        <f t="shared" si="8"/>
        <v>39.988050000000001</v>
      </c>
      <c r="D123" s="11">
        <f t="shared" si="9"/>
        <v>2.7991635000000001</v>
      </c>
      <c r="E123" s="11">
        <f t="shared" si="10"/>
        <v>0.12496265625000001</v>
      </c>
      <c r="F123" s="11">
        <f>E123/Calculation!K$9*1000</f>
        <v>0.1007700171781637</v>
      </c>
      <c r="G123" s="11">
        <f t="shared" si="11"/>
        <v>14.06566511302316</v>
      </c>
    </row>
    <row r="124" spans="1:7">
      <c r="A124" s="32">
        <v>8</v>
      </c>
      <c r="B124" s="11">
        <v>44671.43</v>
      </c>
      <c r="C124" s="33">
        <f t="shared" si="8"/>
        <v>44.671430000000001</v>
      </c>
      <c r="D124" s="11">
        <f t="shared" si="9"/>
        <v>3.1270001000000001</v>
      </c>
      <c r="E124" s="11">
        <f t="shared" si="10"/>
        <v>0.13959821875</v>
      </c>
      <c r="F124" s="11">
        <f>E124/Calculation!K$9*1000</f>
        <v>0.11257215014168324</v>
      </c>
      <c r="G124" s="11">
        <f t="shared" si="11"/>
        <v>17.265797622820863</v>
      </c>
    </row>
    <row r="125" spans="1:7">
      <c r="A125" s="32">
        <v>8.5</v>
      </c>
      <c r="B125" s="11">
        <v>48652.24</v>
      </c>
      <c r="C125" s="33">
        <f t="shared" si="8"/>
        <v>48.652239999999999</v>
      </c>
      <c r="D125" s="11">
        <f t="shared" si="9"/>
        <v>3.4056568</v>
      </c>
      <c r="E125" s="11">
        <f t="shared" si="10"/>
        <v>0.15203825000000001</v>
      </c>
      <c r="F125" s="11">
        <f>E125/Calculation!K$9*1000</f>
        <v>0.12260380440046821</v>
      </c>
      <c r="G125" s="11">
        <f t="shared" si="11"/>
        <v>20.793436940953136</v>
      </c>
    </row>
    <row r="126" spans="1:7">
      <c r="A126" s="32">
        <v>9</v>
      </c>
      <c r="B126" s="11">
        <v>51228.4</v>
      </c>
      <c r="C126" s="33">
        <f t="shared" si="8"/>
        <v>51.228400000000001</v>
      </c>
      <c r="D126" s="11">
        <f t="shared" si="9"/>
        <v>3.585988</v>
      </c>
      <c r="E126" s="11">
        <f t="shared" si="10"/>
        <v>0.16008875</v>
      </c>
      <c r="F126" s="11">
        <f>E126/Calculation!K$9*1000</f>
        <v>0.12909573605139135</v>
      </c>
      <c r="G126" s="11">
        <f t="shared" si="11"/>
        <v>24.56893004773103</v>
      </c>
    </row>
    <row r="127" spans="1:7">
      <c r="A127" s="32">
        <v>9.5</v>
      </c>
      <c r="B127" s="11">
        <v>54564.5</v>
      </c>
      <c r="C127" s="33">
        <f t="shared" si="8"/>
        <v>54.564500000000002</v>
      </c>
      <c r="D127" s="11">
        <f t="shared" si="9"/>
        <v>3.819515</v>
      </c>
      <c r="E127" s="11">
        <f t="shared" si="10"/>
        <v>0.17051406250000001</v>
      </c>
      <c r="F127" s="11">
        <f>E127/Calculation!K$9*1000</f>
        <v>0.13750271899524766</v>
      </c>
      <c r="G127" s="11">
        <f t="shared" si="11"/>
        <v>28.567906873430616</v>
      </c>
    </row>
    <row r="128" spans="1:7">
      <c r="A128" s="32">
        <v>10</v>
      </c>
      <c r="B128" s="11">
        <v>58703.86</v>
      </c>
      <c r="C128" s="33">
        <f t="shared" si="8"/>
        <v>58.703859999999999</v>
      </c>
      <c r="D128" s="11">
        <f t="shared" si="9"/>
        <v>4.1092702000000001</v>
      </c>
      <c r="E128" s="11">
        <f t="shared" si="10"/>
        <v>0.18344956250000002</v>
      </c>
      <c r="F128" s="11">
        <f>E128/Calculation!K$9*1000</f>
        <v>0.14793391977414547</v>
      </c>
      <c r="G128" s="11">
        <f t="shared" si="11"/>
        <v>32.849456454971516</v>
      </c>
    </row>
    <row r="129" spans="1:7">
      <c r="A129" s="32">
        <v>10.5</v>
      </c>
      <c r="B129" s="11">
        <v>60103.82</v>
      </c>
      <c r="C129" s="33">
        <f t="shared" si="8"/>
        <v>60.103819999999999</v>
      </c>
      <c r="D129" s="11">
        <f t="shared" si="9"/>
        <v>4.2072674000000001</v>
      </c>
      <c r="E129" s="11">
        <f t="shared" si="10"/>
        <v>0.18782443750000002</v>
      </c>
      <c r="F129" s="11">
        <f>E129/Calculation!K$10*1000</f>
        <v>0.15690652964254631</v>
      </c>
      <c r="G129" s="11">
        <f t="shared" si="11"/>
        <v>37.422063196221892</v>
      </c>
    </row>
    <row r="130" spans="1:7">
      <c r="A130" s="32">
        <v>11</v>
      </c>
      <c r="B130" s="11">
        <v>62066.55</v>
      </c>
      <c r="C130" s="33">
        <f t="shared" si="8"/>
        <v>62.066549999999999</v>
      </c>
      <c r="D130" s="11">
        <f t="shared" si="9"/>
        <v>4.3446584999999995</v>
      </c>
      <c r="E130" s="11">
        <f t="shared" si="10"/>
        <v>0.19395796874999999</v>
      </c>
      <c r="F130" s="11">
        <f>E130/Calculation!K$10*1000</f>
        <v>0.16203041615966474</v>
      </c>
      <c r="G130" s="11">
        <f t="shared" si="11"/>
        <v>42.206117383255055</v>
      </c>
    </row>
    <row r="131" spans="1:7">
      <c r="A131" s="32">
        <v>11.5</v>
      </c>
      <c r="B131" s="11">
        <v>62941.38</v>
      </c>
      <c r="C131" s="33">
        <f t="shared" si="8"/>
        <v>62.941379999999995</v>
      </c>
      <c r="D131" s="11">
        <f t="shared" si="9"/>
        <v>4.4058965999999993</v>
      </c>
      <c r="E131" s="11">
        <f t="shared" si="10"/>
        <v>0.19669181249999998</v>
      </c>
      <c r="F131" s="11">
        <f>E131/Calculation!K$10*1000</f>
        <v>0.16431424003853282</v>
      </c>
      <c r="G131" s="11">
        <f t="shared" si="11"/>
        <v>47.101287226228017</v>
      </c>
    </row>
    <row r="132" spans="1:7">
      <c r="A132" s="32">
        <v>12</v>
      </c>
      <c r="B132" s="11">
        <v>62490.84</v>
      </c>
      <c r="C132" s="33">
        <f t="shared" si="8"/>
        <v>62.490839999999999</v>
      </c>
      <c r="D132" s="11">
        <f t="shared" si="9"/>
        <v>4.3743587999999995</v>
      </c>
      <c r="E132" s="11">
        <f t="shared" si="10"/>
        <v>0.195283875</v>
      </c>
      <c r="F132" s="11">
        <f>E132/Calculation!K$11*1000</f>
        <v>0.16861249576457515</v>
      </c>
      <c r="G132" s="11">
        <f t="shared" si="11"/>
        <v>52.095188263274636</v>
      </c>
    </row>
    <row r="133" spans="1:7">
      <c r="A133" s="32">
        <v>12.5</v>
      </c>
      <c r="B133" s="11">
        <v>62772.47</v>
      </c>
      <c r="C133" s="33">
        <f t="shared" si="8"/>
        <v>62.772469999999998</v>
      </c>
      <c r="D133" s="11">
        <f t="shared" si="9"/>
        <v>4.3940728999999994</v>
      </c>
      <c r="E133" s="11">
        <f t="shared" si="10"/>
        <v>0.19616396874999997</v>
      </c>
      <c r="F133" s="11">
        <f>E133/Calculation!K$11*1000</f>
        <v>0.16937238852937356</v>
      </c>
      <c r="G133" s="11">
        <f t="shared" si="11"/>
        <v>57.164961527683865</v>
      </c>
    </row>
    <row r="134" spans="1:7">
      <c r="A134" s="32">
        <v>13</v>
      </c>
      <c r="B134" s="11">
        <v>61062.11</v>
      </c>
      <c r="C134" s="33">
        <f t="shared" si="8"/>
        <v>61.062110000000004</v>
      </c>
      <c r="D134" s="11">
        <f t="shared" si="9"/>
        <v>4.2743476999999999</v>
      </c>
      <c r="E134" s="11">
        <f t="shared" si="10"/>
        <v>0.19081909375</v>
      </c>
      <c r="F134" s="11">
        <f>E134/Calculation!K$12*1000</f>
        <v>0.17000365421043162</v>
      </c>
      <c r="G134" s="11">
        <f t="shared" si="11"/>
        <v>62.255602168780939</v>
      </c>
    </row>
    <row r="135" spans="1:7">
      <c r="A135" s="32">
        <v>13.5</v>
      </c>
      <c r="B135" s="11">
        <v>60576.44</v>
      </c>
      <c r="C135" s="33">
        <f t="shared" si="8"/>
        <v>60.576440000000005</v>
      </c>
      <c r="D135" s="11">
        <f t="shared" si="9"/>
        <v>4.2403507999999999</v>
      </c>
      <c r="E135" s="11">
        <f t="shared" si="10"/>
        <v>0.18930137499999999</v>
      </c>
      <c r="F135" s="11">
        <f>E135/Calculation!K$12*1000</f>
        <v>0.16865149532269619</v>
      </c>
      <c r="G135" s="11">
        <f t="shared" si="11"/>
        <v>67.335429411777852</v>
      </c>
    </row>
    <row r="136" spans="1:7">
      <c r="A136" s="32">
        <v>14</v>
      </c>
      <c r="B136" s="11">
        <v>60985.01</v>
      </c>
      <c r="C136" s="33">
        <f t="shared" si="8"/>
        <v>60.985010000000003</v>
      </c>
      <c r="D136" s="11">
        <f t="shared" si="9"/>
        <v>4.2689506999999995</v>
      </c>
      <c r="E136" s="11">
        <f t="shared" si="10"/>
        <v>0.19057815624999999</v>
      </c>
      <c r="F136" s="11">
        <f>E136/Calculation!K$12*1000</f>
        <v>0.16978899930021604</v>
      </c>
      <c r="G136" s="11">
        <f t="shared" si="11"/>
        <v>72.41203683112154</v>
      </c>
    </row>
    <row r="137" spans="1:7">
      <c r="A137" s="32">
        <v>14.5</v>
      </c>
      <c r="B137" s="11">
        <v>55106.7</v>
      </c>
      <c r="C137" s="33">
        <f t="shared" si="8"/>
        <v>55.106699999999996</v>
      </c>
      <c r="D137" s="11">
        <f t="shared" si="9"/>
        <v>3.8574689999999996</v>
      </c>
      <c r="E137" s="11">
        <f t="shared" si="10"/>
        <v>0.17220843750000001</v>
      </c>
      <c r="F137" s="11">
        <f>E137/Calculation!K$13*1000</f>
        <v>0.15984995125168638</v>
      </c>
      <c r="G137" s="11">
        <f t="shared" si="11"/>
        <v>77.356621089400079</v>
      </c>
    </row>
    <row r="138" spans="1:7">
      <c r="A138" s="32">
        <v>15</v>
      </c>
      <c r="B138" s="11">
        <v>49958.22</v>
      </c>
      <c r="C138" s="33">
        <f t="shared" si="8"/>
        <v>49.958220000000004</v>
      </c>
      <c r="D138" s="11">
        <f t="shared" si="9"/>
        <v>3.4970754000000004</v>
      </c>
      <c r="E138" s="11">
        <f t="shared" si="10"/>
        <v>0.15611943750000001</v>
      </c>
      <c r="F138" s="11">
        <f>E138/Calculation!K$13*1000</f>
        <v>0.14491557345333733</v>
      </c>
      <c r="G138" s="11">
        <f t="shared" si="11"/>
        <v>81.928103959975431</v>
      </c>
    </row>
    <row r="139" spans="1:7">
      <c r="A139" s="32">
        <v>15.5</v>
      </c>
      <c r="B139" s="11">
        <v>44991.19</v>
      </c>
      <c r="C139" s="33">
        <f t="shared" si="8"/>
        <v>44.991190000000003</v>
      </c>
      <c r="D139" s="11">
        <f t="shared" si="9"/>
        <v>3.1493833000000002</v>
      </c>
      <c r="E139" s="11">
        <f t="shared" si="10"/>
        <v>0.14059746875000001</v>
      </c>
      <c r="F139" s="11">
        <f>E139/Calculation!K$13*1000</f>
        <v>0.13050753407943788</v>
      </c>
      <c r="G139" s="11">
        <f t="shared" si="11"/>
        <v>86.059450572967052</v>
      </c>
    </row>
    <row r="140" spans="1:7">
      <c r="A140" s="32">
        <v>16</v>
      </c>
      <c r="B140" s="11">
        <v>39349.86</v>
      </c>
      <c r="C140" s="33">
        <f t="shared" si="8"/>
        <v>39.34986</v>
      </c>
      <c r="D140" s="11">
        <f t="shared" si="9"/>
        <v>2.7544902000000002</v>
      </c>
      <c r="E140" s="11">
        <f t="shared" si="10"/>
        <v>0.12296831250000002</v>
      </c>
      <c r="F140" s="11">
        <f>E140/Calculation!K$14*1000</f>
        <v>0.1188907181555145</v>
      </c>
      <c r="G140" s="11">
        <f t="shared" si="11"/>
        <v>89.800424356491334</v>
      </c>
    </row>
    <row r="141" spans="1:7">
      <c r="A141" s="32">
        <v>16.5</v>
      </c>
      <c r="B141" s="11">
        <v>34265.769999999997</v>
      </c>
      <c r="C141" s="33">
        <f t="shared" si="8"/>
        <v>34.265769999999996</v>
      </c>
      <c r="D141" s="11">
        <f t="shared" si="9"/>
        <v>2.3986038999999995</v>
      </c>
      <c r="E141" s="11">
        <f t="shared" si="10"/>
        <v>0.10708053124999999</v>
      </c>
      <c r="F141" s="11">
        <f>E141/Calculation!K$14*1000</f>
        <v>0.10352977122286286</v>
      </c>
      <c r="G141" s="11">
        <f t="shared" si="11"/>
        <v>93.136731697166994</v>
      </c>
    </row>
    <row r="142" spans="1:7">
      <c r="A142" s="32">
        <v>17</v>
      </c>
      <c r="B142" s="11">
        <v>28224.06</v>
      </c>
      <c r="C142" s="33">
        <f t="shared" si="8"/>
        <v>28.224060000000001</v>
      </c>
      <c r="D142" s="11">
        <f t="shared" si="9"/>
        <v>1.9756842000000001</v>
      </c>
      <c r="E142" s="11">
        <f t="shared" si="10"/>
        <v>8.8200187500000013E-2</v>
      </c>
      <c r="F142" s="11">
        <f>E142/Calculation!K$15*1000</f>
        <v>8.8709406836120136E-2</v>
      </c>
      <c r="G142" s="11">
        <f t="shared" si="11"/>
        <v>96.020319368051744</v>
      </c>
    </row>
    <row r="143" spans="1:7">
      <c r="A143" s="32">
        <v>17.5</v>
      </c>
      <c r="B143" s="11">
        <v>23851.91</v>
      </c>
      <c r="C143" s="33">
        <f t="shared" si="8"/>
        <v>23.85191</v>
      </c>
      <c r="D143" s="11">
        <f t="shared" si="9"/>
        <v>1.6696337000000001</v>
      </c>
      <c r="E143" s="11">
        <f t="shared" si="10"/>
        <v>7.4537218750000009E-2</v>
      </c>
      <c r="F143" s="11">
        <f>E143/Calculation!K$15*1000</f>
        <v>7.4967555624829388E-2</v>
      </c>
      <c r="G143" s="11">
        <f t="shared" si="11"/>
        <v>98.475473804965986</v>
      </c>
    </row>
    <row r="144" spans="1:7">
      <c r="A144" s="32">
        <v>18</v>
      </c>
      <c r="B144" s="11">
        <v>20173.64</v>
      </c>
      <c r="C144" s="33">
        <f t="shared" si="8"/>
        <v>20.173639999999999</v>
      </c>
      <c r="D144" s="11">
        <f t="shared" si="9"/>
        <v>1.4121547999999999</v>
      </c>
      <c r="E144" s="11">
        <f t="shared" si="10"/>
        <v>6.3042625000000005E-2</v>
      </c>
      <c r="F144" s="11">
        <f>E144/Calculation!K$15*1000</f>
        <v>6.3406598417287463E-2</v>
      </c>
      <c r="G144" s="11">
        <f t="shared" si="11"/>
        <v>100.55108611559774</v>
      </c>
    </row>
    <row r="145" spans="1:7">
      <c r="A145" s="32">
        <v>18.5</v>
      </c>
      <c r="B145" s="11">
        <v>16806.43</v>
      </c>
      <c r="C145" s="33">
        <f t="shared" si="8"/>
        <v>16.806429999999999</v>
      </c>
      <c r="D145" s="11">
        <f t="shared" si="9"/>
        <v>1.1764500999999998</v>
      </c>
      <c r="E145" s="11">
        <f t="shared" si="10"/>
        <v>5.2520093749999996E-2</v>
      </c>
      <c r="F145" s="11">
        <f>E145/Calculation!K$16*1000</f>
        <v>5.5366464470858884E-2</v>
      </c>
      <c r="G145" s="11">
        <f t="shared" si="11"/>
        <v>102.33268205891994</v>
      </c>
    </row>
    <row r="146" spans="1:7">
      <c r="A146" s="32">
        <v>19</v>
      </c>
      <c r="B146" s="11">
        <v>13953.15</v>
      </c>
      <c r="C146" s="33">
        <f t="shared" si="8"/>
        <v>13.953149999999999</v>
      </c>
      <c r="D146" s="11">
        <f t="shared" si="9"/>
        <v>0.97672049999999999</v>
      </c>
      <c r="E146" s="11">
        <f t="shared" si="10"/>
        <v>4.3603593750000003E-2</v>
      </c>
      <c r="F146" s="11">
        <f>E146/Calculation!K$16*1000</f>
        <v>4.5966727242583029E-2</v>
      </c>
      <c r="G146" s="11">
        <f t="shared" si="11"/>
        <v>103.85267993462158</v>
      </c>
    </row>
    <row r="147" spans="1:7">
      <c r="A147" s="32">
        <v>19.5</v>
      </c>
      <c r="B147" s="11">
        <v>11602.43</v>
      </c>
      <c r="C147" s="33">
        <f t="shared" si="8"/>
        <v>11.60243</v>
      </c>
      <c r="D147" s="11">
        <f t="shared" si="9"/>
        <v>0.81217010000000001</v>
      </c>
      <c r="E147" s="11">
        <f t="shared" si="10"/>
        <v>3.6257593750000004E-2</v>
      </c>
      <c r="F147" s="11">
        <f>E147/Calculation!K$16*1000</f>
        <v>3.8222604584711169E-2</v>
      </c>
      <c r="G147" s="11">
        <f t="shared" si="11"/>
        <v>105.11551991203099</v>
      </c>
    </row>
    <row r="148" spans="1:7">
      <c r="A148" s="32">
        <v>20</v>
      </c>
      <c r="B148" s="11">
        <v>9612.44</v>
      </c>
      <c r="C148" s="33">
        <f t="shared" si="8"/>
        <v>9.6124400000000012</v>
      </c>
      <c r="D148" s="11">
        <f t="shared" si="9"/>
        <v>0.6728708000000001</v>
      </c>
      <c r="E148" s="11">
        <f t="shared" si="10"/>
        <v>3.0038875000000007E-2</v>
      </c>
      <c r="F148" s="11">
        <f>E148/Calculation!K$16*1000</f>
        <v>3.1666857133743627E-2</v>
      </c>
      <c r="G148" s="11">
        <f t="shared" si="11"/>
        <v>106.16386183780781</v>
      </c>
    </row>
    <row r="149" spans="1:7">
      <c r="A149" s="32">
        <v>20.5</v>
      </c>
      <c r="B149" s="11">
        <v>8005.27</v>
      </c>
      <c r="C149" s="33">
        <f t="shared" si="8"/>
        <v>8.0052700000000012</v>
      </c>
      <c r="D149" s="11">
        <f t="shared" si="9"/>
        <v>0.56036890000000017</v>
      </c>
      <c r="E149" s="11">
        <f t="shared" si="10"/>
        <v>2.501646875000001E-2</v>
      </c>
      <c r="F149" s="11">
        <f>E149/Calculation!K$16*1000</f>
        <v>2.6372257346422331E-2</v>
      </c>
      <c r="G149" s="11">
        <f t="shared" si="11"/>
        <v>107.0344485550103</v>
      </c>
    </row>
    <row r="150" spans="1:7">
      <c r="A150" s="32">
        <v>21</v>
      </c>
      <c r="B150" s="11">
        <v>6562.32</v>
      </c>
      <c r="C150" s="33">
        <f t="shared" si="8"/>
        <v>6.5623199999999997</v>
      </c>
      <c r="D150" s="11">
        <f t="shared" si="9"/>
        <v>0.4593624</v>
      </c>
      <c r="E150" s="11">
        <f t="shared" si="10"/>
        <v>2.0507250000000001E-2</v>
      </c>
      <c r="F150" s="11">
        <f>E150/Calculation!K$16*1000</f>
        <v>2.1618657687944833E-2</v>
      </c>
      <c r="G150" s="11">
        <f t="shared" si="11"/>
        <v>107.75431228052581</v>
      </c>
    </row>
    <row r="151" spans="1:7">
      <c r="A151" s="32">
        <v>21.5</v>
      </c>
      <c r="B151" s="11">
        <v>5520.59</v>
      </c>
      <c r="C151" s="33">
        <f t="shared" si="8"/>
        <v>5.5205900000000003</v>
      </c>
      <c r="D151" s="11">
        <f t="shared" si="9"/>
        <v>0.38644130000000004</v>
      </c>
      <c r="E151" s="11">
        <f t="shared" si="10"/>
        <v>1.7251843750000002E-2</v>
      </c>
      <c r="F151" s="11">
        <f>E151/Calculation!K$16*1000</f>
        <v>1.8186821954048474E-2</v>
      </c>
      <c r="G151" s="11">
        <f t="shared" si="11"/>
        <v>108.35139447515571</v>
      </c>
    </row>
    <row r="152" spans="1:7">
      <c r="A152" s="32">
        <v>22</v>
      </c>
      <c r="B152" s="11">
        <v>4634.88</v>
      </c>
      <c r="C152" s="33">
        <f t="shared" si="8"/>
        <v>4.6348799999999999</v>
      </c>
      <c r="D152" s="11">
        <f t="shared" si="9"/>
        <v>0.3244416</v>
      </c>
      <c r="E152" s="11">
        <f t="shared" si="10"/>
        <v>1.4484E-2</v>
      </c>
      <c r="F152" s="11">
        <f>E152/Calculation!K$16*1000</f>
        <v>1.5268972580535809E-2</v>
      </c>
      <c r="G152" s="11">
        <f t="shared" si="11"/>
        <v>108.85323139317448</v>
      </c>
    </row>
    <row r="153" spans="1:7">
      <c r="A153" s="32">
        <v>22.5</v>
      </c>
      <c r="B153" s="11">
        <v>3856.38</v>
      </c>
      <c r="C153" s="33">
        <f t="shared" si="8"/>
        <v>3.8563800000000001</v>
      </c>
      <c r="D153" s="11">
        <f t="shared" si="9"/>
        <v>0.26994659999999998</v>
      </c>
      <c r="E153" s="11">
        <f t="shared" si="10"/>
        <v>1.2051187499999999E-2</v>
      </c>
      <c r="F153" s="11">
        <f>E153/Calculation!K$16*1000</f>
        <v>1.2704311757829042E-2</v>
      </c>
      <c r="G153" s="11">
        <f t="shared" si="11"/>
        <v>109.27283065824996</v>
      </c>
    </row>
    <row r="154" spans="1:7">
      <c r="A154" s="32">
        <v>23</v>
      </c>
      <c r="B154" s="11">
        <v>3276.4</v>
      </c>
      <c r="C154" s="33">
        <f t="shared" si="8"/>
        <v>3.2764000000000002</v>
      </c>
      <c r="D154" s="11">
        <f t="shared" si="9"/>
        <v>0.229348</v>
      </c>
      <c r="E154" s="11">
        <f t="shared" si="10"/>
        <v>1.0238750000000001E-2</v>
      </c>
      <c r="F154" s="11">
        <f>E154/Calculation!K$16*1000</f>
        <v>1.0793647680817524E-2</v>
      </c>
      <c r="G154" s="11">
        <f t="shared" si="11"/>
        <v>109.62530004982966</v>
      </c>
    </row>
    <row r="155" spans="1:7">
      <c r="A155" s="32">
        <v>23.5</v>
      </c>
      <c r="B155" s="11">
        <v>2779.19</v>
      </c>
      <c r="C155" s="33">
        <f t="shared" si="8"/>
        <v>2.7791900000000003</v>
      </c>
      <c r="D155" s="11">
        <f t="shared" si="9"/>
        <v>0.19454330000000003</v>
      </c>
      <c r="E155" s="11">
        <f t="shared" si="10"/>
        <v>8.6849687500000026E-3</v>
      </c>
      <c r="F155" s="11">
        <f>E155/Calculation!K$16*1000</f>
        <v>9.1556579471527462E-3</v>
      </c>
      <c r="G155" s="11">
        <f t="shared" si="11"/>
        <v>109.92453963424921</v>
      </c>
    </row>
    <row r="156" spans="1:7">
      <c r="A156" s="32">
        <v>24</v>
      </c>
      <c r="B156" s="11">
        <v>2376.98</v>
      </c>
      <c r="C156" s="33">
        <f t="shared" si="8"/>
        <v>2.3769800000000001</v>
      </c>
      <c r="D156" s="11">
        <f t="shared" si="9"/>
        <v>0.1663886</v>
      </c>
      <c r="E156" s="11">
        <f t="shared" si="10"/>
        <v>7.4280625000000006E-3</v>
      </c>
      <c r="F156" s="11">
        <f>E156/Calculation!K$17*1000</f>
        <v>8.3039582228890338E-3</v>
      </c>
      <c r="G156" s="11">
        <f t="shared" si="11"/>
        <v>110.18643387679984</v>
      </c>
    </row>
    <row r="157" spans="1:7">
      <c r="A157" s="32">
        <v>24.5</v>
      </c>
      <c r="B157" s="11">
        <v>2056.88</v>
      </c>
      <c r="C157" s="33">
        <f t="shared" si="8"/>
        <v>2.05688</v>
      </c>
      <c r="D157" s="11">
        <f t="shared" si="9"/>
        <v>0.14398160000000002</v>
      </c>
      <c r="E157" s="11">
        <f t="shared" si="10"/>
        <v>6.4277500000000012E-3</v>
      </c>
      <c r="F157" s="11">
        <f>E157/Calculation!K$17*1000</f>
        <v>7.1856917557135526E-3</v>
      </c>
      <c r="G157" s="11">
        <f t="shared" si="11"/>
        <v>110.41877862647888</v>
      </c>
    </row>
    <row r="158" spans="1:7">
      <c r="A158" s="32">
        <v>25</v>
      </c>
      <c r="B158" s="11">
        <v>1751.84</v>
      </c>
      <c r="C158" s="33">
        <f t="shared" si="8"/>
        <v>1.7518399999999998</v>
      </c>
      <c r="D158" s="11">
        <f t="shared" si="9"/>
        <v>0.12262879999999998</v>
      </c>
      <c r="E158" s="11">
        <f t="shared" si="10"/>
        <v>5.4744999999999993E-3</v>
      </c>
      <c r="F158" s="11">
        <f>E158/Calculation!K$17*1000</f>
        <v>6.1200372629075231E-3</v>
      </c>
      <c r="G158" s="11">
        <f t="shared" si="11"/>
        <v>110.6183645617582</v>
      </c>
    </row>
    <row r="159" spans="1:7">
      <c r="A159" s="32">
        <v>25.5</v>
      </c>
      <c r="B159" s="11">
        <v>1506.83</v>
      </c>
      <c r="C159" s="33">
        <f t="shared" si="8"/>
        <v>1.5068299999999999</v>
      </c>
      <c r="D159" s="11">
        <f t="shared" si="9"/>
        <v>0.10547809999999999</v>
      </c>
      <c r="E159" s="11">
        <f t="shared" si="10"/>
        <v>4.7088437499999995E-3</v>
      </c>
      <c r="F159" s="11">
        <f>E159/Calculation!K$17*1000</f>
        <v>5.2640970344705815E-3</v>
      </c>
      <c r="G159" s="11">
        <f t="shared" si="11"/>
        <v>110.78912657621888</v>
      </c>
    </row>
    <row r="160" spans="1:7">
      <c r="A160" s="32">
        <v>26</v>
      </c>
      <c r="B160" s="11">
        <v>1338.42</v>
      </c>
      <c r="C160" s="33">
        <f t="shared" si="8"/>
        <v>1.3384200000000002</v>
      </c>
      <c r="D160" s="11">
        <f t="shared" si="9"/>
        <v>9.3689400000000006E-2</v>
      </c>
      <c r="E160" s="11">
        <f t="shared" si="10"/>
        <v>4.1825625000000005E-3</v>
      </c>
      <c r="F160" s="11">
        <f>E160/Calculation!K$17*1000</f>
        <v>4.6757582161731032E-3</v>
      </c>
      <c r="G160" s="11">
        <f t="shared" si="11"/>
        <v>110.93822440497853</v>
      </c>
    </row>
    <row r="161" spans="1:7">
      <c r="A161" s="32">
        <v>26.5</v>
      </c>
      <c r="B161" s="11">
        <v>1159.6400000000001</v>
      </c>
      <c r="C161" s="33">
        <f t="shared" si="8"/>
        <v>1.15964</v>
      </c>
      <c r="D161" s="11">
        <f t="shared" si="9"/>
        <v>8.1174799999999991E-2</v>
      </c>
      <c r="E161" s="11">
        <f t="shared" si="10"/>
        <v>3.6238749999999999E-3</v>
      </c>
      <c r="F161" s="11">
        <f>E161/Calculation!K$17*1000</f>
        <v>4.0511918962679704E-3</v>
      </c>
      <c r="G161" s="11">
        <f t="shared" si="11"/>
        <v>111.06912865666514</v>
      </c>
    </row>
    <row r="162" spans="1:7">
      <c r="A162" s="32">
        <v>27</v>
      </c>
      <c r="B162" s="11">
        <v>1046.25</v>
      </c>
      <c r="C162" s="33">
        <f t="shared" si="8"/>
        <v>1.0462499999999999</v>
      </c>
      <c r="D162" s="11">
        <f t="shared" si="9"/>
        <v>7.3237499999999997E-2</v>
      </c>
      <c r="E162" s="11">
        <f t="shared" si="10"/>
        <v>3.2695312499999999E-3</v>
      </c>
      <c r="F162" s="11">
        <f>E162/Calculation!K$17*1000</f>
        <v>3.6550649524596975E-3</v>
      </c>
      <c r="G162" s="11">
        <f t="shared" si="11"/>
        <v>111.18472250939605</v>
      </c>
    </row>
    <row r="163" spans="1:7">
      <c r="A163" s="32">
        <v>27.5</v>
      </c>
      <c r="B163" s="11">
        <v>957.11</v>
      </c>
      <c r="C163" s="33">
        <f t="shared" si="8"/>
        <v>0.95711000000000002</v>
      </c>
      <c r="D163" s="11">
        <f t="shared" si="9"/>
        <v>6.6997700000000007E-2</v>
      </c>
      <c r="E163" s="11">
        <f t="shared" si="10"/>
        <v>2.9909687500000006E-3</v>
      </c>
      <c r="F163" s="11">
        <f>E163/Calculation!K$17*1000</f>
        <v>3.3436551652556291E-3</v>
      </c>
      <c r="G163" s="11">
        <f t="shared" si="11"/>
        <v>111.28970331116179</v>
      </c>
    </row>
    <row r="164" spans="1:7">
      <c r="A164" s="32">
        <v>28</v>
      </c>
      <c r="B164" s="11">
        <v>852.92</v>
      </c>
      <c r="C164" s="33">
        <f t="shared" si="8"/>
        <v>0.85292000000000001</v>
      </c>
      <c r="D164" s="11">
        <f t="shared" si="9"/>
        <v>5.9704399999999998E-2</v>
      </c>
      <c r="E164" s="11">
        <f t="shared" si="10"/>
        <v>2.6653750000000002E-3</v>
      </c>
      <c r="F164" s="11">
        <f>E164/Calculation!K$17*1000</f>
        <v>2.9796683385920437E-3</v>
      </c>
      <c r="G164" s="11">
        <f t="shared" si="11"/>
        <v>111.3845531637195</v>
      </c>
    </row>
    <row r="165" spans="1:7">
      <c r="A165" s="32">
        <v>28.5</v>
      </c>
      <c r="B165" s="11">
        <v>777</v>
      </c>
      <c r="C165" s="33">
        <f t="shared" si="8"/>
        <v>0.77700000000000002</v>
      </c>
      <c r="D165" s="11">
        <f t="shared" si="9"/>
        <v>5.4390000000000001E-2</v>
      </c>
      <c r="E165" s="11">
        <f t="shared" si="10"/>
        <v>2.4281250000000002E-3</v>
      </c>
      <c r="F165" s="11">
        <f>E165/Calculation!K$17*1000</f>
        <v>2.7144425023284927E-3</v>
      </c>
      <c r="G165" s="11">
        <f t="shared" si="11"/>
        <v>111.46996482633331</v>
      </c>
    </row>
    <row r="166" spans="1:7">
      <c r="A166" s="32">
        <v>29</v>
      </c>
      <c r="B166" s="11">
        <v>702.07</v>
      </c>
      <c r="C166" s="33">
        <f t="shared" si="8"/>
        <v>0.70207000000000008</v>
      </c>
      <c r="D166" s="11">
        <f t="shared" si="9"/>
        <v>4.9144900000000005E-2</v>
      </c>
      <c r="E166" s="11">
        <f t="shared" si="10"/>
        <v>2.1939687500000002E-3</v>
      </c>
      <c r="F166" s="11">
        <f>E166/Calculation!K$17*1000</f>
        <v>2.4526752221489894E-3</v>
      </c>
      <c r="G166" s="11">
        <f t="shared" si="11"/>
        <v>111.54747159220047</v>
      </c>
    </row>
    <row r="167" spans="1:7">
      <c r="A167" s="32">
        <v>29.5</v>
      </c>
      <c r="B167" s="11">
        <v>633.5</v>
      </c>
      <c r="C167" s="33">
        <f t="shared" si="8"/>
        <v>0.63349999999999995</v>
      </c>
      <c r="D167" s="11">
        <f t="shared" si="9"/>
        <v>4.4344999999999996E-2</v>
      </c>
      <c r="E167" s="11">
        <f t="shared" si="10"/>
        <v>1.9796875000000001E-3</v>
      </c>
      <c r="F167" s="11">
        <f>E167/Calculation!K$17*1000</f>
        <v>2.2131265446912484E-3</v>
      </c>
      <c r="G167" s="11">
        <f t="shared" si="11"/>
        <v>111.61745861870307</v>
      </c>
    </row>
    <row r="168" spans="1:7">
      <c r="A168" s="32">
        <v>30</v>
      </c>
      <c r="B168" s="11">
        <v>579.49</v>
      </c>
      <c r="C168" s="33">
        <f t="shared" si="8"/>
        <v>0.57949000000000006</v>
      </c>
      <c r="D168" s="11">
        <f t="shared" si="9"/>
        <v>4.0564300000000005E-2</v>
      </c>
      <c r="E168" s="11">
        <f t="shared" si="10"/>
        <v>1.8109062500000002E-3</v>
      </c>
      <c r="F168" s="11">
        <f>E168/Calculation!K$18*1000</f>
        <v>2.166912417284823E-3</v>
      </c>
      <c r="G168" s="11">
        <f t="shared" si="11"/>
        <v>111.6831592031327</v>
      </c>
    </row>
    <row r="169" spans="1:7">
      <c r="A169" s="32">
        <v>30.5</v>
      </c>
      <c r="B169" s="11">
        <v>569.62</v>
      </c>
      <c r="C169" s="33">
        <f t="shared" si="8"/>
        <v>0.56962000000000002</v>
      </c>
      <c r="D169" s="11">
        <f t="shared" si="9"/>
        <v>3.9873400000000003E-2</v>
      </c>
      <c r="E169" s="11">
        <f t="shared" si="10"/>
        <v>1.7800625000000002E-3</v>
      </c>
      <c r="F169" s="11">
        <f>E169/Calculation!K$18*1000</f>
        <v>2.1300050926397018E-3</v>
      </c>
      <c r="G169" s="11">
        <f t="shared" si="11"/>
        <v>111.74761296578157</v>
      </c>
    </row>
    <row r="170" spans="1:7">
      <c r="A170" s="32">
        <v>31</v>
      </c>
      <c r="B170" s="11">
        <v>535.33000000000004</v>
      </c>
      <c r="C170" s="33">
        <f t="shared" si="8"/>
        <v>0.53533000000000008</v>
      </c>
      <c r="D170" s="11">
        <f t="shared" si="9"/>
        <v>3.7473100000000009E-2</v>
      </c>
      <c r="E170" s="11">
        <f t="shared" si="10"/>
        <v>1.6729062500000006E-3</v>
      </c>
      <c r="F170" s="11">
        <f>E170/Calculation!K$18*1000</f>
        <v>2.0017829890853758E-3</v>
      </c>
      <c r="G170" s="11">
        <f t="shared" si="11"/>
        <v>111.80958978700744</v>
      </c>
    </row>
    <row r="171" spans="1:7">
      <c r="A171" s="32">
        <v>31.5</v>
      </c>
      <c r="B171" s="11">
        <v>486.33</v>
      </c>
      <c r="C171" s="33">
        <f t="shared" si="8"/>
        <v>0.48632999999999998</v>
      </c>
      <c r="D171" s="11">
        <f t="shared" si="9"/>
        <v>3.40431E-2</v>
      </c>
      <c r="E171" s="11">
        <f t="shared" si="10"/>
        <v>1.5197812500000001E-3</v>
      </c>
      <c r="F171" s="11">
        <f>E171/Calculation!K$18*1000</f>
        <v>1.8185551362372566E-3</v>
      </c>
      <c r="G171" s="11">
        <f t="shared" si="11"/>
        <v>111.86689485888728</v>
      </c>
    </row>
    <row r="172" spans="1:7">
      <c r="A172" s="32">
        <v>32</v>
      </c>
      <c r="B172" s="11">
        <v>452.89</v>
      </c>
      <c r="C172" s="33">
        <f t="shared" si="8"/>
        <v>0.45288999999999996</v>
      </c>
      <c r="D172" s="11">
        <f t="shared" si="9"/>
        <v>3.1702299999999996E-2</v>
      </c>
      <c r="E172" s="11">
        <f t="shared" si="10"/>
        <v>1.4152812499999999E-3</v>
      </c>
      <c r="F172" s="11">
        <f>E172/Calculation!K$18*1000</f>
        <v>1.6935114750282548E-3</v>
      </c>
      <c r="G172" s="11">
        <f t="shared" si="11"/>
        <v>111.91957585805626</v>
      </c>
    </row>
    <row r="173" spans="1:7">
      <c r="A173" s="32">
        <v>32.5</v>
      </c>
      <c r="B173" s="11">
        <v>423.12</v>
      </c>
      <c r="C173" s="33">
        <f t="shared" ref="C173:C204" si="12">B173/1000</f>
        <v>0.42312</v>
      </c>
      <c r="D173" s="11">
        <f t="shared" ref="D173:D204" si="13">C173/1000*$B$1</f>
        <v>2.96184E-2</v>
      </c>
      <c r="E173" s="11">
        <f t="shared" ref="E173:E204" si="14">D173/22.4</f>
        <v>1.3222500000000001E-3</v>
      </c>
      <c r="F173" s="11">
        <f>E173/Calculation!K$18*1000</f>
        <v>1.5821912060631836E-3</v>
      </c>
      <c r="G173" s="11">
        <f t="shared" si="11"/>
        <v>111.96871139827263</v>
      </c>
    </row>
    <row r="174" spans="1:7">
      <c r="A174" s="32">
        <v>33</v>
      </c>
      <c r="B174" s="11">
        <v>403.05</v>
      </c>
      <c r="C174" s="33">
        <f t="shared" si="12"/>
        <v>0.40305000000000002</v>
      </c>
      <c r="D174" s="11">
        <f t="shared" si="13"/>
        <v>2.8213500000000002E-2</v>
      </c>
      <c r="E174" s="11">
        <f t="shared" si="14"/>
        <v>1.2595312500000002E-3</v>
      </c>
      <c r="F174" s="11">
        <f>E174/Calculation!K$18*1000</f>
        <v>1.5071425732741685E-3</v>
      </c>
      <c r="G174" s="11">
        <f t="shared" si="11"/>
        <v>112.01505140496269</v>
      </c>
    </row>
    <row r="175" spans="1:7">
      <c r="A175" s="32">
        <v>33.5</v>
      </c>
      <c r="B175" s="11">
        <v>376.46</v>
      </c>
      <c r="C175" s="33">
        <f t="shared" si="12"/>
        <v>0.37645999999999996</v>
      </c>
      <c r="D175" s="11">
        <f t="shared" si="13"/>
        <v>2.6352199999999996E-2</v>
      </c>
      <c r="E175" s="11">
        <f t="shared" si="14"/>
        <v>1.1764375E-3</v>
      </c>
      <c r="F175" s="11">
        <f>E175/Calculation!K$18*1000</f>
        <v>1.4077134180245463E-3</v>
      </c>
      <c r="G175" s="11">
        <f t="shared" ref="G175:G204" si="15">G174+(F175+F174)/2*30</f>
        <v>112.05877424483216</v>
      </c>
    </row>
    <row r="176" spans="1:7">
      <c r="A176" s="32">
        <v>34</v>
      </c>
      <c r="B176" s="11">
        <v>358.56</v>
      </c>
      <c r="C176" s="33">
        <f t="shared" si="12"/>
        <v>0.35855999999999999</v>
      </c>
      <c r="D176" s="11">
        <f t="shared" si="13"/>
        <v>2.5099200000000002E-2</v>
      </c>
      <c r="E176" s="11">
        <f t="shared" si="14"/>
        <v>1.1205000000000002E-3</v>
      </c>
      <c r="F176" s="11">
        <f>E176/Calculation!K$18*1000</f>
        <v>1.3407791615759482E-3</v>
      </c>
      <c r="G176" s="11">
        <f t="shared" si="15"/>
        <v>112.10000163352618</v>
      </c>
    </row>
    <row r="177" spans="1:7">
      <c r="A177" s="32">
        <v>34.5</v>
      </c>
      <c r="B177" s="11">
        <v>334.15</v>
      </c>
      <c r="C177" s="33">
        <f t="shared" si="12"/>
        <v>0.33415</v>
      </c>
      <c r="D177" s="11">
        <f t="shared" si="13"/>
        <v>2.3390500000000002E-2</v>
      </c>
      <c r="E177" s="11">
        <f t="shared" si="14"/>
        <v>1.0442187500000002E-3</v>
      </c>
      <c r="F177" s="11">
        <f>E177/Calculation!K$18*1000</f>
        <v>1.2495017761060996E-3</v>
      </c>
      <c r="G177" s="11">
        <f t="shared" si="15"/>
        <v>112.1388558475914</v>
      </c>
    </row>
    <row r="178" spans="1:7">
      <c r="A178" s="32">
        <v>35</v>
      </c>
      <c r="B178" s="11">
        <v>300.52999999999997</v>
      </c>
      <c r="C178" s="33">
        <f t="shared" si="12"/>
        <v>0.30052999999999996</v>
      </c>
      <c r="D178" s="11">
        <f t="shared" si="13"/>
        <v>2.10371E-2</v>
      </c>
      <c r="E178" s="11">
        <f t="shared" si="14"/>
        <v>9.3915625E-4</v>
      </c>
      <c r="F178" s="11">
        <f>E178/Calculation!K$18*1000</f>
        <v>1.1237850329886758E-3</v>
      </c>
      <c r="G178" s="11">
        <f t="shared" si="15"/>
        <v>112.17445514972782</v>
      </c>
    </row>
    <row r="179" spans="1:7">
      <c r="A179" s="32">
        <v>35.5</v>
      </c>
      <c r="B179" s="11">
        <v>276.45</v>
      </c>
      <c r="C179" s="33">
        <f t="shared" si="12"/>
        <v>0.27644999999999997</v>
      </c>
      <c r="D179" s="11">
        <f t="shared" si="13"/>
        <v>1.9351499999999997E-2</v>
      </c>
      <c r="E179" s="11">
        <f t="shared" si="14"/>
        <v>8.6390624999999998E-4</v>
      </c>
      <c r="F179" s="11">
        <f>E179/Calculation!K$18*1000</f>
        <v>1.0337416310176003E-3</v>
      </c>
      <c r="G179" s="11">
        <f t="shared" si="15"/>
        <v>112.20681804968791</v>
      </c>
    </row>
    <row r="180" spans="1:7">
      <c r="A180" s="32">
        <v>36</v>
      </c>
      <c r="B180" s="11">
        <v>272.43</v>
      </c>
      <c r="C180" s="33">
        <f t="shared" si="12"/>
        <v>0.27243000000000001</v>
      </c>
      <c r="D180" s="11">
        <f t="shared" si="13"/>
        <v>1.90701E-2</v>
      </c>
      <c r="E180" s="11">
        <f t="shared" si="14"/>
        <v>8.5134375E-4</v>
      </c>
      <c r="F180" s="11">
        <f>E180/Calculation!K$18*1000</f>
        <v>1.0187094683961832E-3</v>
      </c>
      <c r="G180" s="11">
        <f t="shared" si="15"/>
        <v>112.23760481617911</v>
      </c>
    </row>
    <row r="181" spans="1:7">
      <c r="A181" s="32">
        <v>36.5</v>
      </c>
      <c r="B181" s="11">
        <v>263.24</v>
      </c>
      <c r="C181" s="33">
        <f t="shared" si="12"/>
        <v>0.26324000000000003</v>
      </c>
      <c r="D181" s="11">
        <f t="shared" si="13"/>
        <v>1.8426800000000004E-2</v>
      </c>
      <c r="E181" s="11">
        <f t="shared" si="14"/>
        <v>8.2262500000000022E-4</v>
      </c>
      <c r="F181" s="11">
        <f>E181/Calculation!K$18*1000</f>
        <v>9.8434489762732214E-4</v>
      </c>
      <c r="G181" s="11">
        <f t="shared" si="15"/>
        <v>112.26765063166947</v>
      </c>
    </row>
    <row r="182" spans="1:7">
      <c r="A182" s="32">
        <v>37</v>
      </c>
      <c r="B182" s="11">
        <v>255.71</v>
      </c>
      <c r="C182" s="33">
        <f t="shared" si="12"/>
        <v>0.25570999999999999</v>
      </c>
      <c r="D182" s="11">
        <f t="shared" si="13"/>
        <v>1.7899699999999998E-2</v>
      </c>
      <c r="E182" s="11">
        <f t="shared" si="14"/>
        <v>7.9909374999999989E-4</v>
      </c>
      <c r="F182" s="11">
        <f>E182/Calculation!K$18*1000</f>
        <v>9.5618763779168226E-4</v>
      </c>
      <c r="G182" s="11">
        <f t="shared" si="15"/>
        <v>112.29675861970075</v>
      </c>
    </row>
    <row r="183" spans="1:7">
      <c r="A183" s="32">
        <v>37.5</v>
      </c>
      <c r="B183" s="11">
        <v>232.97</v>
      </c>
      <c r="C183" s="33">
        <f t="shared" si="12"/>
        <v>0.23297000000000001</v>
      </c>
      <c r="D183" s="11">
        <f t="shared" si="13"/>
        <v>1.63079E-2</v>
      </c>
      <c r="E183" s="11">
        <f t="shared" si="14"/>
        <v>7.2803125000000005E-4</v>
      </c>
      <c r="F183" s="11">
        <f>E183/Calculation!K$18*1000</f>
        <v>8.7115495669441267E-4</v>
      </c>
      <c r="G183" s="11">
        <f t="shared" si="15"/>
        <v>112.32416875861804</v>
      </c>
    </row>
    <row r="184" spans="1:7">
      <c r="A184" s="32">
        <v>38</v>
      </c>
      <c r="B184" s="11">
        <v>212.23</v>
      </c>
      <c r="C184" s="33">
        <f t="shared" si="12"/>
        <v>0.21223</v>
      </c>
      <c r="D184" s="11">
        <f t="shared" si="13"/>
        <v>1.4856099999999999E-2</v>
      </c>
      <c r="E184" s="11">
        <f t="shared" si="14"/>
        <v>6.6321874999999996E-4</v>
      </c>
      <c r="F184" s="11">
        <f>E184/Calculation!K$18*1000</f>
        <v>7.9360096346849454E-4</v>
      </c>
      <c r="G184" s="11">
        <f t="shared" si="15"/>
        <v>112.34914009742049</v>
      </c>
    </row>
    <row r="185" spans="1:7">
      <c r="A185" s="32">
        <v>38.5</v>
      </c>
      <c r="B185" s="11">
        <v>203.53</v>
      </c>
      <c r="C185" s="33">
        <f t="shared" si="12"/>
        <v>0.20352999999999999</v>
      </c>
      <c r="D185" s="11">
        <f t="shared" si="13"/>
        <v>1.42471E-2</v>
      </c>
      <c r="E185" s="11">
        <f t="shared" si="14"/>
        <v>6.3603125000000009E-4</v>
      </c>
      <c r="F185" s="11">
        <f>E185/Calculation!K$18*1000</f>
        <v>7.6106867122811438E-4</v>
      </c>
      <c r="G185" s="11">
        <f t="shared" si="15"/>
        <v>112.37246014194093</v>
      </c>
    </row>
    <row r="186" spans="1:7">
      <c r="A186" s="32">
        <v>39</v>
      </c>
      <c r="B186" s="11">
        <v>186.97</v>
      </c>
      <c r="C186" s="33">
        <f t="shared" si="12"/>
        <v>0.18697</v>
      </c>
      <c r="D186" s="11">
        <f t="shared" si="13"/>
        <v>1.3087900000000001E-2</v>
      </c>
      <c r="E186" s="11">
        <f t="shared" si="14"/>
        <v>5.8428125000000006E-4</v>
      </c>
      <c r="F186" s="11">
        <f>E186/Calculation!K$18*1000</f>
        <v>6.9914513565332167E-4</v>
      </c>
      <c r="G186" s="11">
        <f t="shared" si="15"/>
        <v>112.39436334904416</v>
      </c>
    </row>
    <row r="187" spans="1:7">
      <c r="A187" s="32">
        <v>39.5</v>
      </c>
      <c r="B187" s="11">
        <v>170.92</v>
      </c>
      <c r="C187" s="33">
        <f t="shared" si="12"/>
        <v>0.17091999999999999</v>
      </c>
      <c r="D187" s="11">
        <f t="shared" si="13"/>
        <v>1.19644E-2</v>
      </c>
      <c r="E187" s="11">
        <f t="shared" si="14"/>
        <v>5.3412499999999999E-4</v>
      </c>
      <c r="F187" s="11">
        <f>E187/Calculation!K$18*1000</f>
        <v>6.3912866548572348E-4</v>
      </c>
      <c r="G187" s="11">
        <f t="shared" si="15"/>
        <v>112.41443745606124</v>
      </c>
    </row>
    <row r="188" spans="1:7">
      <c r="A188" s="32">
        <v>40</v>
      </c>
      <c r="B188" s="11">
        <v>179.62</v>
      </c>
      <c r="C188" s="33">
        <f t="shared" si="12"/>
        <v>0.17962</v>
      </c>
      <c r="D188" s="11">
        <f t="shared" si="13"/>
        <v>1.25734E-2</v>
      </c>
      <c r="E188" s="11">
        <f t="shared" si="14"/>
        <v>5.6131250000000007E-4</v>
      </c>
      <c r="F188" s="11">
        <f>E188/Calculation!K$18*1000</f>
        <v>6.7166095772610386E-4</v>
      </c>
      <c r="G188" s="11">
        <f t="shared" si="15"/>
        <v>112.43409930040941</v>
      </c>
    </row>
    <row r="189" spans="1:7">
      <c r="A189" s="32">
        <v>40.5</v>
      </c>
      <c r="B189" s="11">
        <v>178.11</v>
      </c>
      <c r="C189" s="33">
        <f t="shared" si="12"/>
        <v>0.17811000000000002</v>
      </c>
      <c r="D189" s="11">
        <f t="shared" si="13"/>
        <v>1.2467700000000002E-2</v>
      </c>
      <c r="E189" s="11">
        <f t="shared" si="14"/>
        <v>5.5659375000000012E-4</v>
      </c>
      <c r="F189" s="11">
        <f>E189/Calculation!K$18*1000</f>
        <v>6.6601454838323328E-4</v>
      </c>
      <c r="G189" s="11">
        <f t="shared" si="15"/>
        <v>112.45416443300105</v>
      </c>
    </row>
    <row r="190" spans="1:7">
      <c r="A190" s="32">
        <v>41</v>
      </c>
      <c r="B190" s="11">
        <v>153.86000000000001</v>
      </c>
      <c r="C190" s="33">
        <f t="shared" si="12"/>
        <v>0.15386000000000002</v>
      </c>
      <c r="D190" s="11">
        <f t="shared" si="13"/>
        <v>1.0770200000000001E-2</v>
      </c>
      <c r="E190" s="11">
        <f t="shared" si="14"/>
        <v>4.8081250000000007E-4</v>
      </c>
      <c r="F190" s="11">
        <f>E190/Calculation!K$18*1000</f>
        <v>5.753354579430928E-4</v>
      </c>
      <c r="G190" s="11">
        <f t="shared" si="15"/>
        <v>112.47278468309595</v>
      </c>
    </row>
    <row r="191" spans="1:7">
      <c r="A191" s="32">
        <v>41.5</v>
      </c>
      <c r="B191" s="11">
        <v>0</v>
      </c>
      <c r="C191" s="33">
        <f t="shared" si="12"/>
        <v>0</v>
      </c>
      <c r="D191" s="11">
        <f t="shared" si="13"/>
        <v>0</v>
      </c>
      <c r="E191" s="11">
        <f t="shared" si="14"/>
        <v>0</v>
      </c>
      <c r="F191" s="11">
        <f>E191/Calculation!K$18*1000</f>
        <v>0</v>
      </c>
      <c r="G191" s="11">
        <f t="shared" si="15"/>
        <v>112.4814147149651</v>
      </c>
    </row>
    <row r="192" spans="1:7">
      <c r="A192" s="32">
        <v>42</v>
      </c>
      <c r="B192" s="11">
        <v>0</v>
      </c>
      <c r="C192" s="33">
        <f t="shared" si="12"/>
        <v>0</v>
      </c>
      <c r="D192" s="11">
        <f t="shared" si="13"/>
        <v>0</v>
      </c>
      <c r="E192" s="11">
        <f t="shared" si="14"/>
        <v>0</v>
      </c>
      <c r="F192" s="11">
        <f>E192/Calculation!K$18*1000</f>
        <v>0</v>
      </c>
      <c r="G192" s="11">
        <f t="shared" si="15"/>
        <v>112.4814147149651</v>
      </c>
    </row>
    <row r="193" spans="1:7">
      <c r="A193" s="32">
        <v>42.5</v>
      </c>
      <c r="B193" s="11">
        <v>0</v>
      </c>
      <c r="C193" s="33">
        <f t="shared" si="12"/>
        <v>0</v>
      </c>
      <c r="D193" s="11">
        <f t="shared" si="13"/>
        <v>0</v>
      </c>
      <c r="E193" s="11">
        <f t="shared" si="14"/>
        <v>0</v>
      </c>
      <c r="F193" s="11">
        <f>E193/Calculation!K$18*1000</f>
        <v>0</v>
      </c>
      <c r="G193" s="11">
        <f t="shared" si="15"/>
        <v>112.4814147149651</v>
      </c>
    </row>
    <row r="194" spans="1:7">
      <c r="A194" s="32">
        <v>43</v>
      </c>
      <c r="B194" s="11">
        <v>0</v>
      </c>
      <c r="C194" s="33">
        <f t="shared" si="12"/>
        <v>0</v>
      </c>
      <c r="D194" s="11">
        <f t="shared" si="13"/>
        <v>0</v>
      </c>
      <c r="E194" s="11">
        <f t="shared" si="14"/>
        <v>0</v>
      </c>
      <c r="F194" s="11">
        <f>E194/Calculation!K$18*1000</f>
        <v>0</v>
      </c>
      <c r="G194" s="11">
        <f t="shared" si="15"/>
        <v>112.4814147149651</v>
      </c>
    </row>
    <row r="195" spans="1:7">
      <c r="A195" s="32">
        <v>43.5</v>
      </c>
      <c r="B195" s="11">
        <v>0</v>
      </c>
      <c r="C195" s="33">
        <f t="shared" si="12"/>
        <v>0</v>
      </c>
      <c r="D195" s="11">
        <f t="shared" si="13"/>
        <v>0</v>
      </c>
      <c r="E195" s="11">
        <f t="shared" si="14"/>
        <v>0</v>
      </c>
      <c r="F195" s="11">
        <f>E195/Calculation!K$18*1000</f>
        <v>0</v>
      </c>
      <c r="G195" s="11">
        <f t="shared" si="15"/>
        <v>112.4814147149651</v>
      </c>
    </row>
    <row r="196" spans="1:7">
      <c r="A196" s="32">
        <v>44</v>
      </c>
      <c r="B196" s="11">
        <v>0</v>
      </c>
      <c r="C196" s="33">
        <f t="shared" si="12"/>
        <v>0</v>
      </c>
      <c r="D196" s="11">
        <f t="shared" si="13"/>
        <v>0</v>
      </c>
      <c r="E196" s="11">
        <f t="shared" si="14"/>
        <v>0</v>
      </c>
      <c r="F196" s="11">
        <f>E196/Calculation!K$18*1000</f>
        <v>0</v>
      </c>
      <c r="G196" s="11">
        <f t="shared" si="15"/>
        <v>112.4814147149651</v>
      </c>
    </row>
    <row r="197" spans="1:7">
      <c r="A197" s="32">
        <v>44.5</v>
      </c>
      <c r="B197" s="11">
        <v>0</v>
      </c>
      <c r="C197" s="33">
        <f t="shared" si="12"/>
        <v>0</v>
      </c>
      <c r="D197" s="11">
        <f t="shared" si="13"/>
        <v>0</v>
      </c>
      <c r="E197" s="11">
        <f t="shared" si="14"/>
        <v>0</v>
      </c>
      <c r="F197" s="11">
        <f>E197/Calculation!K$18*1000</f>
        <v>0</v>
      </c>
      <c r="G197" s="11">
        <f t="shared" si="15"/>
        <v>112.4814147149651</v>
      </c>
    </row>
    <row r="198" spans="1:7">
      <c r="A198" s="32">
        <v>45</v>
      </c>
      <c r="B198" s="11">
        <v>0</v>
      </c>
      <c r="C198" s="33">
        <f t="shared" si="12"/>
        <v>0</v>
      </c>
      <c r="D198" s="11">
        <f t="shared" si="13"/>
        <v>0</v>
      </c>
      <c r="E198" s="11">
        <f t="shared" si="14"/>
        <v>0</v>
      </c>
      <c r="F198" s="11">
        <f>E198/Calculation!K$18*1000</f>
        <v>0</v>
      </c>
      <c r="G198" s="11">
        <f t="shared" si="15"/>
        <v>112.4814147149651</v>
      </c>
    </row>
    <row r="199" spans="1:7">
      <c r="A199" s="32">
        <v>45.5</v>
      </c>
      <c r="B199" s="11">
        <v>0</v>
      </c>
      <c r="C199" s="33">
        <f t="shared" si="12"/>
        <v>0</v>
      </c>
      <c r="D199" s="11">
        <f t="shared" si="13"/>
        <v>0</v>
      </c>
      <c r="E199" s="11">
        <f t="shared" si="14"/>
        <v>0</v>
      </c>
      <c r="F199" s="11">
        <f>E199/Calculation!K$18*1000</f>
        <v>0</v>
      </c>
      <c r="G199" s="11">
        <f t="shared" si="15"/>
        <v>112.4814147149651</v>
      </c>
    </row>
    <row r="200" spans="1:7">
      <c r="A200" s="32">
        <v>46</v>
      </c>
      <c r="B200" s="11">
        <v>0</v>
      </c>
      <c r="C200" s="33">
        <f t="shared" si="12"/>
        <v>0</v>
      </c>
      <c r="D200" s="11">
        <f t="shared" si="13"/>
        <v>0</v>
      </c>
      <c r="E200" s="11">
        <f t="shared" si="14"/>
        <v>0</v>
      </c>
      <c r="F200" s="11">
        <f>E200/Calculation!K$18*1000</f>
        <v>0</v>
      </c>
      <c r="G200" s="11">
        <f t="shared" si="15"/>
        <v>112.4814147149651</v>
      </c>
    </row>
    <row r="201" spans="1:7">
      <c r="A201" s="32">
        <v>46.5</v>
      </c>
      <c r="B201" s="11">
        <v>0</v>
      </c>
      <c r="C201" s="33">
        <f t="shared" si="12"/>
        <v>0</v>
      </c>
      <c r="D201" s="11">
        <f t="shared" si="13"/>
        <v>0</v>
      </c>
      <c r="E201" s="11">
        <f t="shared" si="14"/>
        <v>0</v>
      </c>
      <c r="F201" s="11">
        <f>E201/Calculation!K$18*1000</f>
        <v>0</v>
      </c>
      <c r="G201" s="11">
        <f t="shared" si="15"/>
        <v>112.4814147149651</v>
      </c>
    </row>
    <row r="202" spans="1:7">
      <c r="A202" s="32">
        <v>47</v>
      </c>
      <c r="B202" s="11">
        <v>0</v>
      </c>
      <c r="C202" s="33">
        <f t="shared" si="12"/>
        <v>0</v>
      </c>
      <c r="D202" s="11">
        <f t="shared" si="13"/>
        <v>0</v>
      </c>
      <c r="E202" s="11">
        <f t="shared" si="14"/>
        <v>0</v>
      </c>
      <c r="F202" s="11">
        <f>E202/Calculation!K$18*1000</f>
        <v>0</v>
      </c>
      <c r="G202" s="11">
        <f t="shared" si="15"/>
        <v>112.4814147149651</v>
      </c>
    </row>
    <row r="203" spans="1:7">
      <c r="A203" s="32">
        <v>47.5</v>
      </c>
      <c r="B203" s="11">
        <v>0</v>
      </c>
      <c r="C203" s="33">
        <f t="shared" si="12"/>
        <v>0</v>
      </c>
      <c r="D203" s="11">
        <f t="shared" si="13"/>
        <v>0</v>
      </c>
      <c r="E203" s="11">
        <f t="shared" si="14"/>
        <v>0</v>
      </c>
      <c r="F203" s="11">
        <f>E203/Calculation!K$18*1000</f>
        <v>0</v>
      </c>
      <c r="G203" s="11">
        <f t="shared" si="15"/>
        <v>112.4814147149651</v>
      </c>
    </row>
    <row r="204" spans="1:7">
      <c r="A204" s="32">
        <v>48</v>
      </c>
      <c r="B204" s="11">
        <v>0</v>
      </c>
      <c r="C204" s="33">
        <f t="shared" si="12"/>
        <v>0</v>
      </c>
      <c r="D204" s="11">
        <f t="shared" si="13"/>
        <v>0</v>
      </c>
      <c r="E204" s="11">
        <f t="shared" si="14"/>
        <v>0</v>
      </c>
      <c r="F204" s="11">
        <f>E204/Calculation!K$19*1000</f>
        <v>0</v>
      </c>
      <c r="G204" s="11">
        <f t="shared" si="15"/>
        <v>112.4814147149651</v>
      </c>
    </row>
  </sheetData>
  <mergeCells count="6">
    <mergeCell ref="D106:F106"/>
    <mergeCell ref="A3:A4"/>
    <mergeCell ref="B3:C3"/>
    <mergeCell ref="D3:F3"/>
    <mergeCell ref="A106:A107"/>
    <mergeCell ref="B106:C10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F3" sqref="F3:G1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91" t="s">
        <v>40</v>
      </c>
      <c r="B1" s="91"/>
      <c r="D1" s="102" t="s">
        <v>4</v>
      </c>
      <c r="E1" s="102" t="s">
        <v>5</v>
      </c>
      <c r="F1" s="91" t="s">
        <v>143</v>
      </c>
      <c r="G1" s="91"/>
      <c r="H1" s="91"/>
      <c r="I1" s="91"/>
      <c r="J1" s="91" t="s">
        <v>41</v>
      </c>
      <c r="K1" s="91"/>
      <c r="L1" s="91"/>
      <c r="M1" s="91"/>
      <c r="N1" s="82" t="s">
        <v>42</v>
      </c>
      <c r="O1" s="83"/>
      <c r="P1" s="83"/>
      <c r="Q1" s="84"/>
      <c r="R1" s="91" t="s">
        <v>64</v>
      </c>
      <c r="S1" s="91"/>
      <c r="T1" s="91"/>
      <c r="U1" s="91"/>
    </row>
    <row r="2" spans="1:21">
      <c r="A2" s="91" t="s">
        <v>34</v>
      </c>
      <c r="B2" s="91"/>
      <c r="D2" s="102"/>
      <c r="E2" s="102"/>
      <c r="F2" s="13" t="s">
        <v>47</v>
      </c>
      <c r="G2" s="13" t="s">
        <v>23</v>
      </c>
      <c r="H2" s="13" t="s">
        <v>47</v>
      </c>
      <c r="I2" s="13" t="s">
        <v>23</v>
      </c>
      <c r="J2" s="13" t="s">
        <v>47</v>
      </c>
      <c r="K2" s="13" t="s">
        <v>23</v>
      </c>
      <c r="L2" s="13" t="s">
        <v>47</v>
      </c>
      <c r="M2" s="13" t="s">
        <v>23</v>
      </c>
      <c r="N2" s="13" t="s">
        <v>47</v>
      </c>
      <c r="O2" s="13" t="s">
        <v>23</v>
      </c>
      <c r="P2" s="13" t="s">
        <v>47</v>
      </c>
      <c r="Q2" s="13" t="s">
        <v>23</v>
      </c>
      <c r="R2" s="13" t="s">
        <v>47</v>
      </c>
      <c r="S2" s="13" t="s">
        <v>23</v>
      </c>
      <c r="T2" s="13" t="s">
        <v>47</v>
      </c>
      <c r="U2" s="13" t="s">
        <v>23</v>
      </c>
    </row>
    <row r="3" spans="1:21">
      <c r="A3" s="91" t="s">
        <v>35</v>
      </c>
      <c r="B3" s="13" t="s">
        <v>37</v>
      </c>
      <c r="D3" s="15">
        <v>0</v>
      </c>
      <c r="E3" s="64">
        <v>-0.16666666666666666</v>
      </c>
      <c r="F3" s="76">
        <v>83.444345766725874</v>
      </c>
      <c r="G3" s="67">
        <v>0.18082877032075809</v>
      </c>
      <c r="H3" s="12">
        <f>F3*Calculation!I3/Calculation!F21</f>
        <v>83.444345766725874</v>
      </c>
      <c r="I3" s="12">
        <f>G3*Calculation!I3/Calculation!F21</f>
        <v>0.18082877032075809</v>
      </c>
      <c r="J3" s="12">
        <v>0.44404973357015987</v>
      </c>
      <c r="K3" s="12">
        <v>0</v>
      </c>
      <c r="L3" s="12">
        <f>J3*Calculation!I3/Calculation!F21</f>
        <v>0.44404973357015987</v>
      </c>
      <c r="M3" s="12">
        <f>K3*Calculation!I3/Calculation!F21</f>
        <v>0</v>
      </c>
      <c r="N3" s="12">
        <v>83.419372744934776</v>
      </c>
      <c r="O3" s="12">
        <v>0.15739602418826013</v>
      </c>
      <c r="P3" s="12">
        <f>N3*Calculation!I3/Calculation!F21</f>
        <v>83.419372744934776</v>
      </c>
      <c r="Q3" s="12">
        <f>O3*Calculation!I3/Calculation!F21</f>
        <v>0.15739602418826013</v>
      </c>
      <c r="R3" s="12">
        <v>0</v>
      </c>
      <c r="S3" s="12">
        <v>0</v>
      </c>
      <c r="T3" s="12">
        <f>R3*Calculation!I3/Calculation!F21</f>
        <v>0</v>
      </c>
      <c r="U3" s="12">
        <f>S3*Calculation!I3/Calculation!F21</f>
        <v>0</v>
      </c>
    </row>
    <row r="4" spans="1:21">
      <c r="A4" s="91"/>
      <c r="B4" s="13" t="s">
        <v>38</v>
      </c>
      <c r="D4" s="15">
        <v>0</v>
      </c>
      <c r="E4" s="66">
        <v>0.16666666666666666</v>
      </c>
      <c r="F4" s="77">
        <v>80.56172291296626</v>
      </c>
      <c r="G4" s="78">
        <v>0.37350363768340844</v>
      </c>
      <c r="H4" s="12">
        <f>F4*Calculation!I4/Calculation!K3</f>
        <v>80.56172291296626</v>
      </c>
      <c r="I4" s="12">
        <f>G4*Calculation!I4/Calculation!K3</f>
        <v>0.37350363768340844</v>
      </c>
      <c r="J4" s="12">
        <v>0.76968620485494388</v>
      </c>
      <c r="K4" s="12">
        <v>1.2818611660515681E-2</v>
      </c>
      <c r="L4" s="12">
        <f>J4*Calculation!I4/Calculation!K3</f>
        <v>0.76968620485494388</v>
      </c>
      <c r="M4" s="12">
        <f>K4*Calculation!I4/Calculation!K3</f>
        <v>1.2818611660515681E-2</v>
      </c>
      <c r="N4" s="12">
        <v>80.122120455176258</v>
      </c>
      <c r="O4" s="12">
        <v>0.39734732541045686</v>
      </c>
      <c r="P4" s="12">
        <f>N4*Calculation!I4/Calculation!K3</f>
        <v>80.122120455176258</v>
      </c>
      <c r="Q4" s="12">
        <f>O4*Calculation!I4/Calculation!K3</f>
        <v>0.39734732541045686</v>
      </c>
      <c r="R4" s="12">
        <v>0</v>
      </c>
      <c r="S4" s="12">
        <v>0</v>
      </c>
      <c r="T4" s="12">
        <f>R4*Calculation!I4/Calculation!K3</f>
        <v>0</v>
      </c>
      <c r="U4" s="12">
        <f>S4*Calculation!I4/Calculation!K3</f>
        <v>0</v>
      </c>
    </row>
    <row r="5" spans="1:21">
      <c r="A5" s="14" t="s">
        <v>39</v>
      </c>
      <c r="B5" s="14">
        <v>180.16</v>
      </c>
      <c r="D5" s="15">
        <v>1</v>
      </c>
      <c r="E5" s="66">
        <v>2</v>
      </c>
      <c r="F5" s="77">
        <v>79.625518058022507</v>
      </c>
      <c r="G5" s="78">
        <v>0.69507732348017526</v>
      </c>
      <c r="H5" s="12">
        <f>F5*Calculation!I5/Calculation!K4</f>
        <v>79.679611480616273</v>
      </c>
      <c r="I5" s="12">
        <f>G5*Calculation!I5/Calculation!K4</f>
        <v>0.69554952274884385</v>
      </c>
      <c r="J5" s="12">
        <v>0.77708703374777977</v>
      </c>
      <c r="K5" s="12">
        <v>2.2202486678507938E-2</v>
      </c>
      <c r="L5" s="12">
        <f>J5*Calculation!I5/Calculation!K4</f>
        <v>0.77761494613483673</v>
      </c>
      <c r="M5" s="12">
        <f>K5*Calculation!I5/Calculation!K4</f>
        <v>2.2217569889566705E-2</v>
      </c>
      <c r="N5" s="12">
        <v>79.245073549819608</v>
      </c>
      <c r="O5" s="12">
        <v>0.75680164161661911</v>
      </c>
      <c r="P5" s="12">
        <f>N5*Calculation!I5/Calculation!K4</f>
        <v>79.298908518263772</v>
      </c>
      <c r="Q5" s="12">
        <f>O5*Calculation!I5/Calculation!K4</f>
        <v>0.75731577316663046</v>
      </c>
      <c r="R5" s="12">
        <v>0</v>
      </c>
      <c r="S5" s="12">
        <v>0</v>
      </c>
      <c r="T5" s="12">
        <f>R5*Calculation!I5/Calculation!K4</f>
        <v>0</v>
      </c>
      <c r="U5" s="12">
        <f>S5*Calculation!I5/Calculation!K4</f>
        <v>0</v>
      </c>
    </row>
    <row r="6" spans="1:21">
      <c r="A6" s="14" t="s">
        <v>39</v>
      </c>
      <c r="B6" s="14">
        <v>180.16</v>
      </c>
      <c r="D6" s="15">
        <v>2</v>
      </c>
      <c r="E6" s="66">
        <v>3.3333333333333335</v>
      </c>
      <c r="F6" s="77">
        <v>78.826228537596208</v>
      </c>
      <c r="G6" s="78">
        <v>0.53289822487394101</v>
      </c>
      <c r="H6" s="12">
        <f>F6*Calculation!I6/Calculation!K5</f>
        <v>78.990487426296554</v>
      </c>
      <c r="I6" s="12">
        <f>G6*Calculation!I6/Calculation!K5</f>
        <v>0.53400868356049902</v>
      </c>
      <c r="J6" s="12">
        <v>0.79928952042628776</v>
      </c>
      <c r="K6" s="12">
        <v>0</v>
      </c>
      <c r="L6" s="12">
        <f>J6*Calculation!I6/Calculation!K5</f>
        <v>0.80095508797671833</v>
      </c>
      <c r="M6" s="12">
        <f>K6*Calculation!I6/Calculation!K5</f>
        <v>0</v>
      </c>
      <c r="N6" s="12">
        <v>78.83430474604495</v>
      </c>
      <c r="O6" s="12">
        <v>0.55029847266805187</v>
      </c>
      <c r="P6" s="12">
        <f>N6*Calculation!I6/Calculation!K5</f>
        <v>78.998580464029772</v>
      </c>
      <c r="Q6" s="12">
        <f>O6*Calculation!I6/Calculation!K5</f>
        <v>0.55144519016616023</v>
      </c>
      <c r="R6" s="12">
        <v>0</v>
      </c>
      <c r="S6" s="12">
        <v>0</v>
      </c>
      <c r="T6" s="12">
        <f>R6*Calculation!I6/Calculation!K5</f>
        <v>0</v>
      </c>
      <c r="U6" s="12">
        <f>S6*Calculation!I6/Calculation!K5</f>
        <v>0</v>
      </c>
    </row>
    <row r="7" spans="1:21">
      <c r="A7" s="30" t="s">
        <v>102</v>
      </c>
      <c r="B7" s="30">
        <v>46.03</v>
      </c>
      <c r="D7" s="15">
        <v>3</v>
      </c>
      <c r="E7" s="66">
        <v>4.666666666666667</v>
      </c>
      <c r="F7" s="77">
        <v>75.421847246891659</v>
      </c>
      <c r="G7" s="78">
        <v>0.74403179751847626</v>
      </c>
      <c r="H7" s="12">
        <f>F7*Calculation!I7/Calculation!K6</f>
        <v>75.688626282257601</v>
      </c>
      <c r="I7" s="12">
        <f>G7*Calculation!I7/Calculation!K6</f>
        <v>0.74666355598726319</v>
      </c>
      <c r="J7" s="12">
        <v>0.75488454706927177</v>
      </c>
      <c r="K7" s="12">
        <v>2.2202486678508014E-2</v>
      </c>
      <c r="L7" s="12">
        <f>J7*Calculation!I7/Calculation!K6</f>
        <v>0.75755469343442983</v>
      </c>
      <c r="M7" s="12">
        <f>K7*Calculation!I7/Calculation!K6</f>
        <v>2.2281020395130312E-2</v>
      </c>
      <c r="N7" s="12">
        <v>78.190396891479324</v>
      </c>
      <c r="O7" s="12">
        <v>0.79956514371494214</v>
      </c>
      <c r="P7" s="12">
        <f>N7*Calculation!I7/Calculation!K6</f>
        <v>78.466968726020923</v>
      </c>
      <c r="Q7" s="12">
        <f>O7*Calculation!I7/Calculation!K6</f>
        <v>0.80239333243662969</v>
      </c>
      <c r="R7" s="12">
        <v>0</v>
      </c>
      <c r="S7" s="12">
        <v>0</v>
      </c>
      <c r="T7" s="12">
        <f>R7*Calculation!I7/Calculation!K6</f>
        <v>0</v>
      </c>
      <c r="U7" s="12">
        <f>S7*Calculation!I7/Calculation!K6</f>
        <v>0</v>
      </c>
    </row>
    <row r="8" spans="1:21">
      <c r="A8" s="14" t="s">
        <v>42</v>
      </c>
      <c r="B8" s="14">
        <v>60.05</v>
      </c>
      <c r="D8" s="15">
        <v>4</v>
      </c>
      <c r="E8" s="66">
        <v>6</v>
      </c>
      <c r="F8" s="77">
        <v>65.538040260509177</v>
      </c>
      <c r="G8" s="78">
        <v>1.3062882299544594</v>
      </c>
      <c r="H8" s="12">
        <f>F8*Calculation!I8/Calculation!K7</f>
        <v>65.966480104230286</v>
      </c>
      <c r="I8" s="12">
        <f>G8*Calculation!I8/Calculation!K7</f>
        <v>1.3148277883982546</v>
      </c>
      <c r="J8" s="12">
        <v>0.87329780935464763</v>
      </c>
      <c r="K8" s="12">
        <v>2.5637223321031358E-2</v>
      </c>
      <c r="L8" s="12">
        <f>J8*Calculation!I8/Calculation!K7</f>
        <v>0.87900679264854309</v>
      </c>
      <c r="M8" s="12">
        <f>K8*Calculation!I8/Calculation!K7</f>
        <v>2.5804820763820999E-2</v>
      </c>
      <c r="N8" s="12">
        <v>73.683041909519844</v>
      </c>
      <c r="O8" s="12">
        <v>1.379805279943257</v>
      </c>
      <c r="P8" s="12">
        <f>N8*Calculation!I8/Calculation!K7</f>
        <v>74.164727825594341</v>
      </c>
      <c r="Q8" s="12">
        <f>O8*Calculation!I8/Calculation!K7</f>
        <v>1.3888254391691757</v>
      </c>
      <c r="R8" s="12">
        <v>0.76761532333985083</v>
      </c>
      <c r="S8" s="12">
        <v>2.5085825296094908E-2</v>
      </c>
      <c r="T8" s="12">
        <f>R8*Calculation!I8/Calculation!K7</f>
        <v>0.77263343172182852</v>
      </c>
      <c r="U8" s="12">
        <f>S8*Calculation!I8/Calculation!K7</f>
        <v>2.5249818101292509E-2</v>
      </c>
    </row>
    <row r="9" spans="1:21">
      <c r="A9" s="30" t="s">
        <v>66</v>
      </c>
      <c r="B9" s="30">
        <v>74.08</v>
      </c>
      <c r="D9" s="15">
        <v>5</v>
      </c>
      <c r="E9" s="66">
        <v>7.333333333333333</v>
      </c>
      <c r="F9" s="77">
        <v>56.59783895796329</v>
      </c>
      <c r="G9" s="78">
        <v>1.5672161690368167</v>
      </c>
      <c r="H9" s="12">
        <f>F9*Calculation!I9/Calculation!K8</f>
        <v>57.187617606065814</v>
      </c>
      <c r="I9" s="12">
        <f>G9*Calculation!I9/Calculation!K8</f>
        <v>1.5835473691405073</v>
      </c>
      <c r="J9" s="12">
        <v>1.0213143872113679</v>
      </c>
      <c r="K9" s="12">
        <v>1.8868505155285834E-16</v>
      </c>
      <c r="L9" s="12">
        <f>J9*Calculation!I9/Calculation!K8</f>
        <v>1.031957009432767</v>
      </c>
      <c r="M9" s="12">
        <f>K9*Calculation!I9/Calculation!K8</f>
        <v>1.9065124702376055E-16</v>
      </c>
      <c r="N9" s="12">
        <v>69.57535387177353</v>
      </c>
      <c r="O9" s="12">
        <v>1.984129360014188</v>
      </c>
      <c r="P9" s="12">
        <f>N9*Calculation!I9/Calculation!K8</f>
        <v>70.300364912888128</v>
      </c>
      <c r="Q9" s="12">
        <f>O9*Calculation!I9/Calculation!K8</f>
        <v>2.0048050104127633</v>
      </c>
      <c r="R9" s="12">
        <v>1.9986965022811212</v>
      </c>
      <c r="S9" s="12">
        <v>3.6925373547428803E-16</v>
      </c>
      <c r="T9" s="12">
        <f>R9*Calculation!I9/Calculation!K8</f>
        <v>2.019523949808899</v>
      </c>
      <c r="U9" s="12">
        <f>S9*Calculation!I9/Calculation!K8</f>
        <v>3.7310154968282314E-16</v>
      </c>
    </row>
    <row r="10" spans="1:21">
      <c r="A10" s="30" t="s">
        <v>65</v>
      </c>
      <c r="B10" s="30">
        <v>88.11</v>
      </c>
      <c r="D10" s="15">
        <v>6</v>
      </c>
      <c r="E10" s="66">
        <v>10.333333333333334</v>
      </c>
      <c r="F10" s="77">
        <v>29.177767910005922</v>
      </c>
      <c r="G10" s="78">
        <v>0.63290069612266509</v>
      </c>
      <c r="H10" s="12">
        <f>F10*Calculation!I10/Calculation!K9</f>
        <v>29.834750027674158</v>
      </c>
      <c r="I10" s="12">
        <f>G10*Calculation!I10/Calculation!K9</f>
        <v>0.64715142431047068</v>
      </c>
      <c r="J10" s="12">
        <v>4.9955595026642987</v>
      </c>
      <c r="K10" s="12">
        <v>0.10174457582051165</v>
      </c>
      <c r="L10" s="12">
        <f>J10*Calculation!I10/Calculation!K9</f>
        <v>5.1080421734128238</v>
      </c>
      <c r="M10" s="12">
        <f>K10*Calculation!I10/Calculation!K9</f>
        <v>0.10403551072307125</v>
      </c>
      <c r="N10" s="12">
        <v>60.605051346100467</v>
      </c>
      <c r="O10" s="12">
        <v>1.3348572349482832</v>
      </c>
      <c r="P10" s="12">
        <f>N10*Calculation!I10/Calculation!K9</f>
        <v>61.969666867670206</v>
      </c>
      <c r="Q10" s="12">
        <f>O10*Calculation!I10/Calculation!K9</f>
        <v>1.364913589351608</v>
      </c>
      <c r="R10" s="12">
        <v>5.2574407994786005</v>
      </c>
      <c r="S10" s="12">
        <v>0.1149576932897933</v>
      </c>
      <c r="T10" s="12">
        <f>R10*Calculation!I10/Calculation!K9</f>
        <v>5.3758201285832223</v>
      </c>
      <c r="U10" s="12">
        <f>S10*Calculation!I10/Calculation!K9</f>
        <v>0.11754614176236768</v>
      </c>
    </row>
    <row r="11" spans="1:21">
      <c r="A11" s="14" t="s">
        <v>41</v>
      </c>
      <c r="B11" s="14">
        <v>90.08</v>
      </c>
      <c r="D11" s="15">
        <v>7</v>
      </c>
      <c r="E11" s="66">
        <v>11.666666666666666</v>
      </c>
      <c r="F11" s="77">
        <v>15.693457667258732</v>
      </c>
      <c r="G11" s="78">
        <v>0.33328390317340773</v>
      </c>
      <c r="H11" s="12">
        <f>F11*Calculation!I11/Calculation!K10</f>
        <v>16.151701070183215</v>
      </c>
      <c r="I11" s="12">
        <f>G11*Calculation!I11/Calculation!K10</f>
        <v>0.34301567504728653</v>
      </c>
      <c r="J11" s="12">
        <v>8.6959739490822976</v>
      </c>
      <c r="K11" s="12">
        <v>0.16664195158670386</v>
      </c>
      <c r="L11" s="12">
        <f>J11*Calculation!I11/Calculation!K10</f>
        <v>8.9498933069866897</v>
      </c>
      <c r="M11" s="12">
        <f>K11*Calculation!I11/Calculation!K10</f>
        <v>0.17150783752364326</v>
      </c>
      <c r="N11" s="12">
        <v>60.549542048293084</v>
      </c>
      <c r="O11" s="12">
        <v>1.2003877629269022</v>
      </c>
      <c r="P11" s="12">
        <f>N11*Calculation!I11/Calculation!K10</f>
        <v>62.317567220439585</v>
      </c>
      <c r="Q11" s="12">
        <f>O11*Calculation!I11/Calculation!K10</f>
        <v>1.2354386602482834</v>
      </c>
      <c r="R11" s="12">
        <v>6.923021218046201</v>
      </c>
      <c r="S11" s="12">
        <v>0.13274171033256119</v>
      </c>
      <c r="T11" s="12">
        <f>R11*Calculation!I11/Calculation!K10</f>
        <v>7.1251709844481921</v>
      </c>
      <c r="U11" s="12">
        <f>S11*Calculation!I11/Calculation!K10</f>
        <v>0.13661772123739283</v>
      </c>
    </row>
    <row r="12" spans="1:21">
      <c r="A12" s="14" t="s">
        <v>43</v>
      </c>
      <c r="B12" s="14">
        <v>46.07</v>
      </c>
      <c r="D12" s="15">
        <v>8</v>
      </c>
      <c r="E12" s="66">
        <v>13</v>
      </c>
      <c r="F12" s="77">
        <v>4.5885139135583186</v>
      </c>
      <c r="G12" s="78">
        <v>4.4865140811804878E-2</v>
      </c>
      <c r="H12" s="12">
        <f>F12*Calculation!I12/Calculation!K11</f>
        <v>4.7502296776722597</v>
      </c>
      <c r="I12" s="12">
        <f>G12*Calculation!I12/Calculation!K11</f>
        <v>4.6446350036652609E-2</v>
      </c>
      <c r="J12" s="12">
        <v>11.789520426287744</v>
      </c>
      <c r="K12" s="12">
        <v>0.10174457582051165</v>
      </c>
      <c r="L12" s="12">
        <f>J12*Calculation!I12/Calculation!K11</f>
        <v>12.20502560730953</v>
      </c>
      <c r="M12" s="12">
        <f>K12*Calculation!I12/Calculation!K11</f>
        <v>0.10533042128883305</v>
      </c>
      <c r="N12" s="12">
        <v>62.836525117957265</v>
      </c>
      <c r="O12" s="12">
        <v>0.41643073735245034</v>
      </c>
      <c r="P12" s="12">
        <f>N12*Calculation!I12/Calculation!K11</f>
        <v>65.051110682074054</v>
      </c>
      <c r="Q12" s="12">
        <f>O12*Calculation!I12/Calculation!K11</f>
        <v>0.43110725706234909</v>
      </c>
      <c r="R12" s="12">
        <v>10.109348975305961</v>
      </c>
      <c r="S12" s="12">
        <v>6.6370855166280593E-2</v>
      </c>
      <c r="T12" s="12">
        <f>R12*Calculation!I12/Calculation!K11</f>
        <v>10.465638860230445</v>
      </c>
      <c r="U12" s="12">
        <f>S12*Calculation!I12/Calculation!K11</f>
        <v>6.8710003256557892E-2</v>
      </c>
    </row>
    <row r="13" spans="1:21">
      <c r="D13" s="15">
        <v>9</v>
      </c>
      <c r="E13" s="66">
        <v>14.333333333333334</v>
      </c>
      <c r="F13" s="77">
        <v>0</v>
      </c>
      <c r="G13" s="78">
        <v>0</v>
      </c>
      <c r="H13" s="12">
        <f>F13*Calculation!I13/Calculation!K12</f>
        <v>0</v>
      </c>
      <c r="I13" s="12">
        <f>G13*Calculation!I13/Calculation!K12</f>
        <v>0</v>
      </c>
      <c r="J13" s="12">
        <v>13.380698638247484</v>
      </c>
      <c r="K13" s="12">
        <v>0.37438247098702637</v>
      </c>
      <c r="L13" s="12">
        <f>J13*Calculation!I13/Calculation!K12</f>
        <v>13.935730158935593</v>
      </c>
      <c r="M13" s="12">
        <f>K13*Calculation!I13/Calculation!K12</f>
        <v>0.38991185983350568</v>
      </c>
      <c r="N13" s="12">
        <v>63.502636691645847</v>
      </c>
      <c r="O13" s="12">
        <v>0.66638906237952522</v>
      </c>
      <c r="P13" s="12">
        <f>N13*Calculation!I13/Calculation!K12</f>
        <v>66.136726731602451</v>
      </c>
      <c r="Q13" s="12">
        <f>O13*Calculation!I13/Calculation!K12</f>
        <v>0.69403088771779275</v>
      </c>
      <c r="R13" s="12">
        <v>11.93424578173655</v>
      </c>
      <c r="S13" s="12">
        <v>6.6370855166280607E-2</v>
      </c>
      <c r="T13" s="12">
        <f>R13*Calculation!I13/Calculation!K12</f>
        <v>12.429278422675726</v>
      </c>
      <c r="U13" s="12">
        <f>S13*Calculation!I13/Calculation!K12</f>
        <v>6.9123918938826315E-2</v>
      </c>
    </row>
    <row r="14" spans="1:21">
      <c r="D14" s="15">
        <v>10</v>
      </c>
      <c r="E14" s="66">
        <v>15.666666666666666</v>
      </c>
      <c r="F14" s="77">
        <v>0</v>
      </c>
      <c r="G14" s="78">
        <v>0</v>
      </c>
      <c r="H14" s="12">
        <f>F14*Calculation!I14/Calculation!K13</f>
        <v>0</v>
      </c>
      <c r="I14" s="12">
        <f>G14*Calculation!I14/Calculation!K13</f>
        <v>0</v>
      </c>
      <c r="J14" s="12">
        <v>13.469508584961517</v>
      </c>
      <c r="K14" s="12">
        <v>8.4057257930732363E-2</v>
      </c>
      <c r="L14" s="12">
        <f>J14*Calculation!I14/Calculation!K13</f>
        <v>14.090738310124518</v>
      </c>
      <c r="M14" s="12">
        <f>K14*Calculation!I14/Calculation!K13</f>
        <v>8.7934078448191025E-2</v>
      </c>
      <c r="N14" s="12">
        <v>62.969747432694973</v>
      </c>
      <c r="O14" s="12">
        <v>0.29851411956145008</v>
      </c>
      <c r="P14" s="12">
        <f>N14*Calculation!I14/Calculation!K13</f>
        <v>65.873986933672171</v>
      </c>
      <c r="Q14" s="12">
        <f>O14*Calculation!I14/Calculation!K13</f>
        <v>0.31228194511222646</v>
      </c>
      <c r="R14" s="12">
        <v>11.70251285393584</v>
      </c>
      <c r="S14" s="12">
        <v>2.5085825296094995E-2</v>
      </c>
      <c r="T14" s="12">
        <f>R14*Calculation!I14/Calculation!K13</f>
        <v>12.242246638439592</v>
      </c>
      <c r="U14" s="12">
        <f>S14*Calculation!I14/Calculation!K13</f>
        <v>2.6242813337335007E-2</v>
      </c>
    </row>
    <row r="15" spans="1:21">
      <c r="D15" s="15">
        <v>11</v>
      </c>
      <c r="E15" s="66">
        <v>17</v>
      </c>
      <c r="F15" s="77">
        <v>0</v>
      </c>
      <c r="G15" s="78">
        <v>0</v>
      </c>
      <c r="H15" s="12">
        <f>F15*Calculation!I15/Calculation!K14</f>
        <v>0</v>
      </c>
      <c r="I15" s="12">
        <f>G15*Calculation!I15/Calculation!K14</f>
        <v>0</v>
      </c>
      <c r="J15" s="12">
        <v>13.83214920071048</v>
      </c>
      <c r="K15" s="12">
        <v>0.11536750494464112</v>
      </c>
      <c r="L15" s="12">
        <f>J15*Calculation!I15/Calculation!K14</f>
        <v>14.510224778727151</v>
      </c>
      <c r="M15" s="12">
        <f>K15*Calculation!I15/Calculation!K14</f>
        <v>0.12102301707544293</v>
      </c>
      <c r="N15" s="12">
        <v>62.792117679711353</v>
      </c>
      <c r="O15" s="12">
        <v>0.28714997849298174</v>
      </c>
      <c r="P15" s="12">
        <f>N15*Calculation!I15/Calculation!K14</f>
        <v>65.870294532255286</v>
      </c>
      <c r="Q15" s="12">
        <f>O15*Calculation!I15/Calculation!K14</f>
        <v>0.30122656086776567</v>
      </c>
      <c r="R15" s="12">
        <v>11.659062929973206</v>
      </c>
      <c r="S15" s="12">
        <v>0.16449875721052293</v>
      </c>
      <c r="T15" s="12">
        <f>R15*Calculation!I15/Calculation!K14</f>
        <v>12.230610107541841</v>
      </c>
      <c r="U15" s="12">
        <f>S15*Calculation!I15/Calculation!K14</f>
        <v>0.17256276723962383</v>
      </c>
    </row>
    <row r="16" spans="1:21">
      <c r="D16" s="15">
        <v>12</v>
      </c>
      <c r="E16" s="66">
        <v>18.333333333333332</v>
      </c>
      <c r="F16" s="77">
        <v>0</v>
      </c>
      <c r="G16" s="78">
        <v>0</v>
      </c>
      <c r="H16" s="12">
        <f>F16*Calculation!I16/Calculation!K15</f>
        <v>0</v>
      </c>
      <c r="I16" s="12">
        <f>G16*Calculation!I16/Calculation!K15</f>
        <v>0</v>
      </c>
      <c r="J16" s="12">
        <v>14.128182356423919</v>
      </c>
      <c r="K16" s="12">
        <v>0.15112920260999227</v>
      </c>
      <c r="L16" s="12">
        <f>J16*Calculation!I16/Calculation!K15</f>
        <v>14.849189486744509</v>
      </c>
      <c r="M16" s="12">
        <f>K16*Calculation!I16/Calculation!K15</f>
        <v>0.15884181771733649</v>
      </c>
      <c r="N16" s="12">
        <v>63.014154870940892</v>
      </c>
      <c r="O16" s="12">
        <v>0.63542994265908181</v>
      </c>
      <c r="P16" s="12">
        <f>N16*Calculation!I16/Calculation!K15</f>
        <v>66.229972293655294</v>
      </c>
      <c r="Q16" s="12">
        <f>O16*Calculation!I16/Calculation!K15</f>
        <v>0.66785800084224123</v>
      </c>
      <c r="R16" s="12">
        <v>11.818379317836193</v>
      </c>
      <c r="S16" s="12">
        <v>0.26069954377579863</v>
      </c>
      <c r="T16" s="12">
        <f>R16*Calculation!I16/Calculation!K15</f>
        <v>12.421509681107503</v>
      </c>
      <c r="U16" s="12">
        <f>S16*Calculation!I16/Calculation!K15</f>
        <v>0.27400389002443049</v>
      </c>
    </row>
    <row r="17" spans="4:21">
      <c r="D17" s="15">
        <v>13</v>
      </c>
      <c r="E17" s="66">
        <v>24</v>
      </c>
      <c r="F17" s="77">
        <v>0</v>
      </c>
      <c r="G17" s="78">
        <v>0</v>
      </c>
      <c r="H17" s="12">
        <f>F17*Calculation!I17/Calculation!K16</f>
        <v>0</v>
      </c>
      <c r="I17" s="12">
        <f>G17*Calculation!I17/Calculation!K16</f>
        <v>0</v>
      </c>
      <c r="J17" s="12">
        <v>14.150384843102426</v>
      </c>
      <c r="K17" s="12">
        <v>0.21904453207443392</v>
      </c>
      <c r="L17" s="12">
        <f>J17*Calculation!I17/Calculation!K16</f>
        <v>14.917276869190861</v>
      </c>
      <c r="M17" s="12">
        <f>K17*Calculation!I17/Calculation!K16</f>
        <v>0.230915835001438</v>
      </c>
      <c r="N17" s="12">
        <v>62.536774909797387</v>
      </c>
      <c r="O17" s="12">
        <v>1.3870217441865764</v>
      </c>
      <c r="P17" s="12">
        <f>N17*Calculation!I17/Calculation!K16</f>
        <v>65.926008103620262</v>
      </c>
      <c r="Q17" s="12">
        <f>O17*Calculation!I17/Calculation!K16</f>
        <v>1.4621925559646358</v>
      </c>
      <c r="R17" s="12">
        <v>11.847345933811283</v>
      </c>
      <c r="S17" s="12">
        <v>0.22296769235050573</v>
      </c>
      <c r="T17" s="12">
        <f>R17*Calculation!I17/Calculation!K16</f>
        <v>12.489422826255652</v>
      </c>
      <c r="U17" s="12">
        <f>S17*Calculation!I17/Calculation!K16</f>
        <v>0.23505161425332888</v>
      </c>
    </row>
    <row r="18" spans="4:21">
      <c r="D18" s="15">
        <v>14</v>
      </c>
      <c r="E18" s="66">
        <v>30</v>
      </c>
      <c r="F18" s="77">
        <v>0</v>
      </c>
      <c r="G18" s="78">
        <v>0</v>
      </c>
      <c r="H18" s="12">
        <f>F18*Calculation!I18/Calculation!K17</f>
        <v>0</v>
      </c>
      <c r="I18" s="12">
        <f>G18*Calculation!I18/Calculation!K17</f>
        <v>0</v>
      </c>
      <c r="J18" s="12">
        <v>14.076376554174068</v>
      </c>
      <c r="K18" s="12">
        <v>5.874225823855668E-2</v>
      </c>
      <c r="L18" s="12">
        <f>J18*Calculation!I18/Calculation!K17</f>
        <v>14.839257638703463</v>
      </c>
      <c r="M18" s="12">
        <f>K18*Calculation!I18/Calculation!K17</f>
        <v>6.1925844405086687E-2</v>
      </c>
      <c r="N18" s="12">
        <v>61.704135442686656</v>
      </c>
      <c r="O18" s="12">
        <v>0.21669965357694124</v>
      </c>
      <c r="P18" s="12">
        <f>N18*Calculation!I18/Calculation!K17</f>
        <v>65.048243039219159</v>
      </c>
      <c r="Q18" s="12">
        <f>O18*Calculation!I18/Calculation!K17</f>
        <v>0.22844387383857523</v>
      </c>
      <c r="R18" s="12">
        <v>11.601129698023028</v>
      </c>
      <c r="S18" s="12">
        <v>4.34499239626331E-2</v>
      </c>
      <c r="T18" s="12">
        <f>R18*Calculation!I18/Calculation!K17</f>
        <v>12.229862694169654</v>
      </c>
      <c r="U18" s="12">
        <f>S18*Calculation!I18/Calculation!K17</f>
        <v>4.580472919164668E-2</v>
      </c>
    </row>
    <row r="19" spans="4:21">
      <c r="D19" s="15">
        <v>15</v>
      </c>
      <c r="E19" s="66">
        <v>48</v>
      </c>
      <c r="F19" s="77">
        <v>0</v>
      </c>
      <c r="G19" s="78">
        <v>0</v>
      </c>
      <c r="H19" s="12">
        <f>F19*Calculation!I19/Calculation!K18</f>
        <v>0</v>
      </c>
      <c r="I19" s="12">
        <f>G19*Calculation!I19/Calculation!K18</f>
        <v>0</v>
      </c>
      <c r="J19" s="12">
        <v>14.194789816459444</v>
      </c>
      <c r="K19" s="12">
        <v>0.10011655756711588</v>
      </c>
      <c r="L19" s="12">
        <f>J19*Calculation!I19/Calculation!K18</f>
        <v>14.964088407483302</v>
      </c>
      <c r="M19" s="12">
        <f>K19*Calculation!I19/Calculation!K18</f>
        <v>0.10554245873722225</v>
      </c>
      <c r="N19" s="12">
        <v>61.193449902858738</v>
      </c>
      <c r="O19" s="12">
        <v>0.41643073735245417</v>
      </c>
      <c r="P19" s="12">
        <f>N19*Calculation!I19/Calculation!K18</f>
        <v>64.509880466386463</v>
      </c>
      <c r="Q19" s="12">
        <f>O19*Calculation!I19/Calculation!K18</f>
        <v>0.43899955194193119</v>
      </c>
      <c r="R19" s="12">
        <v>11.586646390035485</v>
      </c>
      <c r="S19" s="12">
        <v>0.10934657738099436</v>
      </c>
      <c r="T19" s="12">
        <f>R19*Calculation!I19/Calculation!K18</f>
        <v>12.214594451105773</v>
      </c>
      <c r="U19" s="12">
        <f>S19*Calculation!I19/Calculation!K18</f>
        <v>0.11527270724978181</v>
      </c>
    </row>
    <row r="21" spans="4:21">
      <c r="D21" s="102" t="s">
        <v>4</v>
      </c>
      <c r="E21" s="102" t="s">
        <v>59</v>
      </c>
      <c r="F21" s="91" t="s">
        <v>43</v>
      </c>
      <c r="G21" s="91"/>
      <c r="H21" s="91"/>
      <c r="I21" s="91"/>
      <c r="J21" s="91" t="s">
        <v>65</v>
      </c>
      <c r="K21" s="91"/>
      <c r="L21" s="91"/>
      <c r="M21" s="91"/>
      <c r="N21" s="82" t="s">
        <v>66</v>
      </c>
      <c r="O21" s="83"/>
      <c r="P21" s="83"/>
      <c r="Q21" s="84"/>
    </row>
    <row r="22" spans="4:21">
      <c r="D22" s="102"/>
      <c r="E22" s="102"/>
      <c r="F22" s="19" t="s">
        <v>47</v>
      </c>
      <c r="G22" s="19" t="s">
        <v>23</v>
      </c>
      <c r="H22" s="19" t="s">
        <v>47</v>
      </c>
      <c r="I22" s="19" t="s">
        <v>23</v>
      </c>
      <c r="J22" s="19" t="s">
        <v>47</v>
      </c>
      <c r="K22" s="19" t="s">
        <v>23</v>
      </c>
      <c r="L22" s="19" t="s">
        <v>47</v>
      </c>
      <c r="M22" s="19" t="s">
        <v>23</v>
      </c>
      <c r="N22" s="19" t="s">
        <v>47</v>
      </c>
      <c r="O22" s="19" t="s">
        <v>23</v>
      </c>
      <c r="P22" s="19" t="s">
        <v>47</v>
      </c>
      <c r="Q22" s="19" t="s">
        <v>23</v>
      </c>
    </row>
    <row r="23" spans="4:21">
      <c r="D23" s="15">
        <v>0</v>
      </c>
      <c r="E23" s="64">
        <v>-0.16666666666666666</v>
      </c>
      <c r="F23" s="12">
        <v>0</v>
      </c>
      <c r="G23" s="12">
        <v>0</v>
      </c>
      <c r="H23" s="12">
        <f>F23*Calculation!I3/Calculation!F21</f>
        <v>0</v>
      </c>
      <c r="I23" s="12">
        <f>G23*Calculation!I3/Calculation!F21</f>
        <v>0</v>
      </c>
      <c r="J23" s="12">
        <v>0</v>
      </c>
      <c r="K23" s="12">
        <v>0</v>
      </c>
      <c r="L23" s="12">
        <f>J23*Calculation!I3/Calculation!F21</f>
        <v>0</v>
      </c>
      <c r="M23" s="12">
        <f>K23*Calculation!I3/Calculation!F21</f>
        <v>0</v>
      </c>
      <c r="N23" s="12">
        <v>0</v>
      </c>
      <c r="O23" s="12">
        <v>0</v>
      </c>
      <c r="P23" s="12">
        <f>N23*Calculation!I3/Calculation!F21</f>
        <v>0</v>
      </c>
      <c r="Q23" s="12">
        <f>O23*Calculation!I3/Calculation!F21</f>
        <v>0</v>
      </c>
    </row>
    <row r="24" spans="4:21">
      <c r="D24" s="15">
        <v>0</v>
      </c>
      <c r="E24" s="64">
        <v>0.16666666666666666</v>
      </c>
      <c r="F24" s="12">
        <v>0</v>
      </c>
      <c r="G24" s="12">
        <v>0</v>
      </c>
      <c r="H24" s="12">
        <f>F24*Calculation!I4/Calculation!K3</f>
        <v>0</v>
      </c>
      <c r="I24" s="12">
        <f>G24*Calculation!I4/Calculation!K3</f>
        <v>0</v>
      </c>
      <c r="J24" s="12">
        <v>2.5952407974879885</v>
      </c>
      <c r="K24" s="12">
        <v>0.23842849856752898</v>
      </c>
      <c r="L24" s="12">
        <f>J24*Calculation!I4/Calculation!K3</f>
        <v>2.5952407974879885</v>
      </c>
      <c r="M24" s="12">
        <f>K24*Calculation!I4/Calculation!K3</f>
        <v>0.23842849856752898</v>
      </c>
      <c r="N24" s="12">
        <v>0</v>
      </c>
      <c r="O24" s="12">
        <v>0</v>
      </c>
      <c r="P24" s="12">
        <f>N24*Calculation!I4/Calculation!K3</f>
        <v>0</v>
      </c>
      <c r="Q24" s="12">
        <f>O24*Calculation!I4/Calculation!K3</f>
        <v>0</v>
      </c>
    </row>
    <row r="25" spans="4:21">
      <c r="D25" s="15">
        <v>1</v>
      </c>
      <c r="E25" s="64">
        <v>2</v>
      </c>
      <c r="F25" s="12">
        <v>0</v>
      </c>
      <c r="G25" s="12">
        <v>0</v>
      </c>
      <c r="H25" s="12">
        <f>F25*Calculation!I5/Calculation!K4</f>
        <v>0</v>
      </c>
      <c r="I25" s="12">
        <f>G25*Calculation!I5/Calculation!K4</f>
        <v>0</v>
      </c>
      <c r="J25" s="12">
        <v>3.6015586577384329</v>
      </c>
      <c r="K25" s="12">
        <v>6.5526077538261979E-2</v>
      </c>
      <c r="L25" s="12">
        <f>J25*Calculation!I5/Calculation!K4</f>
        <v>3.604005368783092</v>
      </c>
      <c r="M25" s="12">
        <f>K25*Calculation!I5/Calculation!K4</f>
        <v>6.5570592536589603E-2</v>
      </c>
      <c r="N25" s="12">
        <v>0</v>
      </c>
      <c r="O25" s="12">
        <v>0</v>
      </c>
      <c r="P25" s="12">
        <f>N25*Calculation!I5/Calculation!K4</f>
        <v>0</v>
      </c>
      <c r="Q25" s="12">
        <f>O25*Calculation!I5/Calculation!K4</f>
        <v>0</v>
      </c>
    </row>
    <row r="26" spans="4:21">
      <c r="D26" s="15">
        <v>2</v>
      </c>
      <c r="E26" s="64">
        <v>3.3333333333333335</v>
      </c>
      <c r="F26" s="12">
        <v>0</v>
      </c>
      <c r="G26" s="12">
        <v>0</v>
      </c>
      <c r="H26" s="12">
        <f>F26*Calculation!I6/Calculation!K5</f>
        <v>0</v>
      </c>
      <c r="I26" s="12">
        <f>G26*Calculation!I6/Calculation!K5</f>
        <v>0</v>
      </c>
      <c r="J26" s="12">
        <v>5.0164567018499602</v>
      </c>
      <c r="K26" s="12">
        <v>6.0055642062526227E-2</v>
      </c>
      <c r="L26" s="12">
        <f>J26*Calculation!I6/Calculation!K5</f>
        <v>5.0269100448342208</v>
      </c>
      <c r="M26" s="12">
        <f>K26*Calculation!I6/Calculation!K5</f>
        <v>6.0180786614135354E-2</v>
      </c>
      <c r="N26" s="12">
        <v>0</v>
      </c>
      <c r="O26" s="12">
        <v>0</v>
      </c>
      <c r="P26" s="12">
        <f>N26*Calculation!I6/Calculation!K5</f>
        <v>0</v>
      </c>
      <c r="Q26" s="12">
        <f>O26*Calculation!I6/Calculation!K5</f>
        <v>0</v>
      </c>
    </row>
    <row r="27" spans="4:21">
      <c r="D27" s="15">
        <v>3</v>
      </c>
      <c r="E27" s="64">
        <v>4.666666666666667</v>
      </c>
      <c r="F27" s="12">
        <v>0</v>
      </c>
      <c r="G27" s="12">
        <v>0</v>
      </c>
      <c r="H27" s="12">
        <f>F27*Calculation!I7/Calculation!K6</f>
        <v>0</v>
      </c>
      <c r="I27" s="12">
        <f>G27*Calculation!I7/Calculation!K6</f>
        <v>0</v>
      </c>
      <c r="J27" s="12">
        <v>8.0429765823024244</v>
      </c>
      <c r="K27" s="12">
        <v>0.11648170331283372</v>
      </c>
      <c r="L27" s="12">
        <f>J27*Calculation!I7/Calculation!K6</f>
        <v>8.0714258660633167</v>
      </c>
      <c r="M27" s="12">
        <f>K27*Calculation!I7/Calculation!K6</f>
        <v>0.11689371757106128</v>
      </c>
      <c r="N27" s="12">
        <v>0</v>
      </c>
      <c r="O27" s="12">
        <v>0</v>
      </c>
      <c r="P27" s="12">
        <f>N27*Calculation!I7/Calculation!K6</f>
        <v>0</v>
      </c>
      <c r="Q27" s="12">
        <f>O27*Calculation!I7/Calculation!K6</f>
        <v>0</v>
      </c>
    </row>
    <row r="28" spans="4:21">
      <c r="D28" s="15">
        <v>4</v>
      </c>
      <c r="E28" s="64">
        <v>6</v>
      </c>
      <c r="F28" s="12">
        <v>0</v>
      </c>
      <c r="G28" s="12">
        <v>0</v>
      </c>
      <c r="H28" s="12">
        <f>F28*Calculation!I8/Calculation!K7</f>
        <v>0</v>
      </c>
      <c r="I28" s="12">
        <f>G28*Calculation!I8/Calculation!K7</f>
        <v>0</v>
      </c>
      <c r="J28" s="12">
        <v>16.99390912874059</v>
      </c>
      <c r="K28" s="12">
        <v>0.38810028686058096</v>
      </c>
      <c r="L28" s="12">
        <f>J28*Calculation!I8/Calculation!K7</f>
        <v>17.105002895694675</v>
      </c>
      <c r="M28" s="12">
        <f>K28*Calculation!I8/Calculation!K7</f>
        <v>0.39063740310009198</v>
      </c>
      <c r="N28" s="12">
        <v>0</v>
      </c>
      <c r="O28" s="12">
        <v>0</v>
      </c>
      <c r="P28" s="12">
        <f>N28*Calculation!I8/Calculation!K7</f>
        <v>0</v>
      </c>
      <c r="Q28" s="12">
        <f>O28*Calculation!I8/Calculation!K7</f>
        <v>0</v>
      </c>
    </row>
    <row r="29" spans="4:21">
      <c r="D29" s="15">
        <v>5</v>
      </c>
      <c r="E29" s="64">
        <v>7.333333333333333</v>
      </c>
      <c r="F29" s="12">
        <v>0</v>
      </c>
      <c r="G29" s="12">
        <v>0</v>
      </c>
      <c r="H29" s="12">
        <f>F29*Calculation!I9/Calculation!K8</f>
        <v>0</v>
      </c>
      <c r="I29" s="12">
        <f>G29*Calculation!I9/Calculation!K8</f>
        <v>0</v>
      </c>
      <c r="J29" s="12">
        <v>25.536261491317671</v>
      </c>
      <c r="K29" s="12">
        <v>0.71348240360920323</v>
      </c>
      <c r="L29" s="12">
        <f>J29*Calculation!I9/Calculation!K8</f>
        <v>25.802362495476647</v>
      </c>
      <c r="M29" s="12">
        <f>K29*Calculation!I9/Calculation!K8</f>
        <v>0.72091725792860784</v>
      </c>
      <c r="N29" s="12">
        <v>0</v>
      </c>
      <c r="O29" s="12">
        <v>0</v>
      </c>
      <c r="P29" s="12">
        <f>N29*Calculation!I9/Calculation!K8</f>
        <v>0</v>
      </c>
      <c r="Q29" s="12">
        <f>O29*Calculation!I9/Calculation!K8</f>
        <v>0</v>
      </c>
    </row>
    <row r="30" spans="4:21">
      <c r="D30" s="15">
        <v>6</v>
      </c>
      <c r="E30" s="64">
        <v>10.333333333333334</v>
      </c>
      <c r="F30" s="12">
        <v>0</v>
      </c>
      <c r="G30" s="12">
        <v>0</v>
      </c>
      <c r="H30" s="12">
        <f>F30*Calculation!I10/Calculation!K9</f>
        <v>0</v>
      </c>
      <c r="I30" s="12">
        <f>G30*Calculation!I10/Calculation!K9</f>
        <v>0</v>
      </c>
      <c r="J30" s="12">
        <v>49.218779555858198</v>
      </c>
      <c r="K30" s="12">
        <v>1.1051201723219128</v>
      </c>
      <c r="L30" s="12">
        <f>J30*Calculation!I10/Calculation!K9</f>
        <v>50.327015734903448</v>
      </c>
      <c r="M30" s="12">
        <f>K30*Calculation!I10/Calculation!K9</f>
        <v>1.1300036450169217</v>
      </c>
      <c r="N30" s="12">
        <v>0</v>
      </c>
      <c r="O30" s="12">
        <v>0</v>
      </c>
      <c r="P30" s="12">
        <f>N30*Calculation!I10/Calculation!K9</f>
        <v>0</v>
      </c>
      <c r="Q30" s="12">
        <f>O30*Calculation!I10/Calculation!K9</f>
        <v>0</v>
      </c>
    </row>
    <row r="31" spans="4:21">
      <c r="D31" s="15">
        <v>7</v>
      </c>
      <c r="E31" s="64">
        <v>11.666666666666666</v>
      </c>
      <c r="F31" s="12">
        <v>0</v>
      </c>
      <c r="G31" s="12">
        <v>0</v>
      </c>
      <c r="H31" s="12">
        <f>F31*Calculation!I11/Calculation!K10</f>
        <v>0</v>
      </c>
      <c r="I31" s="12">
        <f>G31*Calculation!I11/Calculation!K10</f>
        <v>0</v>
      </c>
      <c r="J31" s="12">
        <v>58.578292286157463</v>
      </c>
      <c r="K31" s="12">
        <v>1.1925746111963667</v>
      </c>
      <c r="L31" s="12">
        <f>J31*Calculation!I11/Calculation!K10</f>
        <v>60.288757663759782</v>
      </c>
      <c r="M31" s="12">
        <f>K31*Calculation!I11/Calculation!K10</f>
        <v>1.2273973672557981</v>
      </c>
      <c r="N31" s="12">
        <v>0</v>
      </c>
      <c r="O31" s="12">
        <v>0</v>
      </c>
      <c r="P31" s="12">
        <f>N31*Calculation!I11/Calculation!K10</f>
        <v>0</v>
      </c>
      <c r="Q31" s="12">
        <f>O31*Calculation!I11/Calculation!K10</f>
        <v>0</v>
      </c>
    </row>
    <row r="32" spans="4:21">
      <c r="D32" s="15">
        <v>8</v>
      </c>
      <c r="E32" s="64">
        <v>13</v>
      </c>
      <c r="F32" s="12">
        <v>0</v>
      </c>
      <c r="G32" s="12">
        <v>0</v>
      </c>
      <c r="H32" s="12">
        <f>F32*Calculation!I12/Calculation!K11</f>
        <v>0</v>
      </c>
      <c r="I32" s="12">
        <f>G32*Calculation!I12/Calculation!K11</f>
        <v>0</v>
      </c>
      <c r="J32" s="12">
        <v>65.539288011198124</v>
      </c>
      <c r="K32" s="12">
        <v>0.44845886619717285</v>
      </c>
      <c r="L32" s="12">
        <f>J32*Calculation!I12/Calculation!K11</f>
        <v>67.849128678542939</v>
      </c>
      <c r="M32" s="12">
        <f>K32*Calculation!I12/Calculation!K11</f>
        <v>0.46426417257457187</v>
      </c>
      <c r="N32" s="12">
        <v>0</v>
      </c>
      <c r="O32" s="12">
        <v>0</v>
      </c>
      <c r="P32" s="12">
        <f>N32*Calculation!I12/Calculation!K11</f>
        <v>0</v>
      </c>
      <c r="Q32" s="12">
        <f>O32*Calculation!I12/Calculation!K11</f>
        <v>0</v>
      </c>
    </row>
    <row r="33" spans="4:17">
      <c r="D33" s="15">
        <v>9</v>
      </c>
      <c r="E33" s="64">
        <v>14.333333333333334</v>
      </c>
      <c r="F33" s="12">
        <v>0</v>
      </c>
      <c r="G33" s="12">
        <v>0</v>
      </c>
      <c r="H33" s="12">
        <f>F33*Calculation!I13/Calculation!K12</f>
        <v>0</v>
      </c>
      <c r="I33" s="12">
        <f>G33*Calculation!I13/Calculation!K12</f>
        <v>0</v>
      </c>
      <c r="J33" s="12">
        <v>67.302235841561682</v>
      </c>
      <c r="K33" s="12">
        <v>0.25780993511747968</v>
      </c>
      <c r="L33" s="12">
        <f>J33*Calculation!I13/Calculation!K12</f>
        <v>70.093933294344637</v>
      </c>
      <c r="M33" s="12">
        <f>K33*Calculation!I13/Calculation!K12</f>
        <v>0.2685038939461869</v>
      </c>
      <c r="N33" s="12">
        <v>0</v>
      </c>
      <c r="O33" s="12">
        <v>0</v>
      </c>
      <c r="P33" s="12">
        <f>N33*Calculation!I13/Calculation!K12</f>
        <v>0</v>
      </c>
      <c r="Q33" s="12">
        <f>O33*Calculation!I13/Calculation!K12</f>
        <v>0</v>
      </c>
    </row>
    <row r="34" spans="4:17">
      <c r="D34" s="15">
        <v>10</v>
      </c>
      <c r="E34" s="64">
        <v>15.666666666666666</v>
      </c>
      <c r="F34" s="12">
        <v>0</v>
      </c>
      <c r="G34" s="12">
        <v>0</v>
      </c>
      <c r="H34" s="12">
        <f>F34*Calculation!I14/Calculation!K13</f>
        <v>0</v>
      </c>
      <c r="I34" s="12">
        <f>G34*Calculation!I14/Calculation!K13</f>
        <v>0</v>
      </c>
      <c r="J34" s="12">
        <v>67.468694434986574</v>
      </c>
      <c r="K34" s="12">
        <v>0.4653735653064523</v>
      </c>
      <c r="L34" s="12">
        <f>J34*Calculation!I14/Calculation!K13</f>
        <v>70.580430712266136</v>
      </c>
      <c r="M34" s="12">
        <f>K34*Calculation!I14/Calculation!K13</f>
        <v>0.48683714656852095</v>
      </c>
      <c r="N34" s="12">
        <v>0</v>
      </c>
      <c r="O34" s="12">
        <v>0</v>
      </c>
      <c r="P34" s="12">
        <f>N34*Calculation!I14/Calculation!K13</f>
        <v>0</v>
      </c>
      <c r="Q34" s="12">
        <f>O34*Calculation!I14/Calculation!K13</f>
        <v>0</v>
      </c>
    </row>
    <row r="35" spans="4:17">
      <c r="D35" s="15">
        <v>11</v>
      </c>
      <c r="E35" s="64">
        <v>17</v>
      </c>
      <c r="F35" s="12">
        <v>0</v>
      </c>
      <c r="G35" s="12">
        <v>0</v>
      </c>
      <c r="H35" s="12">
        <f>F35*Calculation!I15/Calculation!K14</f>
        <v>0</v>
      </c>
      <c r="I35" s="12">
        <f>G35*Calculation!I15/Calculation!K14</f>
        <v>0</v>
      </c>
      <c r="J35" s="12">
        <v>67.393031437975253</v>
      </c>
      <c r="K35" s="12">
        <v>0.27520952566069884</v>
      </c>
      <c r="L35" s="12">
        <f>J35*Calculation!I15/Calculation!K14</f>
        <v>70.696752940939774</v>
      </c>
      <c r="M35" s="12">
        <f>K35*Calculation!I15/Calculation!K14</f>
        <v>0.2887007666443116</v>
      </c>
      <c r="N35" s="12">
        <v>0</v>
      </c>
      <c r="O35" s="12">
        <v>0</v>
      </c>
      <c r="P35" s="12">
        <f>N35*Calculation!I15/Calculation!K14</f>
        <v>0</v>
      </c>
      <c r="Q35" s="12">
        <f>O35*Calculation!I15/Calculation!K14</f>
        <v>0</v>
      </c>
    </row>
    <row r="36" spans="4:17">
      <c r="D36" s="15">
        <v>12</v>
      </c>
      <c r="E36" s="64">
        <v>18.333333333333332</v>
      </c>
      <c r="F36" s="12">
        <v>0</v>
      </c>
      <c r="G36" s="12">
        <v>0</v>
      </c>
      <c r="H36" s="12">
        <f>F36*Calculation!I16/Calculation!K15</f>
        <v>0</v>
      </c>
      <c r="I36" s="12">
        <f>G36*Calculation!I16/Calculation!K15</f>
        <v>0</v>
      </c>
      <c r="J36" s="12">
        <v>67.99833541406575</v>
      </c>
      <c r="K36" s="12">
        <v>0.60497285991421668</v>
      </c>
      <c r="L36" s="12">
        <f>J36*Calculation!I16/Calculation!K15</f>
        <v>71.46851179249991</v>
      </c>
      <c r="M36" s="12">
        <f>K36*Calculation!I16/Calculation!K15</f>
        <v>0.63584659403262289</v>
      </c>
      <c r="N36" s="12">
        <v>0</v>
      </c>
      <c r="O36" s="12">
        <v>0</v>
      </c>
      <c r="P36" s="12">
        <f>N36*Calculation!I16/Calculation!K15</f>
        <v>0</v>
      </c>
      <c r="Q36" s="12">
        <f>O36*Calculation!I16/Calculation!K15</f>
        <v>0</v>
      </c>
    </row>
    <row r="37" spans="4:17">
      <c r="D37" s="15">
        <v>13</v>
      </c>
      <c r="E37" s="64">
        <v>24</v>
      </c>
      <c r="F37" s="12">
        <v>0</v>
      </c>
      <c r="G37" s="12">
        <v>0</v>
      </c>
      <c r="H37" s="12">
        <f>F37*Calculation!I17/Calculation!K16</f>
        <v>0</v>
      </c>
      <c r="I37" s="12">
        <f>G37*Calculation!I17/Calculation!K16</f>
        <v>0</v>
      </c>
      <c r="J37" s="12">
        <v>68.997086974615058</v>
      </c>
      <c r="K37" s="12">
        <v>1.6513091579687493</v>
      </c>
      <c r="L37" s="12">
        <f>J37*Calculation!I17/Calculation!K16</f>
        <v>72.736442222607124</v>
      </c>
      <c r="M37" s="12">
        <f>K37*Calculation!I17/Calculation!K16</f>
        <v>1.7408032487581129</v>
      </c>
      <c r="N37" s="12">
        <v>0</v>
      </c>
      <c r="O37" s="12">
        <v>0</v>
      </c>
      <c r="P37" s="12">
        <f>N37*Calculation!I17/Calculation!K16</f>
        <v>0</v>
      </c>
      <c r="Q37" s="12">
        <f>O37*Calculation!I17/Calculation!K16</f>
        <v>0</v>
      </c>
    </row>
    <row r="38" spans="4:17">
      <c r="D38" s="15">
        <v>14</v>
      </c>
      <c r="E38" s="64">
        <v>30</v>
      </c>
      <c r="F38" s="12">
        <v>0</v>
      </c>
      <c r="G38" s="12">
        <v>0</v>
      </c>
      <c r="H38" s="12">
        <f>F38*Calculation!I18/Calculation!K17</f>
        <v>0</v>
      </c>
      <c r="I38" s="12">
        <f>G38*Calculation!I18/Calculation!K17</f>
        <v>0</v>
      </c>
      <c r="J38" s="12">
        <v>69.662921348314612</v>
      </c>
      <c r="K38" s="12">
        <v>0.17137293009353763</v>
      </c>
      <c r="L38" s="12">
        <f>J38*Calculation!I18/Calculation!K17</f>
        <v>73.438362051052067</v>
      </c>
      <c r="M38" s="12">
        <f>K38*Calculation!I18/Calculation!K17</f>
        <v>0.18066063039521582</v>
      </c>
      <c r="N38" s="12">
        <v>0</v>
      </c>
      <c r="O38" s="12">
        <v>0</v>
      </c>
      <c r="P38" s="12">
        <f>N38*Calculation!I18/Calculation!K17</f>
        <v>0</v>
      </c>
      <c r="Q38" s="12">
        <f>O38*Calculation!I18/Calculation!K17</f>
        <v>0</v>
      </c>
    </row>
    <row r="39" spans="4:17">
      <c r="D39" s="15">
        <v>15</v>
      </c>
      <c r="E39" s="64">
        <v>48</v>
      </c>
      <c r="F39" s="12">
        <v>0</v>
      </c>
      <c r="G39" s="12">
        <v>0</v>
      </c>
      <c r="H39" s="12">
        <f>F39*Calculation!I19/Calculation!K18</f>
        <v>0</v>
      </c>
      <c r="I39" s="12">
        <f>G39*Calculation!I19/Calculation!K18</f>
        <v>0</v>
      </c>
      <c r="J39" s="12">
        <v>71.032421594219358</v>
      </c>
      <c r="K39" s="12">
        <v>0.39857956920715165</v>
      </c>
      <c r="L39" s="12">
        <f>J39*Calculation!I19/Calculation!K18</f>
        <v>74.882083516376341</v>
      </c>
      <c r="M39" s="12">
        <f>K39*Calculation!I19/Calculation!K18</f>
        <v>0.42018092470213841</v>
      </c>
      <c r="N39" s="12">
        <v>0</v>
      </c>
      <c r="O39" s="12">
        <v>0</v>
      </c>
      <c r="P39" s="12">
        <f>N39*Calculation!I19/Calculation!K18</f>
        <v>0</v>
      </c>
      <c r="Q39" s="12">
        <f>O39*Calculation!I19/Calculation!K18</f>
        <v>0</v>
      </c>
    </row>
  </sheetData>
  <mergeCells count="14">
    <mergeCell ref="F21:I21"/>
    <mergeCell ref="J21:M21"/>
    <mergeCell ref="N21:Q21"/>
    <mergeCell ref="N1:Q1"/>
    <mergeCell ref="A1:B1"/>
    <mergeCell ref="A2:B2"/>
    <mergeCell ref="A3:A4"/>
    <mergeCell ref="D21:D22"/>
    <mergeCell ref="E21:E2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Fermentation</vt:lpstr>
      <vt:lpstr>Calculation</vt:lpstr>
      <vt:lpstr>Plate Count</vt:lpstr>
      <vt:lpstr>Flow cytometer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2015-02-26T10:18:33Z</dcterms:modified>
  <cp:category/>
</cp:coreProperties>
</file>