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480" yWindow="480" windowWidth="25040" windowHeight="15540" tabRatio="930" firstSheet="10" activeTab="21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R. intestinalis " sheetId="25" r:id="rId5"/>
    <sheet name="Determination cell counts RI" sheetId="26" r:id="rId6"/>
    <sheet name="CalibrationB. hydrogenotrophica" sheetId="27" r:id="rId7"/>
    <sheet name="Determination cell count BH" sheetId="28" r:id="rId8"/>
    <sheet name="Total cell count" sheetId="29" r:id="rId9"/>
    <sheet name="OD600nm" sheetId="4" r:id="rId10"/>
    <sheet name="CDM" sheetId="5" r:id="rId11"/>
    <sheet name="H2" sheetId="17" r:id="rId12"/>
    <sheet name="CO2" sheetId="7" r:id="rId13"/>
    <sheet name="Metabolites" sheetId="8" r:id="rId14"/>
    <sheet name="D-Fructose" sheetId="19" r:id="rId15"/>
    <sheet name="Formic acid" sheetId="18" r:id="rId16"/>
    <sheet name="Acetic acid" sheetId="15" r:id="rId17"/>
    <sheet name="Propionic acid" sheetId="20" r:id="rId18"/>
    <sheet name="Butyric acid" sheetId="21" r:id="rId19"/>
    <sheet name="Lactic acid" sheetId="14" r:id="rId20"/>
    <sheet name="Ethanol" sheetId="16" r:id="rId21"/>
    <sheet name="Graph" sheetId="13" r:id="rId22"/>
    <sheet name="Graph (2)" sheetId="24" r:id="rId23"/>
    <sheet name="Carbon recovery" sheetId="23" r:id="rId24"/>
  </sheets>
  <externalReferences>
    <externalReference r:id="rId25"/>
    <externalReference r:id="rId26"/>
  </externalReferences>
  <definedNames>
    <definedName name="_2012_05_10_FPRAU_fruc1" localSheetId="12">'CO2'!$I$5:$I$293</definedName>
    <definedName name="_2012_06_08_BIF_REC_OLI_1" localSheetId="12">'CO2'!$N$5:$N$201</definedName>
    <definedName name="_2012_06_08_BIF_REC_OLI_1" localSheetId="11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28" l="1"/>
  <c r="I7" i="28"/>
  <c r="J7" i="28"/>
  <c r="H7" i="28"/>
  <c r="I6" i="28"/>
  <c r="J6" i="28"/>
  <c r="H6" i="28"/>
  <c r="H108" i="28"/>
  <c r="H106" i="28"/>
  <c r="H105" i="28"/>
  <c r="H104" i="28"/>
  <c r="H103" i="28"/>
  <c r="H102" i="28"/>
  <c r="I7" i="26"/>
  <c r="J7" i="26"/>
  <c r="H7" i="26"/>
  <c r="I6" i="26"/>
  <c r="J6" i="26"/>
  <c r="H6" i="26"/>
  <c r="H112" i="26"/>
  <c r="H109" i="26"/>
  <c r="H108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1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5" i="28"/>
  <c r="B66" i="28"/>
  <c r="B65" i="28"/>
  <c r="K5" i="28"/>
  <c r="I5" i="28"/>
  <c r="L5" i="28"/>
  <c r="J5" i="28"/>
  <c r="M5" i="28"/>
  <c r="O5" i="28"/>
  <c r="S5" i="28"/>
  <c r="M6" i="29"/>
  <c r="K6" i="28"/>
  <c r="L6" i="28"/>
  <c r="M6" i="28"/>
  <c r="O6" i="28"/>
  <c r="S6" i="28"/>
  <c r="M7" i="29"/>
  <c r="L7" i="28"/>
  <c r="M7" i="28"/>
  <c r="O7" i="28"/>
  <c r="S7" i="28"/>
  <c r="M8" i="29"/>
  <c r="H8" i="28"/>
  <c r="K8" i="28"/>
  <c r="I8" i="28"/>
  <c r="L8" i="28"/>
  <c r="J8" i="28"/>
  <c r="M8" i="28"/>
  <c r="O8" i="28"/>
  <c r="S8" i="28"/>
  <c r="M9" i="29"/>
  <c r="H9" i="28"/>
  <c r="K9" i="28"/>
  <c r="I9" i="28"/>
  <c r="L9" i="28"/>
  <c r="J9" i="28"/>
  <c r="M9" i="28"/>
  <c r="O9" i="28"/>
  <c r="S9" i="28"/>
  <c r="M10" i="29"/>
  <c r="H10" i="28"/>
  <c r="K10" i="28"/>
  <c r="I10" i="28"/>
  <c r="L10" i="28"/>
  <c r="J10" i="28"/>
  <c r="M10" i="28"/>
  <c r="O10" i="28"/>
  <c r="S10" i="28"/>
  <c r="M11" i="29"/>
  <c r="H11" i="28"/>
  <c r="K11" i="28"/>
  <c r="I11" i="28"/>
  <c r="L11" i="28"/>
  <c r="J11" i="28"/>
  <c r="M11" i="28"/>
  <c r="O11" i="28"/>
  <c r="S11" i="28"/>
  <c r="M12" i="29"/>
  <c r="H12" i="28"/>
  <c r="K12" i="28"/>
  <c r="I12" i="28"/>
  <c r="L12" i="28"/>
  <c r="J12" i="28"/>
  <c r="M12" i="28"/>
  <c r="O12" i="28"/>
  <c r="S12" i="28"/>
  <c r="M13" i="29"/>
  <c r="H13" i="28"/>
  <c r="K13" i="28"/>
  <c r="I13" i="28"/>
  <c r="L13" i="28"/>
  <c r="J13" i="28"/>
  <c r="M13" i="28"/>
  <c r="O13" i="28"/>
  <c r="S13" i="28"/>
  <c r="M14" i="29"/>
  <c r="H14" i="28"/>
  <c r="K14" i="28"/>
  <c r="I14" i="28"/>
  <c r="L14" i="28"/>
  <c r="J14" i="28"/>
  <c r="M14" i="28"/>
  <c r="O14" i="28"/>
  <c r="S14" i="28"/>
  <c r="M15" i="29"/>
  <c r="H15" i="28"/>
  <c r="K15" i="28"/>
  <c r="I15" i="28"/>
  <c r="L15" i="28"/>
  <c r="J15" i="28"/>
  <c r="M15" i="28"/>
  <c r="O15" i="28"/>
  <c r="S15" i="28"/>
  <c r="M16" i="29"/>
  <c r="H16" i="28"/>
  <c r="K16" i="28"/>
  <c r="I16" i="28"/>
  <c r="L16" i="28"/>
  <c r="J16" i="28"/>
  <c r="M16" i="28"/>
  <c r="O16" i="28"/>
  <c r="S16" i="28"/>
  <c r="M17" i="29"/>
  <c r="H17" i="28"/>
  <c r="K17" i="28"/>
  <c r="I17" i="28"/>
  <c r="L17" i="28"/>
  <c r="J17" i="28"/>
  <c r="M17" i="28"/>
  <c r="O17" i="28"/>
  <c r="S17" i="28"/>
  <c r="M18" i="29"/>
  <c r="H18" i="28"/>
  <c r="K18" i="28"/>
  <c r="I18" i="28"/>
  <c r="L18" i="28"/>
  <c r="J18" i="28"/>
  <c r="M18" i="28"/>
  <c r="O18" i="28"/>
  <c r="S18" i="28"/>
  <c r="M19" i="29"/>
  <c r="H19" i="28"/>
  <c r="K19" i="28"/>
  <c r="I19" i="28"/>
  <c r="L19" i="28"/>
  <c r="J19" i="28"/>
  <c r="M19" i="28"/>
  <c r="O19" i="28"/>
  <c r="S19" i="28"/>
  <c r="M20" i="29"/>
  <c r="H20" i="28"/>
  <c r="K20" i="28"/>
  <c r="I20" i="28"/>
  <c r="L20" i="28"/>
  <c r="J20" i="28"/>
  <c r="M20" i="28"/>
  <c r="O20" i="28"/>
  <c r="S20" i="28"/>
  <c r="M21" i="29"/>
  <c r="H4" i="28"/>
  <c r="K4" i="28"/>
  <c r="I4" i="28"/>
  <c r="L4" i="28"/>
  <c r="J4" i="28"/>
  <c r="M4" i="28"/>
  <c r="O4" i="28"/>
  <c r="S4" i="28"/>
  <c r="M5" i="29"/>
  <c r="P5" i="28"/>
  <c r="R5" i="28"/>
  <c r="L6" i="29"/>
  <c r="P6" i="28"/>
  <c r="R6" i="28"/>
  <c r="L7" i="29"/>
  <c r="P7" i="28"/>
  <c r="R7" i="28"/>
  <c r="L8" i="29"/>
  <c r="P8" i="28"/>
  <c r="R8" i="28"/>
  <c r="L9" i="29"/>
  <c r="P9" i="28"/>
  <c r="R9" i="28"/>
  <c r="L10" i="29"/>
  <c r="P10" i="28"/>
  <c r="R10" i="28"/>
  <c r="L11" i="29"/>
  <c r="P11" i="28"/>
  <c r="R11" i="28"/>
  <c r="L12" i="29"/>
  <c r="P12" i="28"/>
  <c r="R12" i="28"/>
  <c r="L13" i="29"/>
  <c r="P13" i="28"/>
  <c r="R13" i="28"/>
  <c r="L14" i="29"/>
  <c r="P14" i="28"/>
  <c r="R14" i="28"/>
  <c r="L15" i="29"/>
  <c r="P15" i="28"/>
  <c r="R15" i="28"/>
  <c r="L16" i="29"/>
  <c r="P16" i="28"/>
  <c r="R16" i="28"/>
  <c r="L17" i="29"/>
  <c r="P17" i="28"/>
  <c r="R17" i="28"/>
  <c r="L18" i="29"/>
  <c r="P18" i="28"/>
  <c r="R18" i="28"/>
  <c r="L19" i="29"/>
  <c r="P19" i="28"/>
  <c r="R19" i="28"/>
  <c r="L20" i="29"/>
  <c r="P20" i="28"/>
  <c r="R20" i="28"/>
  <c r="L21" i="29"/>
  <c r="P4" i="28"/>
  <c r="R4" i="28"/>
  <c r="L5" i="29"/>
  <c r="H5" i="26"/>
  <c r="K5" i="26"/>
  <c r="I5" i="26"/>
  <c r="L5" i="26"/>
  <c r="J5" i="26"/>
  <c r="M5" i="26"/>
  <c r="O5" i="26"/>
  <c r="S5" i="26"/>
  <c r="F6" i="29"/>
  <c r="K6" i="26"/>
  <c r="L6" i="26"/>
  <c r="M6" i="26"/>
  <c r="O6" i="26"/>
  <c r="S6" i="26"/>
  <c r="F7" i="29"/>
  <c r="K7" i="26"/>
  <c r="L7" i="26"/>
  <c r="M7" i="26"/>
  <c r="O7" i="26"/>
  <c r="S7" i="26"/>
  <c r="F8" i="29"/>
  <c r="H8" i="26"/>
  <c r="K8" i="26"/>
  <c r="I8" i="26"/>
  <c r="L8" i="26"/>
  <c r="J8" i="26"/>
  <c r="M8" i="26"/>
  <c r="O8" i="26"/>
  <c r="S8" i="26"/>
  <c r="F9" i="29"/>
  <c r="H9" i="26"/>
  <c r="K9" i="26"/>
  <c r="I9" i="26"/>
  <c r="L9" i="26"/>
  <c r="J9" i="26"/>
  <c r="M9" i="26"/>
  <c r="O9" i="26"/>
  <c r="S9" i="26"/>
  <c r="F10" i="29"/>
  <c r="H10" i="26"/>
  <c r="K10" i="26"/>
  <c r="I10" i="26"/>
  <c r="L10" i="26"/>
  <c r="J10" i="26"/>
  <c r="M10" i="26"/>
  <c r="O10" i="26"/>
  <c r="S10" i="26"/>
  <c r="F11" i="29"/>
  <c r="H11" i="26"/>
  <c r="K11" i="26"/>
  <c r="I11" i="26"/>
  <c r="L11" i="26"/>
  <c r="J11" i="26"/>
  <c r="M11" i="26"/>
  <c r="O11" i="26"/>
  <c r="S11" i="26"/>
  <c r="F12" i="29"/>
  <c r="H12" i="26"/>
  <c r="K12" i="26"/>
  <c r="I12" i="26"/>
  <c r="L12" i="26"/>
  <c r="J12" i="26"/>
  <c r="M12" i="26"/>
  <c r="O12" i="26"/>
  <c r="S12" i="26"/>
  <c r="F13" i="29"/>
  <c r="H13" i="26"/>
  <c r="K13" i="26"/>
  <c r="I13" i="26"/>
  <c r="L13" i="26"/>
  <c r="J13" i="26"/>
  <c r="M13" i="26"/>
  <c r="O13" i="26"/>
  <c r="S13" i="26"/>
  <c r="F14" i="29"/>
  <c r="H14" i="26"/>
  <c r="K14" i="26"/>
  <c r="I14" i="26"/>
  <c r="L14" i="26"/>
  <c r="J14" i="26"/>
  <c r="M14" i="26"/>
  <c r="O14" i="26"/>
  <c r="S14" i="26"/>
  <c r="F15" i="29"/>
  <c r="H15" i="26"/>
  <c r="K15" i="26"/>
  <c r="I15" i="26"/>
  <c r="L15" i="26"/>
  <c r="J15" i="26"/>
  <c r="M15" i="26"/>
  <c r="O15" i="26"/>
  <c r="S15" i="26"/>
  <c r="F16" i="29"/>
  <c r="H16" i="26"/>
  <c r="K16" i="26"/>
  <c r="I16" i="26"/>
  <c r="L16" i="26"/>
  <c r="J16" i="26"/>
  <c r="M16" i="26"/>
  <c r="O16" i="26"/>
  <c r="S16" i="26"/>
  <c r="F17" i="29"/>
  <c r="H17" i="26"/>
  <c r="K17" i="26"/>
  <c r="I17" i="26"/>
  <c r="L17" i="26"/>
  <c r="J17" i="26"/>
  <c r="M17" i="26"/>
  <c r="O17" i="26"/>
  <c r="S17" i="26"/>
  <c r="F18" i="29"/>
  <c r="H18" i="26"/>
  <c r="K18" i="26"/>
  <c r="I18" i="26"/>
  <c r="L18" i="26"/>
  <c r="J18" i="26"/>
  <c r="M18" i="26"/>
  <c r="O18" i="26"/>
  <c r="S18" i="26"/>
  <c r="F19" i="29"/>
  <c r="H19" i="26"/>
  <c r="K19" i="26"/>
  <c r="I19" i="26"/>
  <c r="L19" i="26"/>
  <c r="J19" i="26"/>
  <c r="M19" i="26"/>
  <c r="O19" i="26"/>
  <c r="S19" i="26"/>
  <c r="F20" i="29"/>
  <c r="H20" i="26"/>
  <c r="K20" i="26"/>
  <c r="I20" i="26"/>
  <c r="L20" i="26"/>
  <c r="J20" i="26"/>
  <c r="M20" i="26"/>
  <c r="O20" i="26"/>
  <c r="S20" i="26"/>
  <c r="F21" i="29"/>
  <c r="H4" i="26"/>
  <c r="K4" i="26"/>
  <c r="I4" i="26"/>
  <c r="L4" i="26"/>
  <c r="J4" i="26"/>
  <c r="M4" i="26"/>
  <c r="O4" i="26"/>
  <c r="S4" i="26"/>
  <c r="F5" i="29"/>
  <c r="P5" i="26"/>
  <c r="R5" i="26"/>
  <c r="E6" i="29"/>
  <c r="P6" i="26"/>
  <c r="R6" i="26"/>
  <c r="E7" i="29"/>
  <c r="P7" i="26"/>
  <c r="R7" i="26"/>
  <c r="E8" i="29"/>
  <c r="P8" i="26"/>
  <c r="R8" i="26"/>
  <c r="E9" i="29"/>
  <c r="P9" i="26"/>
  <c r="R9" i="26"/>
  <c r="E10" i="29"/>
  <c r="P10" i="26"/>
  <c r="R10" i="26"/>
  <c r="E11" i="29"/>
  <c r="P11" i="26"/>
  <c r="R11" i="26"/>
  <c r="E12" i="29"/>
  <c r="P12" i="26"/>
  <c r="R12" i="26"/>
  <c r="E13" i="29"/>
  <c r="P13" i="26"/>
  <c r="R13" i="26"/>
  <c r="E14" i="29"/>
  <c r="P14" i="26"/>
  <c r="R14" i="26"/>
  <c r="E15" i="29"/>
  <c r="P15" i="26"/>
  <c r="R15" i="26"/>
  <c r="E16" i="29"/>
  <c r="P16" i="26"/>
  <c r="R16" i="26"/>
  <c r="E17" i="29"/>
  <c r="P17" i="26"/>
  <c r="R17" i="26"/>
  <c r="E18" i="29"/>
  <c r="P18" i="26"/>
  <c r="R18" i="26"/>
  <c r="E19" i="29"/>
  <c r="P19" i="26"/>
  <c r="R19" i="26"/>
  <c r="E20" i="29"/>
  <c r="P20" i="26"/>
  <c r="R20" i="26"/>
  <c r="E21" i="29"/>
  <c r="P4" i="26"/>
  <c r="R4" i="26"/>
  <c r="E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5" i="29"/>
  <c r="O6" i="29"/>
  <c r="P6" i="29"/>
  <c r="O7" i="29"/>
  <c r="P7" i="29"/>
  <c r="O8" i="29"/>
  <c r="P8" i="29"/>
  <c r="O9" i="29"/>
  <c r="P9" i="29"/>
  <c r="O10" i="29"/>
  <c r="P10" i="29"/>
  <c r="O11" i="29"/>
  <c r="P11" i="29"/>
  <c r="O12" i="29"/>
  <c r="P12" i="29"/>
  <c r="O13" i="29"/>
  <c r="P13" i="29"/>
  <c r="O14" i="29"/>
  <c r="P14" i="29"/>
  <c r="O15" i="29"/>
  <c r="P15" i="29"/>
  <c r="O16" i="29"/>
  <c r="P16" i="29"/>
  <c r="O17" i="29"/>
  <c r="P17" i="29"/>
  <c r="O18" i="29"/>
  <c r="P18" i="29"/>
  <c r="O19" i="29"/>
  <c r="P19" i="29"/>
  <c r="O20" i="29"/>
  <c r="P20" i="29"/>
  <c r="O21" i="29"/>
  <c r="P21" i="29"/>
  <c r="O5" i="29"/>
  <c r="P5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K21" i="29"/>
  <c r="K20" i="29"/>
  <c r="K19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5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4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B64" i="26"/>
  <c r="B63" i="26"/>
  <c r="Q20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4" i="26"/>
  <c r="N20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H62" i="28"/>
  <c r="K62" i="28"/>
  <c r="O62" i="28"/>
  <c r="S62" i="28"/>
  <c r="I62" i="28"/>
  <c r="L62" i="28"/>
  <c r="J62" i="28"/>
  <c r="M62" i="28"/>
  <c r="P62" i="28"/>
  <c r="R62" i="28"/>
  <c r="Q62" i="28"/>
  <c r="N62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H61" i="28"/>
  <c r="K61" i="28"/>
  <c r="O61" i="28"/>
  <c r="S61" i="28"/>
  <c r="I61" i="28"/>
  <c r="L61" i="28"/>
  <c r="J61" i="28"/>
  <c r="M61" i="28"/>
  <c r="P61" i="28"/>
  <c r="R61" i="28"/>
  <c r="Q61" i="28"/>
  <c r="N61" i="28"/>
  <c r="H60" i="28"/>
  <c r="K60" i="28"/>
  <c r="I60" i="28"/>
  <c r="L60" i="28"/>
  <c r="J60" i="28"/>
  <c r="M60" i="28"/>
  <c r="O60" i="28"/>
  <c r="S60" i="28"/>
  <c r="P60" i="28"/>
  <c r="R60" i="28"/>
  <c r="Q60" i="28"/>
  <c r="N60" i="28"/>
  <c r="H59" i="28"/>
  <c r="K59" i="28"/>
  <c r="I59" i="28"/>
  <c r="L59" i="28"/>
  <c r="J59" i="28"/>
  <c r="M59" i="28"/>
  <c r="O59" i="28"/>
  <c r="S59" i="28"/>
  <c r="P59" i="28"/>
  <c r="R59" i="28"/>
  <c r="Q59" i="28"/>
  <c r="N59" i="28"/>
  <c r="H58" i="28"/>
  <c r="K58" i="28"/>
  <c r="I58" i="28"/>
  <c r="L58" i="28"/>
  <c r="J58" i="28"/>
  <c r="M58" i="28"/>
  <c r="O58" i="28"/>
  <c r="S58" i="28"/>
  <c r="P58" i="28"/>
  <c r="R58" i="28"/>
  <c r="Q58" i="28"/>
  <c r="N58" i="28"/>
  <c r="H57" i="28"/>
  <c r="K57" i="28"/>
  <c r="I57" i="28"/>
  <c r="L57" i="28"/>
  <c r="J57" i="28"/>
  <c r="M57" i="28"/>
  <c r="O57" i="28"/>
  <c r="S57" i="28"/>
  <c r="P57" i="28"/>
  <c r="R57" i="28"/>
  <c r="Q57" i="28"/>
  <c r="N57" i="28"/>
  <c r="H56" i="28"/>
  <c r="K56" i="28"/>
  <c r="I56" i="28"/>
  <c r="L56" i="28"/>
  <c r="J56" i="28"/>
  <c r="M56" i="28"/>
  <c r="O56" i="28"/>
  <c r="S56" i="28"/>
  <c r="P56" i="28"/>
  <c r="R56" i="28"/>
  <c r="Q56" i="28"/>
  <c r="N56" i="28"/>
  <c r="H55" i="28"/>
  <c r="K55" i="28"/>
  <c r="I55" i="28"/>
  <c r="L55" i="28"/>
  <c r="J55" i="28"/>
  <c r="M55" i="28"/>
  <c r="O55" i="28"/>
  <c r="S55" i="28"/>
  <c r="P55" i="28"/>
  <c r="R55" i="28"/>
  <c r="Q55" i="28"/>
  <c r="N55" i="28"/>
  <c r="H54" i="28"/>
  <c r="K54" i="28"/>
  <c r="I54" i="28"/>
  <c r="L54" i="28"/>
  <c r="J54" i="28"/>
  <c r="M54" i="28"/>
  <c r="O54" i="28"/>
  <c r="S54" i="28"/>
  <c r="P54" i="28"/>
  <c r="R54" i="28"/>
  <c r="Q54" i="28"/>
  <c r="N54" i="28"/>
  <c r="H53" i="28"/>
  <c r="K53" i="28"/>
  <c r="I53" i="28"/>
  <c r="L53" i="28"/>
  <c r="J53" i="28"/>
  <c r="M53" i="28"/>
  <c r="O53" i="28"/>
  <c r="S53" i="28"/>
  <c r="P53" i="28"/>
  <c r="R53" i="28"/>
  <c r="Q53" i="28"/>
  <c r="N53" i="28"/>
  <c r="H52" i="28"/>
  <c r="K52" i="28"/>
  <c r="I52" i="28"/>
  <c r="L52" i="28"/>
  <c r="J52" i="28"/>
  <c r="M52" i="28"/>
  <c r="O52" i="28"/>
  <c r="S52" i="28"/>
  <c r="P52" i="28"/>
  <c r="R52" i="28"/>
  <c r="Q52" i="28"/>
  <c r="N52" i="28"/>
  <c r="H51" i="28"/>
  <c r="K51" i="28"/>
  <c r="I51" i="28"/>
  <c r="L51" i="28"/>
  <c r="J51" i="28"/>
  <c r="M51" i="28"/>
  <c r="O51" i="28"/>
  <c r="S51" i="28"/>
  <c r="P51" i="28"/>
  <c r="R51" i="28"/>
  <c r="Q51" i="28"/>
  <c r="N51" i="28"/>
  <c r="H50" i="28"/>
  <c r="K50" i="28"/>
  <c r="I50" i="28"/>
  <c r="L50" i="28"/>
  <c r="J50" i="28"/>
  <c r="M50" i="28"/>
  <c r="O50" i="28"/>
  <c r="S50" i="28"/>
  <c r="P50" i="28"/>
  <c r="R50" i="28"/>
  <c r="Q50" i="28"/>
  <c r="N50" i="28"/>
  <c r="H49" i="28"/>
  <c r="K49" i="28"/>
  <c r="I49" i="28"/>
  <c r="L49" i="28"/>
  <c r="J49" i="28"/>
  <c r="M49" i="28"/>
  <c r="O49" i="28"/>
  <c r="S49" i="28"/>
  <c r="P49" i="28"/>
  <c r="R49" i="28"/>
  <c r="Q49" i="28"/>
  <c r="N49" i="28"/>
  <c r="H48" i="28"/>
  <c r="K48" i="28"/>
  <c r="I48" i="28"/>
  <c r="L48" i="28"/>
  <c r="J48" i="28"/>
  <c r="M48" i="28"/>
  <c r="O48" i="28"/>
  <c r="S48" i="28"/>
  <c r="P48" i="28"/>
  <c r="R48" i="28"/>
  <c r="Q48" i="28"/>
  <c r="N48" i="28"/>
  <c r="H47" i="28"/>
  <c r="K47" i="28"/>
  <c r="I47" i="28"/>
  <c r="L47" i="28"/>
  <c r="J47" i="28"/>
  <c r="M47" i="28"/>
  <c r="O47" i="28"/>
  <c r="S47" i="28"/>
  <c r="P47" i="28"/>
  <c r="R47" i="28"/>
  <c r="Q47" i="28"/>
  <c r="N47" i="28"/>
  <c r="H46" i="28"/>
  <c r="K46" i="28"/>
  <c r="I46" i="28"/>
  <c r="L46" i="28"/>
  <c r="J46" i="28"/>
  <c r="M46" i="28"/>
  <c r="O46" i="28"/>
  <c r="S46" i="28"/>
  <c r="P46" i="28"/>
  <c r="R46" i="28"/>
  <c r="Q46" i="28"/>
  <c r="N46" i="28"/>
  <c r="H41" i="28"/>
  <c r="K41" i="28"/>
  <c r="O41" i="28"/>
  <c r="S41" i="28"/>
  <c r="I41" i="28"/>
  <c r="L41" i="28"/>
  <c r="J41" i="28"/>
  <c r="M41" i="28"/>
  <c r="P41" i="28"/>
  <c r="R41" i="28"/>
  <c r="Q41" i="28"/>
  <c r="N41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H40" i="28"/>
  <c r="K40" i="28"/>
  <c r="O40" i="28"/>
  <c r="S40" i="28"/>
  <c r="I40" i="28"/>
  <c r="L40" i="28"/>
  <c r="J40" i="28"/>
  <c r="M40" i="28"/>
  <c r="P40" i="28"/>
  <c r="R40" i="28"/>
  <c r="Q40" i="28"/>
  <c r="N40" i="28"/>
  <c r="H39" i="28"/>
  <c r="K39" i="28"/>
  <c r="I39" i="28"/>
  <c r="L39" i="28"/>
  <c r="J39" i="28"/>
  <c r="M39" i="28"/>
  <c r="O39" i="28"/>
  <c r="S39" i="28"/>
  <c r="P39" i="28"/>
  <c r="R39" i="28"/>
  <c r="Q39" i="28"/>
  <c r="N39" i="28"/>
  <c r="H38" i="28"/>
  <c r="K38" i="28"/>
  <c r="I38" i="28"/>
  <c r="L38" i="28"/>
  <c r="J38" i="28"/>
  <c r="M38" i="28"/>
  <c r="O38" i="28"/>
  <c r="S38" i="28"/>
  <c r="P38" i="28"/>
  <c r="R38" i="28"/>
  <c r="Q38" i="28"/>
  <c r="N38" i="28"/>
  <c r="H37" i="28"/>
  <c r="K37" i="28"/>
  <c r="I37" i="28"/>
  <c r="L37" i="28"/>
  <c r="J37" i="28"/>
  <c r="M37" i="28"/>
  <c r="O37" i="28"/>
  <c r="S37" i="28"/>
  <c r="P37" i="28"/>
  <c r="R37" i="28"/>
  <c r="Q37" i="28"/>
  <c r="N37" i="28"/>
  <c r="H36" i="28"/>
  <c r="K36" i="28"/>
  <c r="I36" i="28"/>
  <c r="L36" i="28"/>
  <c r="J36" i="28"/>
  <c r="M36" i="28"/>
  <c r="O36" i="28"/>
  <c r="S36" i="28"/>
  <c r="P36" i="28"/>
  <c r="R36" i="28"/>
  <c r="Q36" i="28"/>
  <c r="N36" i="28"/>
  <c r="H35" i="28"/>
  <c r="K35" i="28"/>
  <c r="I35" i="28"/>
  <c r="L35" i="28"/>
  <c r="J35" i="28"/>
  <c r="M35" i="28"/>
  <c r="O35" i="28"/>
  <c r="S35" i="28"/>
  <c r="P35" i="28"/>
  <c r="R35" i="28"/>
  <c r="Q35" i="28"/>
  <c r="N35" i="28"/>
  <c r="H34" i="28"/>
  <c r="K34" i="28"/>
  <c r="I34" i="28"/>
  <c r="L34" i="28"/>
  <c r="J34" i="28"/>
  <c r="M34" i="28"/>
  <c r="O34" i="28"/>
  <c r="S34" i="28"/>
  <c r="P34" i="28"/>
  <c r="R34" i="28"/>
  <c r="Q34" i="28"/>
  <c r="N34" i="28"/>
  <c r="H33" i="28"/>
  <c r="K33" i="28"/>
  <c r="I33" i="28"/>
  <c r="L33" i="28"/>
  <c r="J33" i="28"/>
  <c r="M33" i="28"/>
  <c r="O33" i="28"/>
  <c r="S33" i="28"/>
  <c r="P33" i="28"/>
  <c r="R33" i="28"/>
  <c r="Q33" i="28"/>
  <c r="N33" i="28"/>
  <c r="H32" i="28"/>
  <c r="K32" i="28"/>
  <c r="I32" i="28"/>
  <c r="L32" i="28"/>
  <c r="J32" i="28"/>
  <c r="M32" i="28"/>
  <c r="O32" i="28"/>
  <c r="S32" i="28"/>
  <c r="P32" i="28"/>
  <c r="R32" i="28"/>
  <c r="Q32" i="28"/>
  <c r="N32" i="28"/>
  <c r="H31" i="28"/>
  <c r="K31" i="28"/>
  <c r="I31" i="28"/>
  <c r="L31" i="28"/>
  <c r="J31" i="28"/>
  <c r="M31" i="28"/>
  <c r="O31" i="28"/>
  <c r="S31" i="28"/>
  <c r="P31" i="28"/>
  <c r="R31" i="28"/>
  <c r="Q31" i="28"/>
  <c r="N31" i="28"/>
  <c r="H30" i="28"/>
  <c r="K30" i="28"/>
  <c r="I30" i="28"/>
  <c r="L30" i="28"/>
  <c r="J30" i="28"/>
  <c r="M30" i="28"/>
  <c r="O30" i="28"/>
  <c r="S30" i="28"/>
  <c r="P30" i="28"/>
  <c r="R30" i="28"/>
  <c r="Q30" i="28"/>
  <c r="N30" i="28"/>
  <c r="H29" i="28"/>
  <c r="K29" i="28"/>
  <c r="I29" i="28"/>
  <c r="L29" i="28"/>
  <c r="J29" i="28"/>
  <c r="M29" i="28"/>
  <c r="O29" i="28"/>
  <c r="S29" i="28"/>
  <c r="P29" i="28"/>
  <c r="R29" i="28"/>
  <c r="Q29" i="28"/>
  <c r="N29" i="28"/>
  <c r="H28" i="28"/>
  <c r="K28" i="28"/>
  <c r="I28" i="28"/>
  <c r="L28" i="28"/>
  <c r="J28" i="28"/>
  <c r="M28" i="28"/>
  <c r="O28" i="28"/>
  <c r="S28" i="28"/>
  <c r="P28" i="28"/>
  <c r="R28" i="28"/>
  <c r="Q28" i="28"/>
  <c r="N28" i="28"/>
  <c r="H27" i="28"/>
  <c r="K27" i="28"/>
  <c r="I27" i="28"/>
  <c r="L27" i="28"/>
  <c r="J27" i="28"/>
  <c r="M27" i="28"/>
  <c r="O27" i="28"/>
  <c r="S27" i="28"/>
  <c r="P27" i="28"/>
  <c r="R27" i="28"/>
  <c r="Q27" i="28"/>
  <c r="N27" i="28"/>
  <c r="H26" i="28"/>
  <c r="K26" i="28"/>
  <c r="I26" i="28"/>
  <c r="L26" i="28"/>
  <c r="J26" i="28"/>
  <c r="M26" i="28"/>
  <c r="O26" i="28"/>
  <c r="S26" i="28"/>
  <c r="P26" i="28"/>
  <c r="R26" i="28"/>
  <c r="Q26" i="28"/>
  <c r="N26" i="28"/>
  <c r="H25" i="28"/>
  <c r="K25" i="28"/>
  <c r="I25" i="28"/>
  <c r="L25" i="28"/>
  <c r="J25" i="28"/>
  <c r="M25" i="28"/>
  <c r="O25" i="28"/>
  <c r="S25" i="28"/>
  <c r="P25" i="28"/>
  <c r="R25" i="28"/>
  <c r="Q25" i="28"/>
  <c r="N25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D48" i="27"/>
  <c r="F40" i="27"/>
  <c r="G38" i="27"/>
  <c r="H38" i="27"/>
  <c r="I38" i="27"/>
  <c r="J38" i="27"/>
  <c r="K38" i="27"/>
  <c r="L38" i="27"/>
  <c r="F38" i="27"/>
  <c r="G37" i="27"/>
  <c r="H37" i="27"/>
  <c r="I37" i="27"/>
  <c r="J37" i="27"/>
  <c r="K37" i="27"/>
  <c r="L37" i="27"/>
  <c r="F37" i="27"/>
  <c r="G36" i="27"/>
  <c r="H36" i="27"/>
  <c r="I36" i="27"/>
  <c r="J36" i="27"/>
  <c r="K36" i="27"/>
  <c r="L36" i="27"/>
  <c r="F36" i="27"/>
  <c r="G35" i="27"/>
  <c r="H35" i="27"/>
  <c r="I35" i="27"/>
  <c r="J35" i="27"/>
  <c r="K35" i="27"/>
  <c r="L35" i="27"/>
  <c r="F35" i="27"/>
  <c r="G34" i="27"/>
  <c r="H34" i="27"/>
  <c r="I34" i="27"/>
  <c r="J34" i="27"/>
  <c r="K34" i="27"/>
  <c r="L34" i="27"/>
  <c r="F34" i="27"/>
  <c r="G33" i="27"/>
  <c r="H33" i="27"/>
  <c r="I33" i="27"/>
  <c r="J33" i="27"/>
  <c r="K33" i="27"/>
  <c r="L33" i="27"/>
  <c r="F33" i="27"/>
  <c r="G32" i="27"/>
  <c r="H32" i="27"/>
  <c r="I32" i="27"/>
  <c r="J32" i="27"/>
  <c r="K32" i="27"/>
  <c r="L32" i="27"/>
  <c r="F32" i="27"/>
  <c r="G31" i="27"/>
  <c r="H31" i="27"/>
  <c r="I31" i="27"/>
  <c r="J31" i="27"/>
  <c r="K31" i="27"/>
  <c r="L31" i="27"/>
  <c r="F31" i="27"/>
  <c r="G30" i="27"/>
  <c r="H30" i="27"/>
  <c r="I30" i="27"/>
  <c r="J30" i="27"/>
  <c r="K30" i="27"/>
  <c r="L30" i="27"/>
  <c r="F30" i="27"/>
  <c r="G29" i="27"/>
  <c r="H29" i="27"/>
  <c r="I29" i="27"/>
  <c r="J29" i="27"/>
  <c r="K29" i="27"/>
  <c r="L29" i="27"/>
  <c r="F29" i="27"/>
  <c r="G28" i="27"/>
  <c r="H28" i="27"/>
  <c r="I28" i="27"/>
  <c r="J28" i="27"/>
  <c r="K28" i="27"/>
  <c r="L28" i="27"/>
  <c r="F28" i="27"/>
  <c r="G27" i="27"/>
  <c r="H27" i="27"/>
  <c r="I27" i="27"/>
  <c r="J27" i="27"/>
  <c r="K27" i="27"/>
  <c r="L27" i="27"/>
  <c r="F27" i="27"/>
  <c r="G26" i="27"/>
  <c r="H26" i="27"/>
  <c r="I26" i="27"/>
  <c r="J26" i="27"/>
  <c r="K26" i="27"/>
  <c r="L26" i="27"/>
  <c r="F26" i="27"/>
  <c r="G25" i="27"/>
  <c r="H25" i="27"/>
  <c r="I25" i="27"/>
  <c r="J25" i="27"/>
  <c r="K25" i="27"/>
  <c r="L25" i="27"/>
  <c r="F25" i="27"/>
  <c r="G24" i="27"/>
  <c r="H24" i="27"/>
  <c r="I24" i="27"/>
  <c r="J24" i="27"/>
  <c r="K24" i="27"/>
  <c r="L24" i="27"/>
  <c r="F24" i="27"/>
  <c r="G23" i="27"/>
  <c r="H23" i="27"/>
  <c r="I23" i="27"/>
  <c r="J23" i="27"/>
  <c r="K23" i="27"/>
  <c r="L23" i="27"/>
  <c r="F23" i="27"/>
  <c r="O19" i="27"/>
  <c r="K19" i="27"/>
  <c r="G19" i="27"/>
  <c r="P19" i="27"/>
  <c r="R19" i="27"/>
  <c r="Q19" i="27"/>
  <c r="O18" i="27"/>
  <c r="K18" i="27"/>
  <c r="G18" i="27"/>
  <c r="P18" i="27"/>
  <c r="R18" i="27"/>
  <c r="Q18" i="27"/>
  <c r="O17" i="27"/>
  <c r="K17" i="27"/>
  <c r="G17" i="27"/>
  <c r="P17" i="27"/>
  <c r="R17" i="27"/>
  <c r="Q17" i="27"/>
  <c r="O16" i="27"/>
  <c r="K16" i="27"/>
  <c r="G16" i="27"/>
  <c r="P16" i="27"/>
  <c r="R16" i="27"/>
  <c r="Q16" i="27"/>
  <c r="O15" i="27"/>
  <c r="K15" i="27"/>
  <c r="G15" i="27"/>
  <c r="P15" i="27"/>
  <c r="R15" i="27"/>
  <c r="Q15" i="27"/>
  <c r="O14" i="27"/>
  <c r="K14" i="27"/>
  <c r="G14" i="27"/>
  <c r="P14" i="27"/>
  <c r="R14" i="27"/>
  <c r="Q14" i="27"/>
  <c r="O13" i="27"/>
  <c r="K13" i="27"/>
  <c r="G13" i="27"/>
  <c r="P13" i="27"/>
  <c r="R13" i="27"/>
  <c r="Q13" i="27"/>
  <c r="O12" i="27"/>
  <c r="K12" i="27"/>
  <c r="G12" i="27"/>
  <c r="P12" i="27"/>
  <c r="R12" i="27"/>
  <c r="Q12" i="27"/>
  <c r="O11" i="27"/>
  <c r="K11" i="27"/>
  <c r="G11" i="27"/>
  <c r="P11" i="27"/>
  <c r="R11" i="27"/>
  <c r="Q11" i="27"/>
  <c r="O10" i="27"/>
  <c r="K10" i="27"/>
  <c r="G10" i="27"/>
  <c r="P10" i="27"/>
  <c r="R10" i="27"/>
  <c r="Q10" i="27"/>
  <c r="O9" i="27"/>
  <c r="K9" i="27"/>
  <c r="G9" i="27"/>
  <c r="P9" i="27"/>
  <c r="R9" i="27"/>
  <c r="Q9" i="27"/>
  <c r="O8" i="27"/>
  <c r="K8" i="27"/>
  <c r="G8" i="27"/>
  <c r="P8" i="27"/>
  <c r="R8" i="27"/>
  <c r="Q8" i="27"/>
  <c r="O7" i="27"/>
  <c r="K7" i="27"/>
  <c r="G7" i="27"/>
  <c r="P7" i="27"/>
  <c r="R7" i="27"/>
  <c r="Q7" i="27"/>
  <c r="O6" i="27"/>
  <c r="K6" i="27"/>
  <c r="G6" i="27"/>
  <c r="P6" i="27"/>
  <c r="R6" i="27"/>
  <c r="Q6" i="27"/>
  <c r="O5" i="27"/>
  <c r="K5" i="27"/>
  <c r="G5" i="27"/>
  <c r="P5" i="27"/>
  <c r="R5" i="27"/>
  <c r="Q5" i="27"/>
  <c r="O4" i="27"/>
  <c r="K4" i="27"/>
  <c r="G4" i="27"/>
  <c r="P4" i="27"/>
  <c r="R4" i="27"/>
  <c r="Q4" i="27"/>
  <c r="H60" i="26"/>
  <c r="K60" i="26"/>
  <c r="I60" i="26"/>
  <c r="L60" i="26"/>
  <c r="J60" i="26"/>
  <c r="M60" i="26"/>
  <c r="O60" i="26"/>
  <c r="S60" i="26"/>
  <c r="P60" i="26"/>
  <c r="R60" i="26"/>
  <c r="Q60" i="26"/>
  <c r="N60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D60" i="26"/>
  <c r="H59" i="26"/>
  <c r="K59" i="26"/>
  <c r="I59" i="26"/>
  <c r="L59" i="26"/>
  <c r="J59" i="26"/>
  <c r="M59" i="26"/>
  <c r="O59" i="26"/>
  <c r="S59" i="26"/>
  <c r="P59" i="26"/>
  <c r="R59" i="26"/>
  <c r="Q59" i="26"/>
  <c r="N59" i="26"/>
  <c r="D59" i="26"/>
  <c r="H58" i="26"/>
  <c r="K58" i="26"/>
  <c r="I58" i="26"/>
  <c r="L58" i="26"/>
  <c r="J58" i="26"/>
  <c r="M58" i="26"/>
  <c r="O58" i="26"/>
  <c r="S58" i="26"/>
  <c r="P58" i="26"/>
  <c r="R58" i="26"/>
  <c r="Q58" i="26"/>
  <c r="N58" i="26"/>
  <c r="D58" i="26"/>
  <c r="H57" i="26"/>
  <c r="K57" i="26"/>
  <c r="I57" i="26"/>
  <c r="L57" i="26"/>
  <c r="J57" i="26"/>
  <c r="M57" i="26"/>
  <c r="O57" i="26"/>
  <c r="S57" i="26"/>
  <c r="P57" i="26"/>
  <c r="R57" i="26"/>
  <c r="Q57" i="26"/>
  <c r="N57" i="26"/>
  <c r="D57" i="26"/>
  <c r="H56" i="26"/>
  <c r="K56" i="26"/>
  <c r="I56" i="26"/>
  <c r="L56" i="26"/>
  <c r="J56" i="26"/>
  <c r="M56" i="26"/>
  <c r="O56" i="26"/>
  <c r="S56" i="26"/>
  <c r="P56" i="26"/>
  <c r="R56" i="26"/>
  <c r="Q56" i="26"/>
  <c r="N56" i="26"/>
  <c r="D56" i="26"/>
  <c r="H55" i="26"/>
  <c r="K55" i="26"/>
  <c r="I55" i="26"/>
  <c r="L55" i="26"/>
  <c r="J55" i="26"/>
  <c r="M55" i="26"/>
  <c r="O55" i="26"/>
  <c r="S55" i="26"/>
  <c r="P55" i="26"/>
  <c r="R55" i="26"/>
  <c r="Q55" i="26"/>
  <c r="N55" i="26"/>
  <c r="D55" i="26"/>
  <c r="H54" i="26"/>
  <c r="K54" i="26"/>
  <c r="I54" i="26"/>
  <c r="L54" i="26"/>
  <c r="J54" i="26"/>
  <c r="M54" i="26"/>
  <c r="O54" i="26"/>
  <c r="S54" i="26"/>
  <c r="P54" i="26"/>
  <c r="R54" i="26"/>
  <c r="Q54" i="26"/>
  <c r="N54" i="26"/>
  <c r="D54" i="26"/>
  <c r="H53" i="26"/>
  <c r="K53" i="26"/>
  <c r="I53" i="26"/>
  <c r="L53" i="26"/>
  <c r="J53" i="26"/>
  <c r="M53" i="26"/>
  <c r="O53" i="26"/>
  <c r="S53" i="26"/>
  <c r="P53" i="26"/>
  <c r="R53" i="26"/>
  <c r="Q53" i="26"/>
  <c r="N53" i="26"/>
  <c r="D53" i="26"/>
  <c r="H52" i="26"/>
  <c r="K52" i="26"/>
  <c r="I52" i="26"/>
  <c r="L52" i="26"/>
  <c r="J52" i="26"/>
  <c r="M52" i="26"/>
  <c r="O52" i="26"/>
  <c r="S52" i="26"/>
  <c r="P52" i="26"/>
  <c r="R52" i="26"/>
  <c r="Q52" i="26"/>
  <c r="N52" i="26"/>
  <c r="D52" i="26"/>
  <c r="H51" i="26"/>
  <c r="K51" i="26"/>
  <c r="I51" i="26"/>
  <c r="L51" i="26"/>
  <c r="J51" i="26"/>
  <c r="M51" i="26"/>
  <c r="O51" i="26"/>
  <c r="S51" i="26"/>
  <c r="P51" i="26"/>
  <c r="R51" i="26"/>
  <c r="Q51" i="26"/>
  <c r="N51" i="26"/>
  <c r="D51" i="26"/>
  <c r="H50" i="26"/>
  <c r="K50" i="26"/>
  <c r="I50" i="26"/>
  <c r="L50" i="26"/>
  <c r="J50" i="26"/>
  <c r="M50" i="26"/>
  <c r="O50" i="26"/>
  <c r="S50" i="26"/>
  <c r="P50" i="26"/>
  <c r="R50" i="26"/>
  <c r="Q50" i="26"/>
  <c r="N50" i="26"/>
  <c r="D50" i="26"/>
  <c r="H49" i="26"/>
  <c r="K49" i="26"/>
  <c r="I49" i="26"/>
  <c r="L49" i="26"/>
  <c r="J49" i="26"/>
  <c r="M49" i="26"/>
  <c r="O49" i="26"/>
  <c r="S49" i="26"/>
  <c r="P49" i="26"/>
  <c r="R49" i="26"/>
  <c r="Q49" i="26"/>
  <c r="N49" i="26"/>
  <c r="D49" i="26"/>
  <c r="H48" i="26"/>
  <c r="K48" i="26"/>
  <c r="I48" i="26"/>
  <c r="L48" i="26"/>
  <c r="J48" i="26"/>
  <c r="M48" i="26"/>
  <c r="O48" i="26"/>
  <c r="S48" i="26"/>
  <c r="P48" i="26"/>
  <c r="R48" i="26"/>
  <c r="Q48" i="26"/>
  <c r="N48" i="26"/>
  <c r="D48" i="26"/>
  <c r="H47" i="26"/>
  <c r="K47" i="26"/>
  <c r="I47" i="26"/>
  <c r="L47" i="26"/>
  <c r="J47" i="26"/>
  <c r="M47" i="26"/>
  <c r="O47" i="26"/>
  <c r="S47" i="26"/>
  <c r="P47" i="26"/>
  <c r="R47" i="26"/>
  <c r="Q47" i="26"/>
  <c r="N47" i="26"/>
  <c r="D47" i="26"/>
  <c r="H46" i="26"/>
  <c r="K46" i="26"/>
  <c r="I46" i="26"/>
  <c r="L46" i="26"/>
  <c r="J46" i="26"/>
  <c r="M46" i="26"/>
  <c r="O46" i="26"/>
  <c r="S46" i="26"/>
  <c r="P46" i="26"/>
  <c r="R46" i="26"/>
  <c r="Q46" i="26"/>
  <c r="N46" i="26"/>
  <c r="D46" i="26"/>
  <c r="H45" i="26"/>
  <c r="K45" i="26"/>
  <c r="I45" i="26"/>
  <c r="L45" i="26"/>
  <c r="J45" i="26"/>
  <c r="M45" i="26"/>
  <c r="O45" i="26"/>
  <c r="S45" i="26"/>
  <c r="P45" i="26"/>
  <c r="R45" i="26"/>
  <c r="Q45" i="26"/>
  <c r="N45" i="26"/>
  <c r="D45" i="26"/>
  <c r="H40" i="26"/>
  <c r="K40" i="26"/>
  <c r="I40" i="26"/>
  <c r="L40" i="26"/>
  <c r="J40" i="26"/>
  <c r="M40" i="26"/>
  <c r="O40" i="26"/>
  <c r="S40" i="26"/>
  <c r="P40" i="26"/>
  <c r="R40" i="26"/>
  <c r="Q40" i="26"/>
  <c r="N40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D40" i="26"/>
  <c r="H39" i="26"/>
  <c r="K39" i="26"/>
  <c r="I39" i="26"/>
  <c r="L39" i="26"/>
  <c r="J39" i="26"/>
  <c r="M39" i="26"/>
  <c r="O39" i="26"/>
  <c r="S39" i="26"/>
  <c r="P39" i="26"/>
  <c r="R39" i="26"/>
  <c r="Q39" i="26"/>
  <c r="N39" i="26"/>
  <c r="D39" i="26"/>
  <c r="H38" i="26"/>
  <c r="K38" i="26"/>
  <c r="I38" i="26"/>
  <c r="L38" i="26"/>
  <c r="J38" i="26"/>
  <c r="M38" i="26"/>
  <c r="O38" i="26"/>
  <c r="S38" i="26"/>
  <c r="P38" i="26"/>
  <c r="R38" i="26"/>
  <c r="Q38" i="26"/>
  <c r="N38" i="26"/>
  <c r="D38" i="26"/>
  <c r="H37" i="26"/>
  <c r="K37" i="26"/>
  <c r="I37" i="26"/>
  <c r="L37" i="26"/>
  <c r="J37" i="26"/>
  <c r="M37" i="26"/>
  <c r="O37" i="26"/>
  <c r="S37" i="26"/>
  <c r="P37" i="26"/>
  <c r="R37" i="26"/>
  <c r="Q37" i="26"/>
  <c r="N37" i="26"/>
  <c r="D37" i="26"/>
  <c r="H36" i="26"/>
  <c r="K36" i="26"/>
  <c r="I36" i="26"/>
  <c r="L36" i="26"/>
  <c r="J36" i="26"/>
  <c r="M36" i="26"/>
  <c r="O36" i="26"/>
  <c r="S36" i="26"/>
  <c r="P36" i="26"/>
  <c r="R36" i="26"/>
  <c r="Q36" i="26"/>
  <c r="N36" i="26"/>
  <c r="D36" i="26"/>
  <c r="H35" i="26"/>
  <c r="K35" i="26"/>
  <c r="I35" i="26"/>
  <c r="L35" i="26"/>
  <c r="J35" i="26"/>
  <c r="M35" i="26"/>
  <c r="O35" i="26"/>
  <c r="S35" i="26"/>
  <c r="P35" i="26"/>
  <c r="R35" i="26"/>
  <c r="Q35" i="26"/>
  <c r="N35" i="26"/>
  <c r="D35" i="26"/>
  <c r="H34" i="26"/>
  <c r="K34" i="26"/>
  <c r="I34" i="26"/>
  <c r="L34" i="26"/>
  <c r="J34" i="26"/>
  <c r="M34" i="26"/>
  <c r="O34" i="26"/>
  <c r="S34" i="26"/>
  <c r="P34" i="26"/>
  <c r="R34" i="26"/>
  <c r="Q34" i="26"/>
  <c r="N34" i="26"/>
  <c r="D34" i="26"/>
  <c r="H33" i="26"/>
  <c r="K33" i="26"/>
  <c r="I33" i="26"/>
  <c r="L33" i="26"/>
  <c r="J33" i="26"/>
  <c r="M33" i="26"/>
  <c r="O33" i="26"/>
  <c r="S33" i="26"/>
  <c r="P33" i="26"/>
  <c r="R33" i="26"/>
  <c r="Q33" i="26"/>
  <c r="N33" i="26"/>
  <c r="D33" i="26"/>
  <c r="H32" i="26"/>
  <c r="K32" i="26"/>
  <c r="I32" i="26"/>
  <c r="L32" i="26"/>
  <c r="J32" i="26"/>
  <c r="M32" i="26"/>
  <c r="O32" i="26"/>
  <c r="S32" i="26"/>
  <c r="P32" i="26"/>
  <c r="R32" i="26"/>
  <c r="Q32" i="26"/>
  <c r="N32" i="26"/>
  <c r="D32" i="26"/>
  <c r="H31" i="26"/>
  <c r="K31" i="26"/>
  <c r="I31" i="26"/>
  <c r="L31" i="26"/>
  <c r="J31" i="26"/>
  <c r="M31" i="26"/>
  <c r="O31" i="26"/>
  <c r="S31" i="26"/>
  <c r="P31" i="26"/>
  <c r="R31" i="26"/>
  <c r="Q31" i="26"/>
  <c r="N31" i="26"/>
  <c r="D31" i="26"/>
  <c r="H30" i="26"/>
  <c r="K30" i="26"/>
  <c r="I30" i="26"/>
  <c r="L30" i="26"/>
  <c r="J30" i="26"/>
  <c r="M30" i="26"/>
  <c r="O30" i="26"/>
  <c r="S30" i="26"/>
  <c r="P30" i="26"/>
  <c r="R30" i="26"/>
  <c r="Q30" i="26"/>
  <c r="N30" i="26"/>
  <c r="D30" i="26"/>
  <c r="H29" i="26"/>
  <c r="K29" i="26"/>
  <c r="I29" i="26"/>
  <c r="L29" i="26"/>
  <c r="J29" i="26"/>
  <c r="M29" i="26"/>
  <c r="O29" i="26"/>
  <c r="S29" i="26"/>
  <c r="P29" i="26"/>
  <c r="R29" i="26"/>
  <c r="Q29" i="26"/>
  <c r="N29" i="26"/>
  <c r="D29" i="26"/>
  <c r="H28" i="26"/>
  <c r="K28" i="26"/>
  <c r="I28" i="26"/>
  <c r="L28" i="26"/>
  <c r="J28" i="26"/>
  <c r="M28" i="26"/>
  <c r="O28" i="26"/>
  <c r="S28" i="26"/>
  <c r="P28" i="26"/>
  <c r="R28" i="26"/>
  <c r="Q28" i="26"/>
  <c r="N28" i="26"/>
  <c r="D28" i="26"/>
  <c r="H27" i="26"/>
  <c r="K27" i="26"/>
  <c r="I27" i="26"/>
  <c r="L27" i="26"/>
  <c r="J27" i="26"/>
  <c r="M27" i="26"/>
  <c r="O27" i="26"/>
  <c r="S27" i="26"/>
  <c r="P27" i="26"/>
  <c r="R27" i="26"/>
  <c r="Q27" i="26"/>
  <c r="N27" i="26"/>
  <c r="D27" i="26"/>
  <c r="H26" i="26"/>
  <c r="K26" i="26"/>
  <c r="I26" i="26"/>
  <c r="L26" i="26"/>
  <c r="J26" i="26"/>
  <c r="M26" i="26"/>
  <c r="O26" i="26"/>
  <c r="S26" i="26"/>
  <c r="P26" i="26"/>
  <c r="R26" i="26"/>
  <c r="Q26" i="26"/>
  <c r="N26" i="26"/>
  <c r="D26" i="26"/>
  <c r="H25" i="26"/>
  <c r="K25" i="26"/>
  <c r="I25" i="26"/>
  <c r="L25" i="26"/>
  <c r="J25" i="26"/>
  <c r="M25" i="26"/>
  <c r="O25" i="26"/>
  <c r="S25" i="26"/>
  <c r="P25" i="26"/>
  <c r="R25" i="26"/>
  <c r="Q25" i="26"/>
  <c r="N25" i="26"/>
  <c r="D25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N7" i="26"/>
  <c r="N6" i="26"/>
  <c r="N5" i="26"/>
  <c r="N4" i="26"/>
  <c r="D48" i="25"/>
  <c r="F40" i="25"/>
  <c r="G38" i="25"/>
  <c r="H38" i="25"/>
  <c r="I38" i="25"/>
  <c r="J38" i="25"/>
  <c r="K38" i="25"/>
  <c r="L38" i="25"/>
  <c r="F38" i="25"/>
  <c r="G37" i="25"/>
  <c r="H37" i="25"/>
  <c r="I37" i="25"/>
  <c r="J37" i="25"/>
  <c r="K37" i="25"/>
  <c r="L37" i="25"/>
  <c r="F37" i="25"/>
  <c r="G36" i="25"/>
  <c r="H36" i="25"/>
  <c r="I36" i="25"/>
  <c r="J36" i="25"/>
  <c r="L36" i="25"/>
  <c r="F36" i="25"/>
  <c r="G35" i="25"/>
  <c r="H35" i="25"/>
  <c r="I35" i="25"/>
  <c r="J35" i="25"/>
  <c r="K35" i="25"/>
  <c r="L35" i="25"/>
  <c r="F35" i="25"/>
  <c r="G34" i="25"/>
  <c r="H34" i="25"/>
  <c r="I34" i="25"/>
  <c r="J34" i="25"/>
  <c r="K34" i="25"/>
  <c r="L34" i="25"/>
  <c r="F34" i="25"/>
  <c r="G33" i="25"/>
  <c r="H33" i="25"/>
  <c r="I33" i="25"/>
  <c r="J33" i="25"/>
  <c r="K33" i="25"/>
  <c r="L33" i="25"/>
  <c r="F33" i="25"/>
  <c r="G32" i="25"/>
  <c r="H32" i="25"/>
  <c r="I32" i="25"/>
  <c r="J32" i="25"/>
  <c r="K32" i="25"/>
  <c r="L32" i="25"/>
  <c r="F32" i="25"/>
  <c r="G31" i="25"/>
  <c r="H31" i="25"/>
  <c r="I31" i="25"/>
  <c r="J31" i="25"/>
  <c r="K31" i="25"/>
  <c r="L31" i="25"/>
  <c r="F31" i="25"/>
  <c r="G30" i="25"/>
  <c r="H30" i="25"/>
  <c r="I30" i="25"/>
  <c r="J30" i="25"/>
  <c r="K30" i="25"/>
  <c r="L30" i="25"/>
  <c r="F30" i="25"/>
  <c r="G29" i="25"/>
  <c r="H29" i="25"/>
  <c r="I29" i="25"/>
  <c r="J29" i="25"/>
  <c r="K29" i="25"/>
  <c r="L29" i="25"/>
  <c r="F29" i="25"/>
  <c r="G28" i="25"/>
  <c r="H28" i="25"/>
  <c r="I28" i="25"/>
  <c r="J28" i="25"/>
  <c r="K28" i="25"/>
  <c r="L28" i="25"/>
  <c r="F28" i="25"/>
  <c r="G27" i="25"/>
  <c r="H27" i="25"/>
  <c r="I27" i="25"/>
  <c r="J27" i="25"/>
  <c r="K27" i="25"/>
  <c r="L27" i="25"/>
  <c r="F27" i="25"/>
  <c r="G26" i="25"/>
  <c r="H26" i="25"/>
  <c r="I26" i="25"/>
  <c r="J26" i="25"/>
  <c r="K26" i="25"/>
  <c r="L26" i="25"/>
  <c r="F26" i="25"/>
  <c r="G25" i="25"/>
  <c r="H25" i="25"/>
  <c r="I25" i="25"/>
  <c r="J25" i="25"/>
  <c r="K25" i="25"/>
  <c r="L25" i="25"/>
  <c r="F25" i="25"/>
  <c r="G24" i="25"/>
  <c r="H24" i="25"/>
  <c r="I24" i="25"/>
  <c r="J24" i="25"/>
  <c r="K24" i="25"/>
  <c r="L24" i="25"/>
  <c r="F24" i="25"/>
  <c r="G23" i="25"/>
  <c r="H23" i="25"/>
  <c r="I23" i="25"/>
  <c r="J23" i="25"/>
  <c r="K23" i="25"/>
  <c r="L23" i="25"/>
  <c r="F23" i="25"/>
  <c r="O19" i="25"/>
  <c r="K19" i="25"/>
  <c r="G19" i="25"/>
  <c r="P19" i="25"/>
  <c r="R19" i="25"/>
  <c r="Q19" i="25"/>
  <c r="O18" i="25"/>
  <c r="K18" i="25"/>
  <c r="G18" i="25"/>
  <c r="P18" i="25"/>
  <c r="R18" i="25"/>
  <c r="Q18" i="25"/>
  <c r="O17" i="25"/>
  <c r="K17" i="25"/>
  <c r="G17" i="25"/>
  <c r="P17" i="25"/>
  <c r="R17" i="25"/>
  <c r="Q17" i="25"/>
  <c r="O16" i="25"/>
  <c r="K16" i="25"/>
  <c r="G16" i="25"/>
  <c r="P16" i="25"/>
  <c r="R16" i="25"/>
  <c r="Q16" i="25"/>
  <c r="O15" i="25"/>
  <c r="K15" i="25"/>
  <c r="G15" i="25"/>
  <c r="P15" i="25"/>
  <c r="R15" i="25"/>
  <c r="Q15" i="25"/>
  <c r="O14" i="25"/>
  <c r="K14" i="25"/>
  <c r="G14" i="25"/>
  <c r="P14" i="25"/>
  <c r="R14" i="25"/>
  <c r="Q14" i="25"/>
  <c r="O13" i="25"/>
  <c r="K13" i="25"/>
  <c r="G13" i="25"/>
  <c r="P13" i="25"/>
  <c r="R13" i="25"/>
  <c r="Q13" i="25"/>
  <c r="O12" i="25"/>
  <c r="K12" i="25"/>
  <c r="G12" i="25"/>
  <c r="P12" i="25"/>
  <c r="R12" i="25"/>
  <c r="Q12" i="25"/>
  <c r="O11" i="25"/>
  <c r="K11" i="25"/>
  <c r="G11" i="25"/>
  <c r="P11" i="25"/>
  <c r="R11" i="25"/>
  <c r="Q11" i="25"/>
  <c r="O10" i="25"/>
  <c r="K10" i="25"/>
  <c r="G10" i="25"/>
  <c r="P10" i="25"/>
  <c r="R10" i="25"/>
  <c r="Q10" i="25"/>
  <c r="O9" i="25"/>
  <c r="K9" i="25"/>
  <c r="G9" i="25"/>
  <c r="P9" i="25"/>
  <c r="R9" i="25"/>
  <c r="Q9" i="25"/>
  <c r="O8" i="25"/>
  <c r="K8" i="25"/>
  <c r="G8" i="25"/>
  <c r="P8" i="25"/>
  <c r="R8" i="25"/>
  <c r="Q8" i="25"/>
  <c r="O7" i="25"/>
  <c r="K7" i="25"/>
  <c r="G7" i="25"/>
  <c r="P7" i="25"/>
  <c r="R7" i="25"/>
  <c r="Q7" i="25"/>
  <c r="O6" i="25"/>
  <c r="K6" i="25"/>
  <c r="G6" i="25"/>
  <c r="P6" i="25"/>
  <c r="R6" i="25"/>
  <c r="Q6" i="25"/>
  <c r="O5" i="25"/>
  <c r="K5" i="25"/>
  <c r="G5" i="25"/>
  <c r="P5" i="25"/>
  <c r="R5" i="25"/>
  <c r="Q5" i="25"/>
  <c r="O4" i="25"/>
  <c r="K4" i="25"/>
  <c r="G4" i="25"/>
  <c r="P4" i="25"/>
  <c r="R4" i="25"/>
  <c r="Q4" i="25"/>
  <c r="L41" i="8"/>
  <c r="L25" i="8"/>
  <c r="B6" i="23"/>
  <c r="P4" i="8"/>
  <c r="P20" i="8"/>
  <c r="B3" i="23"/>
  <c r="L20" i="8"/>
  <c r="L4" i="8"/>
  <c r="B5" i="23"/>
  <c r="B12" i="23"/>
  <c r="B4" i="23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101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65" i="17"/>
  <c r="F54" i="17"/>
  <c r="F55" i="17"/>
  <c r="F56" i="17"/>
  <c r="F57" i="17"/>
  <c r="F58" i="17"/>
  <c r="F59" i="17"/>
  <c r="F60" i="17"/>
  <c r="F61" i="17"/>
  <c r="F62" i="17"/>
  <c r="F63" i="17"/>
  <c r="F64" i="17"/>
  <c r="F53" i="17"/>
  <c r="F42" i="17"/>
  <c r="F43" i="17"/>
  <c r="F44" i="17"/>
  <c r="F45" i="17"/>
  <c r="F46" i="17"/>
  <c r="F47" i="17"/>
  <c r="F48" i="17"/>
  <c r="F49" i="17"/>
  <c r="F50" i="17"/>
  <c r="F51" i="17"/>
  <c r="F52" i="17"/>
  <c r="F41" i="17"/>
  <c r="F40" i="17"/>
  <c r="F39" i="17"/>
  <c r="F37" i="17"/>
  <c r="F38" i="17"/>
  <c r="F36" i="17"/>
  <c r="F34" i="17"/>
  <c r="F35" i="17"/>
  <c r="F33" i="17"/>
  <c r="F32" i="17"/>
  <c r="F31" i="17"/>
  <c r="F29" i="17"/>
  <c r="F30" i="17"/>
  <c r="F28" i="17"/>
  <c r="F26" i="17"/>
  <c r="F27" i="17"/>
  <c r="F25" i="17"/>
  <c r="F24" i="17"/>
  <c r="F23" i="17"/>
  <c r="F21" i="17"/>
  <c r="F22" i="17"/>
  <c r="F20" i="17"/>
  <c r="F18" i="17"/>
  <c r="F19" i="17"/>
  <c r="F17" i="17"/>
  <c r="F16" i="17"/>
  <c r="F15" i="17"/>
  <c r="F13" i="17"/>
  <c r="F14" i="17"/>
  <c r="F12" i="17"/>
  <c r="F10" i="17"/>
  <c r="F11" i="17"/>
  <c r="F9" i="17"/>
  <c r="F6" i="17"/>
  <c r="F7" i="17"/>
  <c r="F8" i="17"/>
  <c r="I18" i="4"/>
  <c r="I1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J18" i="4"/>
  <c r="J19" i="4"/>
  <c r="I20" i="4"/>
  <c r="J20" i="4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B8" i="23"/>
  <c r="H4" i="8"/>
  <c r="H20" i="8"/>
  <c r="B2" i="23"/>
  <c r="T20" i="8"/>
  <c r="T4" i="8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B7" i="23"/>
  <c r="D25" i="23"/>
  <c r="C15" i="23"/>
  <c r="C16" i="23"/>
  <c r="C17" i="23"/>
  <c r="C20" i="23"/>
  <c r="C21" i="23"/>
  <c r="C24" i="23"/>
  <c r="C18" i="23"/>
  <c r="C25" i="2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3" i="5"/>
  <c r="D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3" i="4"/>
  <c r="D3" i="4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C3" i="22"/>
  <c r="D3" i="2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3" i="3"/>
  <c r="D3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5" i="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5" i="17"/>
  <c r="H5" i="22"/>
  <c r="U5" i="22"/>
  <c r="L5" i="22"/>
  <c r="V5" i="22"/>
  <c r="P5" i="22"/>
  <c r="W5" i="22"/>
  <c r="F3" i="2"/>
  <c r="F4" i="2"/>
  <c r="I5" i="2"/>
  <c r="I3" i="2"/>
  <c r="J3" i="2"/>
  <c r="K3" i="2"/>
  <c r="I4" i="2"/>
  <c r="J4" i="2"/>
  <c r="K4" i="2"/>
  <c r="X5" i="22"/>
  <c r="H6" i="22"/>
  <c r="U6" i="22"/>
  <c r="L6" i="22"/>
  <c r="V6" i="22"/>
  <c r="P6" i="22"/>
  <c r="W6" i="22"/>
  <c r="F5" i="2"/>
  <c r="I6" i="2"/>
  <c r="J5" i="2"/>
  <c r="K5" i="2"/>
  <c r="X6" i="22"/>
  <c r="H7" i="22"/>
  <c r="U7" i="22"/>
  <c r="L7" i="22"/>
  <c r="V7" i="22"/>
  <c r="P7" i="22"/>
  <c r="W7" i="22"/>
  <c r="F6" i="2"/>
  <c r="I7" i="2"/>
  <c r="J6" i="2"/>
  <c r="K6" i="2"/>
  <c r="X7" i="22"/>
  <c r="H8" i="22"/>
  <c r="U8" i="22"/>
  <c r="L8" i="22"/>
  <c r="V8" i="22"/>
  <c r="P8" i="22"/>
  <c r="W8" i="22"/>
  <c r="F7" i="2"/>
  <c r="I8" i="2"/>
  <c r="J7" i="2"/>
  <c r="K7" i="2"/>
  <c r="X8" i="22"/>
  <c r="H9" i="22"/>
  <c r="U9" i="22"/>
  <c r="L9" i="22"/>
  <c r="V9" i="22"/>
  <c r="P9" i="22"/>
  <c r="W9" i="22"/>
  <c r="F8" i="2"/>
  <c r="I9" i="2"/>
  <c r="J8" i="2"/>
  <c r="K8" i="2"/>
  <c r="X9" i="22"/>
  <c r="H10" i="22"/>
  <c r="U10" i="22"/>
  <c r="L10" i="22"/>
  <c r="V10" i="22"/>
  <c r="P10" i="22"/>
  <c r="W10" i="22"/>
  <c r="F9" i="2"/>
  <c r="I10" i="2"/>
  <c r="J9" i="2"/>
  <c r="K9" i="2"/>
  <c r="X10" i="22"/>
  <c r="H11" i="22"/>
  <c r="U11" i="22"/>
  <c r="L11" i="22"/>
  <c r="V11" i="22"/>
  <c r="P11" i="22"/>
  <c r="W11" i="22"/>
  <c r="F10" i="2"/>
  <c r="I11" i="2"/>
  <c r="J10" i="2"/>
  <c r="K10" i="2"/>
  <c r="X11" i="22"/>
  <c r="H12" i="22"/>
  <c r="U12" i="22"/>
  <c r="L12" i="22"/>
  <c r="V12" i="22"/>
  <c r="P12" i="22"/>
  <c r="W12" i="22"/>
  <c r="F11" i="2"/>
  <c r="I12" i="2"/>
  <c r="J11" i="2"/>
  <c r="K11" i="2"/>
  <c r="X12" i="22"/>
  <c r="H13" i="22"/>
  <c r="U13" i="22"/>
  <c r="L13" i="22"/>
  <c r="V13" i="22"/>
  <c r="P13" i="22"/>
  <c r="W13" i="22"/>
  <c r="F12" i="2"/>
  <c r="I13" i="2"/>
  <c r="J12" i="2"/>
  <c r="K12" i="2"/>
  <c r="X13" i="22"/>
  <c r="H14" i="22"/>
  <c r="U14" i="22"/>
  <c r="L14" i="22"/>
  <c r="V14" i="22"/>
  <c r="P14" i="22"/>
  <c r="W14" i="22"/>
  <c r="F13" i="2"/>
  <c r="I14" i="2"/>
  <c r="J13" i="2"/>
  <c r="K13" i="2"/>
  <c r="X14" i="22"/>
  <c r="H15" i="22"/>
  <c r="U15" i="22"/>
  <c r="L15" i="22"/>
  <c r="V15" i="22"/>
  <c r="P15" i="22"/>
  <c r="W15" i="22"/>
  <c r="F14" i="2"/>
  <c r="I15" i="2"/>
  <c r="J14" i="2"/>
  <c r="K14" i="2"/>
  <c r="X15" i="22"/>
  <c r="H16" i="22"/>
  <c r="U16" i="22"/>
  <c r="L16" i="22"/>
  <c r="V16" i="22"/>
  <c r="P16" i="22"/>
  <c r="W16" i="22"/>
  <c r="F15" i="2"/>
  <c r="I16" i="2"/>
  <c r="J15" i="2"/>
  <c r="K15" i="2"/>
  <c r="X16" i="22"/>
  <c r="H17" i="22"/>
  <c r="U17" i="22"/>
  <c r="L17" i="22"/>
  <c r="V17" i="22"/>
  <c r="P17" i="22"/>
  <c r="W17" i="22"/>
  <c r="F16" i="2"/>
  <c r="I17" i="2"/>
  <c r="J16" i="2"/>
  <c r="K16" i="2"/>
  <c r="X17" i="22"/>
  <c r="H18" i="22"/>
  <c r="U18" i="22"/>
  <c r="L18" i="22"/>
  <c r="V18" i="22"/>
  <c r="P18" i="22"/>
  <c r="W18" i="22"/>
  <c r="F17" i="2"/>
  <c r="I18" i="2"/>
  <c r="J17" i="2"/>
  <c r="K17" i="2"/>
  <c r="X18" i="22"/>
  <c r="H19" i="22"/>
  <c r="U19" i="22"/>
  <c r="L19" i="22"/>
  <c r="V19" i="22"/>
  <c r="P19" i="22"/>
  <c r="W19" i="22"/>
  <c r="F18" i="2"/>
  <c r="I19" i="2"/>
  <c r="J18" i="2"/>
  <c r="K18" i="2"/>
  <c r="X19" i="22"/>
  <c r="H20" i="22"/>
  <c r="U20" i="22"/>
  <c r="L20" i="22"/>
  <c r="V20" i="22"/>
  <c r="P20" i="22"/>
  <c r="W20" i="22"/>
  <c r="F19" i="2"/>
  <c r="I20" i="2"/>
  <c r="J19" i="2"/>
  <c r="K19" i="2"/>
  <c r="X20" i="22"/>
  <c r="H4" i="22"/>
  <c r="U4" i="22"/>
  <c r="L4" i="22"/>
  <c r="V4" i="22"/>
  <c r="P4" i="22"/>
  <c r="W4" i="22"/>
  <c r="X4" i="22"/>
  <c r="R4" i="22"/>
  <c r="B10" i="23"/>
  <c r="B9" i="23"/>
  <c r="M41" i="8"/>
  <c r="M25" i="8"/>
  <c r="C6" i="23"/>
  <c r="M20" i="8"/>
  <c r="M4" i="8"/>
  <c r="C5" i="23"/>
  <c r="U4" i="8"/>
  <c r="U20" i="8"/>
  <c r="C4" i="23"/>
  <c r="Q4" i="8"/>
  <c r="Q20" i="8"/>
  <c r="C3" i="23"/>
  <c r="I4" i="8"/>
  <c r="I20" i="8"/>
  <c r="C2" i="23"/>
  <c r="C19" i="2"/>
  <c r="C4" i="2"/>
  <c r="C5" i="2"/>
  <c r="C6" i="2"/>
  <c r="C7" i="2"/>
  <c r="C8" i="2"/>
  <c r="C9" i="2"/>
  <c r="C10" i="2"/>
  <c r="C11" i="2"/>
  <c r="C12" i="2"/>
  <c r="C13" i="2"/>
  <c r="F20" i="2"/>
  <c r="J20" i="2"/>
  <c r="K20" i="2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I24" i="8"/>
  <c r="G24" i="16"/>
  <c r="H24" i="16"/>
  <c r="G24" i="14"/>
  <c r="H24" i="14"/>
  <c r="G24" i="21"/>
  <c r="H24" i="21"/>
  <c r="G24" i="20"/>
  <c r="H24" i="20"/>
  <c r="G24" i="15"/>
  <c r="H24" i="15"/>
  <c r="G24" i="18"/>
  <c r="H24" i="18"/>
  <c r="G24" i="19"/>
  <c r="H24" i="19"/>
  <c r="H41" i="8"/>
  <c r="I41" i="8"/>
  <c r="P41" i="8"/>
  <c r="Q41" i="8"/>
  <c r="G20" i="5"/>
  <c r="Q20" i="22"/>
  <c r="R20" i="22"/>
  <c r="S20" i="22"/>
  <c r="T20" i="22"/>
  <c r="Q20" i="3"/>
  <c r="R20" i="3"/>
  <c r="S20" i="3"/>
  <c r="C14" i="2"/>
  <c r="C15" i="2"/>
  <c r="C16" i="2"/>
  <c r="C17" i="2"/>
  <c r="C18" i="2"/>
  <c r="C20" i="2"/>
  <c r="C3" i="2"/>
  <c r="H19" i="8"/>
  <c r="L40" i="8"/>
  <c r="D22" i="23"/>
  <c r="L19" i="8"/>
  <c r="T19" i="8"/>
  <c r="P19" i="8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7" i="18"/>
  <c r="H7" i="18"/>
  <c r="G8" i="18"/>
  <c r="H8" i="18"/>
  <c r="G9" i="18"/>
  <c r="H9" i="18"/>
  <c r="D23" i="23"/>
  <c r="D5" i="17"/>
  <c r="E5" i="17"/>
  <c r="F5" i="17"/>
  <c r="G5" i="17"/>
  <c r="D6" i="17"/>
  <c r="E6" i="17"/>
  <c r="D7" i="17"/>
  <c r="E7" i="17"/>
  <c r="D8" i="17"/>
  <c r="E8" i="17"/>
  <c r="D9" i="17"/>
  <c r="E9" i="17"/>
  <c r="D10" i="17"/>
  <c r="E10" i="17"/>
  <c r="D11" i="17"/>
  <c r="E11" i="17"/>
  <c r="D12" i="17"/>
  <c r="E12" i="17"/>
  <c r="D13" i="17"/>
  <c r="E13" i="17"/>
  <c r="D14" i="17"/>
  <c r="E14" i="17"/>
  <c r="D15" i="17"/>
  <c r="E15" i="17"/>
  <c r="D16" i="17"/>
  <c r="E16" i="17"/>
  <c r="D17" i="17"/>
  <c r="E17" i="17"/>
  <c r="D18" i="17"/>
  <c r="E18" i="17"/>
  <c r="D19" i="17"/>
  <c r="E19" i="17"/>
  <c r="D20" i="17"/>
  <c r="E20" i="17"/>
  <c r="D21" i="17"/>
  <c r="E21" i="17"/>
  <c r="D22" i="17"/>
  <c r="E22" i="17"/>
  <c r="D23" i="17"/>
  <c r="E23" i="17"/>
  <c r="D24" i="17"/>
  <c r="E24" i="17"/>
  <c r="D25" i="17"/>
  <c r="E25" i="17"/>
  <c r="D26" i="17"/>
  <c r="E26" i="17"/>
  <c r="D27" i="17"/>
  <c r="E27" i="17"/>
  <c r="D28" i="17"/>
  <c r="E28" i="17"/>
  <c r="D29" i="17"/>
  <c r="E29" i="17"/>
  <c r="D30" i="17"/>
  <c r="E30" i="17"/>
  <c r="D31" i="17"/>
  <c r="E31" i="17"/>
  <c r="D32" i="17"/>
  <c r="E32" i="17"/>
  <c r="D33" i="17"/>
  <c r="E33" i="17"/>
  <c r="D34" i="17"/>
  <c r="E34" i="17"/>
  <c r="D35" i="17"/>
  <c r="E35" i="17"/>
  <c r="D36" i="17"/>
  <c r="E36" i="17"/>
  <c r="D37" i="17"/>
  <c r="E37" i="17"/>
  <c r="D38" i="17"/>
  <c r="E38" i="17"/>
  <c r="D39" i="17"/>
  <c r="E39" i="17"/>
  <c r="D40" i="17"/>
  <c r="E40" i="17"/>
  <c r="D41" i="17"/>
  <c r="E41" i="17"/>
  <c r="D42" i="17"/>
  <c r="E42" i="17"/>
  <c r="D43" i="17"/>
  <c r="E43" i="17"/>
  <c r="D44" i="17"/>
  <c r="E44" i="17"/>
  <c r="D45" i="17"/>
  <c r="E45" i="17"/>
  <c r="D46" i="17"/>
  <c r="E46" i="17"/>
  <c r="D47" i="17"/>
  <c r="E47" i="17"/>
  <c r="D48" i="17"/>
  <c r="E48" i="17"/>
  <c r="D49" i="17"/>
  <c r="E49" i="17"/>
  <c r="D50" i="17"/>
  <c r="E50" i="17"/>
  <c r="D51" i="17"/>
  <c r="E51" i="17"/>
  <c r="D52" i="17"/>
  <c r="E52" i="17"/>
  <c r="D53" i="17"/>
  <c r="E53" i="17"/>
  <c r="D54" i="17"/>
  <c r="E54" i="17"/>
  <c r="D55" i="17"/>
  <c r="E55" i="17"/>
  <c r="D56" i="17"/>
  <c r="E56" i="17"/>
  <c r="D57" i="17"/>
  <c r="E57" i="17"/>
  <c r="D58" i="17"/>
  <c r="E58" i="17"/>
  <c r="D59" i="17"/>
  <c r="E59" i="17"/>
  <c r="D60" i="17"/>
  <c r="E60" i="17"/>
  <c r="D61" i="17"/>
  <c r="E61" i="17"/>
  <c r="D62" i="17"/>
  <c r="E62" i="17"/>
  <c r="D63" i="17"/>
  <c r="E63" i="17"/>
  <c r="D64" i="17"/>
  <c r="E64" i="17"/>
  <c r="D65" i="17"/>
  <c r="E65" i="17"/>
  <c r="D66" i="17"/>
  <c r="E66" i="17"/>
  <c r="D67" i="17"/>
  <c r="E67" i="17"/>
  <c r="D68" i="17"/>
  <c r="E68" i="17"/>
  <c r="D69" i="17"/>
  <c r="E69" i="17"/>
  <c r="D70" i="17"/>
  <c r="E70" i="17"/>
  <c r="D71" i="17"/>
  <c r="E71" i="17"/>
  <c r="D72" i="17"/>
  <c r="E72" i="17"/>
  <c r="D73" i="17"/>
  <c r="E73" i="17"/>
  <c r="D74" i="17"/>
  <c r="E74" i="17"/>
  <c r="D75" i="17"/>
  <c r="E75" i="17"/>
  <c r="D76" i="17"/>
  <c r="E76" i="17"/>
  <c r="D77" i="17"/>
  <c r="E77" i="17"/>
  <c r="D78" i="17"/>
  <c r="E78" i="17"/>
  <c r="D79" i="17"/>
  <c r="E79" i="17"/>
  <c r="D80" i="17"/>
  <c r="E80" i="17"/>
  <c r="D81" i="17"/>
  <c r="E81" i="17"/>
  <c r="D82" i="17"/>
  <c r="E82" i="17"/>
  <c r="D83" i="17"/>
  <c r="E83" i="17"/>
  <c r="D84" i="17"/>
  <c r="E84" i="17"/>
  <c r="D85" i="17"/>
  <c r="E85" i="17"/>
  <c r="D86" i="17"/>
  <c r="E86" i="17"/>
  <c r="D87" i="17"/>
  <c r="E87" i="17"/>
  <c r="D88" i="17"/>
  <c r="E88" i="17"/>
  <c r="D89" i="17"/>
  <c r="E89" i="17"/>
  <c r="D90" i="17"/>
  <c r="E90" i="17"/>
  <c r="D91" i="17"/>
  <c r="E91" i="17"/>
  <c r="D92" i="17"/>
  <c r="E92" i="17"/>
  <c r="D93" i="17"/>
  <c r="E93" i="17"/>
  <c r="D94" i="17"/>
  <c r="E94" i="17"/>
  <c r="D95" i="17"/>
  <c r="E95" i="17"/>
  <c r="D96" i="17"/>
  <c r="E96" i="17"/>
  <c r="D97" i="17"/>
  <c r="E97" i="17"/>
  <c r="D98" i="17"/>
  <c r="E98" i="17"/>
  <c r="D99" i="17"/>
  <c r="E99" i="17"/>
  <c r="D100" i="17"/>
  <c r="E100" i="17"/>
  <c r="D101" i="17"/>
  <c r="E101" i="17"/>
  <c r="D19" i="23"/>
  <c r="D18" i="23"/>
  <c r="D17" i="23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4" i="4"/>
  <c r="J5" i="4"/>
  <c r="J6" i="4"/>
  <c r="J7" i="4"/>
  <c r="J8" i="4"/>
  <c r="J9" i="4"/>
  <c r="J3" i="4"/>
  <c r="M40" i="8"/>
  <c r="M19" i="8"/>
  <c r="U19" i="8"/>
  <c r="Q19" i="8"/>
  <c r="I19" i="8"/>
  <c r="L24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T13" i="8"/>
  <c r="H7" i="21"/>
  <c r="G7" i="21"/>
  <c r="G8" i="21"/>
  <c r="I4" i="4"/>
  <c r="I5" i="4"/>
  <c r="I6" i="4"/>
  <c r="I7" i="4"/>
  <c r="I8" i="4"/>
  <c r="I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5" i="8"/>
  <c r="I35" i="8"/>
  <c r="M35" i="8"/>
  <c r="P35" i="8"/>
  <c r="Q35" i="8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P40" i="8"/>
  <c r="Q40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G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4" i="8"/>
  <c r="H24" i="8"/>
  <c r="U3" i="8"/>
  <c r="Q3" i="8"/>
  <c r="M3" i="8"/>
  <c r="Q24" i="8"/>
  <c r="M24" i="8"/>
  <c r="T3" i="8"/>
  <c r="P3" i="8"/>
  <c r="L3" i="8"/>
  <c r="G3" i="5"/>
  <c r="P25" i="8"/>
  <c r="I25" i="8"/>
  <c r="Q25" i="8"/>
  <c r="H25" i="8"/>
  <c r="G4" i="5"/>
  <c r="P5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Q27" i="8"/>
  <c r="P6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H7" i="8"/>
  <c r="P7" i="8"/>
  <c r="G6" i="5"/>
  <c r="U8" i="8"/>
  <c r="M8" i="8"/>
  <c r="I29" i="8"/>
  <c r="P29" i="8"/>
  <c r="H8" i="8"/>
  <c r="H29" i="8"/>
  <c r="G7" i="5"/>
  <c r="T8" i="8"/>
  <c r="Q8" i="8"/>
  <c r="M29" i="8"/>
  <c r="T9" i="8"/>
  <c r="L8" i="8"/>
  <c r="I8" i="8"/>
  <c r="P8" i="8"/>
  <c r="Q29" i="8"/>
  <c r="L9" i="8"/>
  <c r="M30" i="8"/>
  <c r="U9" i="8"/>
  <c r="M9" i="8"/>
  <c r="H30" i="8"/>
  <c r="I30" i="8"/>
  <c r="P30" i="8"/>
  <c r="H9" i="8"/>
  <c r="P9" i="8"/>
  <c r="Q9" i="8"/>
  <c r="G8" i="5"/>
  <c r="Q30" i="8"/>
  <c r="I9" i="8"/>
  <c r="Q31" i="8"/>
  <c r="U10" i="8"/>
  <c r="M31" i="8"/>
  <c r="H31" i="8"/>
  <c r="Q10" i="8"/>
  <c r="I10" i="8"/>
  <c r="T10" i="8"/>
  <c r="L10" i="8"/>
  <c r="G9" i="5"/>
  <c r="P31" i="8"/>
  <c r="P10" i="8"/>
  <c r="M10" i="8"/>
  <c r="I31" i="8"/>
  <c r="H10" i="8"/>
  <c r="P32" i="8"/>
  <c r="T11" i="8"/>
  <c r="L11" i="8"/>
  <c r="I32" i="8"/>
  <c r="Q11" i="8"/>
  <c r="I11" i="8"/>
  <c r="G10" i="5"/>
  <c r="M32" i="8"/>
  <c r="H32" i="8"/>
  <c r="P11" i="8"/>
  <c r="Q32" i="8"/>
  <c r="U11" i="8"/>
  <c r="M11" i="8"/>
  <c r="H11" i="8"/>
  <c r="Q33" i="8"/>
  <c r="U12" i="8"/>
  <c r="M12" i="8"/>
  <c r="H12" i="8"/>
  <c r="M33" i="8"/>
  <c r="H33" i="8"/>
  <c r="P12" i="8"/>
  <c r="G11" i="5"/>
  <c r="I33" i="8"/>
  <c r="Q12" i="8"/>
  <c r="I12" i="8"/>
  <c r="P33" i="8"/>
  <c r="T12" i="8"/>
  <c r="L12" i="8"/>
  <c r="G12" i="5"/>
  <c r="H34" i="8"/>
  <c r="H13" i="8"/>
  <c r="U13" i="8"/>
  <c r="L13" i="8"/>
  <c r="Q34" i="8"/>
  <c r="I34" i="8"/>
  <c r="Q13" i="8"/>
  <c r="I13" i="8"/>
  <c r="P34" i="8"/>
  <c r="P13" i="8"/>
  <c r="M34" i="8"/>
  <c r="M13" i="8"/>
  <c r="D21" i="23"/>
  <c r="D15" i="23"/>
  <c r="D16" i="23"/>
  <c r="C19" i="23"/>
  <c r="C22" i="23"/>
  <c r="C23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<sst xmlns="http://schemas.openxmlformats.org/spreadsheetml/2006/main" count="848" uniqueCount="327">
  <si>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</si>
  <si>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</si>
  <si>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</si>
  <si>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</si>
  <si>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</si>
  <si>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</si>
  <si>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</si>
  <si>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</si>
  <si>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</si>
  <si>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</si>
  <si>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</si>
  <si>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</si>
  <si>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</si>
  <si>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</si>
  <si>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</si>
  <si>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</si>
  <si>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</si>
  <si>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</si>
  <si>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</si>
  <si>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</si>
  <si>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</si>
  <si>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</si>
  <si>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</si>
  <si>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</si>
  <si>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</si>
  <si>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</si>
  <si>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</si>
  <si>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</si>
  <si>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</si>
  <si>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</si>
  <si>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</si>
  <si>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</si>
  <si>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</si>
  <si>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</si>
  <si>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</si>
  <si>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</si>
  <si>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</si>
  <si>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</si>
  <si>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</si>
  <si>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</si>
  <si>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</si>
  <si>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</si>
  <si>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</si>
  <si>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</si>
  <si>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</si>
  <si>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</si>
  <si>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</si>
  <si>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</si>
  <si>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</si>
  <si>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</si>
  <si>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</si>
  <si>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</si>
  <si>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</si>
  <si>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</si>
  <si>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</si>
  <si>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</si>
  <si>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</si>
  <si>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</si>
  <si>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</si>
  <si>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</si>
  <si>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</si>
  <si>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</si>
  <si>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</si>
  <si>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</si>
  <si>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</si>
  <si>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</si>
  <si>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</si>
  <si>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</si>
  <si>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</si>
  <si>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</si>
  <si>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</si>
  <si>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</si>
  <si>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</si>
  <si>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</si>
  <si>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</si>
  <si>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</si>
  <si>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</si>
  <si>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</si>
  <si>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</si>
  <si>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</si>
  <si>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</si>
  <si>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</si>
  <si>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</si>
  <si>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</si>
  <si>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</si>
  <si>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</si>
  <si>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</si>
  <si>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</si>
  <si>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</si>
  <si>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</si>
  <si>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</si>
  <si>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</si>
  <si>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</si>
  <si>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</si>
  <si>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</si>
  <si>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</si>
  <si>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</si>
  <si>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</si>
  <si>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</si>
  <si>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</si>
  <si>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</si>
  <si>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</si>
  <si>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</si>
  <si>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</si>
  <si>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</si>
  <si>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</si>
  <si>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</si>
  <si>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</si>
  <si>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</si>
  <si>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</si>
  <si>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</si>
  <si>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</si>
  <si>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</si>
  <si>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</si>
  <si>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</si>
  <si>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</si>
  <si>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</si>
  <si>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</si>
  <si>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</si>
  <si>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</si>
  <si>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</si>
  <si>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</si>
  <si>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</si>
  <si>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Acetic acid consumed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</si>
  <si>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</si>
  <si>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</si>
  <si>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</si>
  <si>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</si>
  <si>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t>Theoretical</t>
  </si>
  <si>
    <t>Experimental</t>
  </si>
  <si>
    <t>x</t>
  </si>
  <si>
    <t>2x</t>
  </si>
  <si>
    <t>z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</si>
  <si>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</si>
  <si>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</si>
  <si>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</si>
  <si>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</si>
  <si>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</si>
  <si>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</si>
  <si>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</si>
  <si>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</si>
  <si>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</si>
  <si>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</si>
  <si>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</si>
  <si>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</si>
  <si>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</si>
  <si>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LOG</t>
  </si>
  <si>
    <t>STDEV LOG(Count/mL)</t>
  </si>
  <si>
    <r>
      <rPr>
        <i/>
        <sz val="11"/>
        <color theme="1"/>
        <rFont val="Calibri"/>
        <family val="2"/>
        <scheme val="minor"/>
      </rPr>
      <t>Roseburia intestinalis</t>
    </r>
    <r>
      <rPr>
        <sz val="11"/>
        <color theme="1"/>
        <rFont val="Calibri"/>
        <family val="2"/>
        <scheme val="minor"/>
      </rPr>
      <t>DSM 14610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and Blautia hydrogenotrophica DSM 10507</t>
    </r>
    <r>
      <rPr>
        <vertAlign val="superscript"/>
        <sz val="11"/>
        <color theme="1"/>
        <rFont val="Calibri"/>
        <family val="2"/>
        <scheme val="minor"/>
      </rPr>
      <t>T</t>
    </r>
  </si>
  <si>
    <t>Na-acetate trihydrate (50 mM)</t>
  </si>
  <si>
    <t>6.80</t>
  </si>
  <si>
    <t>0.40</t>
  </si>
  <si>
    <t>0.20</t>
  </si>
  <si>
    <t xml:space="preserve">2x-z-y </t>
  </si>
  <si>
    <t>2x-z-y</t>
  </si>
  <si>
    <t>2x-z-y-f</t>
  </si>
  <si>
    <t>2x-z</t>
  </si>
  <si>
    <t>x moles D-fructose consumed</t>
  </si>
  <si>
    <t>2x moles pyruvate produced</t>
  </si>
  <si>
    <t>z moles lactate produced</t>
  </si>
  <si>
    <t>f moles formate produced</t>
  </si>
  <si>
    <t>2x-z-f moles CO2 geproduceerd</t>
  </si>
  <si>
    <t>y moles acetate consumed</t>
  </si>
  <si>
    <t>2x-z+y moles acetyl-CoA produced</t>
  </si>
  <si>
    <t>(2x-2+y)/2 moles butyraat produced</t>
  </si>
  <si>
    <t>2x-z-y-f moles H2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</si>
  <si>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</si>
  <si>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</si>
  <si>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</si>
  <si>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</si>
  <si>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</si>
  <si>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</si>
  <si>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</si>
  <si>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</si>
  <si>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</si>
  <si>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</si>
  <si>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</si>
  <si>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</si>
  <si>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</si>
  <si>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</si>
  <si>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</si>
  <si>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</si>
  <si>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</si>
  <si>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</si>
  <si>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Formic acid consumed</t>
  </si>
  <si>
    <t xml:space="preserve">Volume (ul) 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</si>
  <si>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</si>
  <si>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</si>
  <si>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</si>
  <si>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</si>
  <si>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</si>
  <si>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</si>
  <si>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</si>
  <si>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</si>
  <si>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</si>
  <si>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</si>
  <si>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</si>
  <si>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</si>
  <si>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</si>
  <si>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</si>
  <si>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</si>
  <si>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</si>
  <si>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</si>
  <si>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</si>
  <si>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</si>
  <si>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</si>
  <si>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</si>
  <si>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</si>
  <si>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</t>
  </si>
  <si>
    <t>CT2 normalized</t>
  </si>
  <si>
    <t>CT3 normalized</t>
  </si>
  <si>
    <t>Average CT normalized</t>
  </si>
  <si>
    <t>outliers</t>
  </si>
  <si>
    <t>IPC RI10 epp</t>
  </si>
  <si>
    <t>Threshold</t>
  </si>
  <si>
    <t>AUTO</t>
  </si>
  <si>
    <t>Baseline</t>
  </si>
  <si>
    <t>Rico</t>
  </si>
  <si>
    <t>intercept</t>
  </si>
  <si>
    <t>Efficiency E (%)</t>
  </si>
  <si>
    <t>R. intestinalis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</si>
  <si>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</si>
  <si>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</si>
  <si>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</si>
  <si>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</si>
  <si>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</si>
  <si>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</si>
  <si>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</si>
  <si>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</si>
  <si>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</si>
  <si>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</si>
  <si>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</si>
  <si>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</si>
  <si>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STDV(cells/ml medium)</t>
  </si>
  <si>
    <t>Log (cells/ml medium)</t>
  </si>
  <si>
    <t>STDV Log (cells/ml medium)</t>
  </si>
  <si>
    <t>R. Intestinalis</t>
  </si>
  <si>
    <t>Dilution log (10x)</t>
  </si>
  <si>
    <t xml:space="preserve">Dilution </t>
  </si>
  <si>
    <t>IPC value epp 10</t>
  </si>
  <si>
    <t>plate 20150701</t>
  </si>
  <si>
    <t>plate 20150630</t>
  </si>
  <si>
    <t>plate 20150629</t>
  </si>
  <si>
    <t>plate 20150708</t>
  </si>
  <si>
    <t>IPC value epp 9</t>
  </si>
  <si>
    <t>plate 20150727</t>
  </si>
  <si>
    <t>plate 20150729</t>
  </si>
  <si>
    <t>plate 20150730</t>
  </si>
  <si>
    <t>IPC value epp 8</t>
  </si>
  <si>
    <t>plate 20150804</t>
  </si>
  <si>
    <t>IPC value epp 7</t>
  </si>
  <si>
    <t>plate 20150807</t>
  </si>
  <si>
    <t>Total average</t>
  </si>
  <si>
    <t>Outliers</t>
  </si>
  <si>
    <t>CT1 normalized per mL</t>
  </si>
  <si>
    <t>CT2 normalized per mL</t>
  </si>
  <si>
    <t>CT3 normalized per mL</t>
  </si>
  <si>
    <t>Average CT normalized per mL</t>
  </si>
  <si>
    <t>IPC BH10 epp</t>
  </si>
  <si>
    <t>Ct Threshold</t>
  </si>
  <si>
    <t>baseline</t>
  </si>
  <si>
    <t>Taqman probe BH4O</t>
  </si>
  <si>
    <t>B. hydrogenotrophica</t>
  </si>
  <si>
    <t>STDV  (cells/ml medium)</t>
  </si>
  <si>
    <t xml:space="preserve">Dilution per ml </t>
  </si>
  <si>
    <t>IPC value  epp 10 plate  20150724</t>
  </si>
  <si>
    <t>IPC value  epp 10 plate  20150821</t>
  </si>
  <si>
    <t>plate 20150831</t>
  </si>
  <si>
    <t>IPC value  epp 9 plate  20150901</t>
  </si>
  <si>
    <t xml:space="preserve">Total cell count </t>
  </si>
  <si>
    <t>plate 20150902</t>
  </si>
  <si>
    <t>plate 20150903</t>
  </si>
  <si>
    <t>IPC value epp 6</t>
  </si>
  <si>
    <t>plate 20150908</t>
  </si>
  <si>
    <t>plate 20150910</t>
  </si>
  <si>
    <t>IPC value  epp 9 plate  20150902</t>
  </si>
  <si>
    <t>IPC value  epp 8 plate  20150902</t>
  </si>
  <si>
    <t>IPC value  epp 8 plate  20150903</t>
  </si>
  <si>
    <t>IPC value  epp 8 plate  20150907</t>
  </si>
  <si>
    <t>IPC value  epp 8 plate  20150908</t>
  </si>
  <si>
    <t>IPC value  epp 7 plate  20150910</t>
  </si>
  <si>
    <t>IPC value  epp 7 plate  20150914</t>
  </si>
  <si>
    <t>plate 20150911</t>
  </si>
  <si>
    <t>IPC value epp 5</t>
  </si>
  <si>
    <t>plate 20150922</t>
  </si>
  <si>
    <t>plate 20151007</t>
  </si>
  <si>
    <t>plate 20151009</t>
  </si>
  <si>
    <t>plate 20151013</t>
  </si>
  <si>
    <t>IPC value epp 4</t>
  </si>
  <si>
    <t>plate 20151019</t>
  </si>
  <si>
    <t>plate 20151111</t>
  </si>
  <si>
    <t>plate 20151112</t>
  </si>
  <si>
    <t>IPC value epp 3</t>
  </si>
  <si>
    <t>plate 20151204</t>
  </si>
  <si>
    <t>plate 20160126</t>
  </si>
  <si>
    <t>IPC value epp 2</t>
  </si>
  <si>
    <t>plate 20160208</t>
  </si>
  <si>
    <t>IPC value  epp 6 plate  20150910</t>
  </si>
  <si>
    <t>IPC value  epp 6 plate  20150929</t>
  </si>
  <si>
    <t>IPC value  epp 6 plate  20151002</t>
  </si>
  <si>
    <t>IPC value  epp 5 plate  20151009</t>
  </si>
  <si>
    <t>IPC value  epp 5 plate  20151111</t>
  </si>
  <si>
    <t>IPC value  epp 4 plate  20151112</t>
  </si>
  <si>
    <t>IPC value  epp 4 plate  20151125</t>
  </si>
  <si>
    <t>IPC value  epp 4 plate  20160126</t>
  </si>
  <si>
    <t>IPC value  epp 3 plate  20160126</t>
  </si>
  <si>
    <t>IPC value  epp 3 plate  20160209</t>
  </si>
  <si>
    <t xml:space="preserve">Total Average </t>
  </si>
  <si>
    <t>plate 20160222</t>
  </si>
  <si>
    <t>plate 20160223</t>
  </si>
  <si>
    <t>IPC value epp 1</t>
  </si>
  <si>
    <t>plate 20160225</t>
  </si>
  <si>
    <t>plate 20160308</t>
  </si>
  <si>
    <t>plate 20160310</t>
  </si>
  <si>
    <t>plate 20160311</t>
  </si>
  <si>
    <t>plate 20160318</t>
  </si>
  <si>
    <t>IPC value  epp 3 plate  20160222</t>
  </si>
  <si>
    <t>IPC value  epp 2 plate  20160223</t>
  </si>
  <si>
    <t>IPC value  epp 2 plate  20160224</t>
  </si>
  <si>
    <t>IPC value  epp 2 plate  20160308</t>
  </si>
  <si>
    <t>IPC value  epp 2 plate  20160310</t>
  </si>
  <si>
    <t>plate 20160405</t>
  </si>
  <si>
    <t>IPC value  epp 1 plate  20160325</t>
  </si>
  <si>
    <t>IPC value  epp 1 plate  20160405</t>
  </si>
  <si>
    <t>IPC value  epp 9 plate  20160411</t>
  </si>
  <si>
    <t>IPC value  epp 2 plate  20160311</t>
  </si>
  <si>
    <t>IPC value  epp 1 plate  20160318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</si>
</sst>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  <font>
      <b/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i/>
      <sz val="11"/>
      <name val="Calibri"/>
      <scheme val="minor"/>
    </font>
    <font>
      <b/>
      <sz val="11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418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8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7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24" fillId="0" borderId="3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0" fontId="25" fillId="0" borderId="16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18" fillId="11" borderId="0" xfId="0" applyFont="1" applyFill="1"/>
    <xf numFmtId="0" fontId="0" fillId="0" borderId="18" xfId="0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/>
    </xf>
    <xf numFmtId="165" fontId="0" fillId="0" borderId="16" xfId="0" applyNumberFormat="1" applyBorder="1" applyAlignment="1">
      <alignment horizontal="center" vertical="center"/>
    </xf>
    <xf numFmtId="165" fontId="0" fillId="0" borderId="0" xfId="0" applyNumberFormat="1"/>
    <xf numFmtId="165" fontId="25" fillId="0" borderId="0" xfId="0" applyNumberFormat="1" applyFont="1"/>
    <xf numFmtId="165" fontId="26" fillId="0" borderId="0" xfId="0" applyNumberFormat="1" applyFont="1"/>
    <xf numFmtId="165" fontId="27" fillId="0" borderId="0" xfId="0" applyNumberFormat="1" applyFont="1"/>
    <xf numFmtId="164" fontId="24" fillId="0" borderId="16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/>
    </xf>
    <xf numFmtId="0" fontId="28" fillId="2" borderId="4" xfId="353" applyFill="1" applyBorder="1" applyAlignment="1">
      <alignment horizontal="center" vertical="center"/>
    </xf>
    <xf numFmtId="0" fontId="28" fillId="0" borderId="0" xfId="353"/>
    <xf numFmtId="0" fontId="28" fillId="2" borderId="16" xfId="353" applyFill="1" applyBorder="1" applyAlignment="1">
      <alignment horizontal="center" vertical="center"/>
    </xf>
    <xf numFmtId="0" fontId="28" fillId="2" borderId="3" xfId="353" applyFill="1" applyBorder="1" applyAlignment="1">
      <alignment horizontal="center" vertical="center"/>
    </xf>
    <xf numFmtId="0" fontId="28" fillId="0" borderId="3" xfId="353" applyFill="1" applyBorder="1" applyAlignment="1">
      <alignment horizontal="center" vertical="center"/>
    </xf>
    <xf numFmtId="0" fontId="28" fillId="0" borderId="16" xfId="353" applyFill="1" applyBorder="1" applyAlignment="1">
      <alignment horizontal="center" vertical="center"/>
    </xf>
    <xf numFmtId="11" fontId="28" fillId="0" borderId="16" xfId="353" applyNumberFormat="1" applyFill="1" applyBorder="1" applyAlignment="1">
      <alignment horizontal="center" vertical="center"/>
    </xf>
    <xf numFmtId="0" fontId="0" fillId="0" borderId="16" xfId="353" applyFont="1" applyBorder="1" applyAlignment="1">
      <alignment horizontal="center" vertical="center"/>
    </xf>
    <xf numFmtId="0" fontId="28" fillId="0" borderId="16" xfId="353" applyBorder="1" applyAlignment="1">
      <alignment horizontal="center" vertical="center"/>
    </xf>
    <xf numFmtId="11" fontId="28" fillId="0" borderId="16" xfId="353" applyNumberFormat="1" applyBorder="1" applyAlignment="1">
      <alignment horizontal="center" vertical="center"/>
    </xf>
    <xf numFmtId="2" fontId="28" fillId="0" borderId="16" xfId="353" applyNumberFormat="1" applyBorder="1" applyAlignment="1">
      <alignment horizontal="center" vertical="center"/>
    </xf>
    <xf numFmtId="0" fontId="28" fillId="2" borderId="21" xfId="353" applyFill="1" applyBorder="1" applyAlignment="1">
      <alignment wrapText="1"/>
    </xf>
    <xf numFmtId="0" fontId="0" fillId="2" borderId="21" xfId="353" applyFont="1" applyFill="1" applyBorder="1" applyAlignment="1">
      <alignment wrapText="1"/>
    </xf>
    <xf numFmtId="0" fontId="0" fillId="2" borderId="21" xfId="353" applyFont="1" applyFill="1" applyBorder="1" applyAlignment="1">
      <alignment horizontal="center" vertical="center" wrapText="1"/>
    </xf>
    <xf numFmtId="0" fontId="0" fillId="0" borderId="0" xfId="353" applyFont="1"/>
    <xf numFmtId="165" fontId="28" fillId="0" borderId="16" xfId="353" applyNumberFormat="1" applyBorder="1" applyAlignment="1">
      <alignment horizontal="center" vertical="center"/>
    </xf>
    <xf numFmtId="0" fontId="28" fillId="0" borderId="16" xfId="353" applyBorder="1"/>
    <xf numFmtId="0" fontId="28" fillId="0" borderId="0" xfId="353" applyFont="1"/>
    <xf numFmtId="0" fontId="28" fillId="2" borderId="16" xfId="353" applyFill="1" applyBorder="1"/>
    <xf numFmtId="0" fontId="29" fillId="12" borderId="0" xfId="353" applyFont="1" applyFill="1"/>
    <xf numFmtId="0" fontId="25" fillId="0" borderId="20" xfId="0" applyFont="1" applyBorder="1" applyAlignment="1">
      <alignment horizontal="center" vertical="center"/>
    </xf>
    <xf numFmtId="165" fontId="28" fillId="0" borderId="16" xfId="353" applyNumberFormat="1" applyBorder="1"/>
    <xf numFmtId="2" fontId="28" fillId="0" borderId="16" xfId="353" applyNumberFormat="1" applyBorder="1"/>
    <xf numFmtId="1" fontId="28" fillId="0" borderId="16" xfId="353" applyNumberFormat="1" applyBorder="1"/>
    <xf numFmtId="2" fontId="25" fillId="0" borderId="3" xfId="0" applyNumberFormat="1" applyFont="1" applyBorder="1"/>
    <xf numFmtId="2" fontId="25" fillId="0" borderId="20" xfId="0" applyNumberFormat="1" applyFont="1" applyBorder="1"/>
    <xf numFmtId="2" fontId="25" fillId="0" borderId="16" xfId="0" applyNumberFormat="1" applyFont="1" applyBorder="1"/>
    <xf numFmtId="2" fontId="25" fillId="0" borderId="0" xfId="0" applyNumberFormat="1" applyFont="1"/>
    <xf numFmtId="165" fontId="0" fillId="0" borderId="16" xfId="353" applyNumberFormat="1" applyFont="1" applyBorder="1" applyAlignment="1">
      <alignment horizontal="center" vertical="center"/>
    </xf>
    <xf numFmtId="0" fontId="0" fillId="0" borderId="16" xfId="353" applyFont="1" applyBorder="1"/>
    <xf numFmtId="165" fontId="25" fillId="0" borderId="18" xfId="0" applyNumberFormat="1" applyFont="1" applyBorder="1" applyAlignment="1">
      <alignment horizontal="center" vertical="center"/>
    </xf>
    <xf numFmtId="165" fontId="25" fillId="0" borderId="16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165" fontId="28" fillId="0" borderId="0" xfId="353" applyNumberFormat="1"/>
    <xf numFmtId="1" fontId="28" fillId="0" borderId="0" xfId="353" applyNumberFormat="1"/>
    <xf numFmtId="0" fontId="30" fillId="2" borderId="0" xfId="353" applyFont="1" applyFill="1"/>
    <xf numFmtId="0" fontId="25" fillId="0" borderId="0" xfId="0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165" fontId="28" fillId="0" borderId="0" xfId="353" applyNumberFormat="1" applyBorder="1" applyAlignment="1">
      <alignment horizontal="center" vertical="center"/>
    </xf>
    <xf numFmtId="165" fontId="28" fillId="0" borderId="0" xfId="353" applyNumberFormat="1" applyBorder="1"/>
    <xf numFmtId="2" fontId="28" fillId="0" borderId="0" xfId="353" applyNumberFormat="1" applyBorder="1"/>
    <xf numFmtId="1" fontId="28" fillId="0" borderId="0" xfId="353" applyNumberFormat="1" applyBorder="1"/>
    <xf numFmtId="1" fontId="0" fillId="0" borderId="0" xfId="0" applyNumberFormat="1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0" fontId="0" fillId="0" borderId="0" xfId="353" applyFont="1" applyFill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8" fillId="0" borderId="17" xfId="353" applyNumberFormat="1" applyFill="1" applyBorder="1" applyAlignment="1">
      <alignment horizontal="center" vertical="center"/>
    </xf>
    <xf numFmtId="0" fontId="28" fillId="0" borderId="5" xfId="353" applyNumberFormat="1" applyFill="1" applyBorder="1" applyAlignment="1">
      <alignment horizontal="center" vertical="center"/>
    </xf>
    <xf numFmtId="0" fontId="28" fillId="0" borderId="18" xfId="353" applyNumberFormat="1" applyFill="1" applyBorder="1" applyAlignment="1">
      <alignment horizontal="center" vertical="center"/>
    </xf>
    <xf numFmtId="0" fontId="28" fillId="2" borderId="4" xfId="353" applyFill="1" applyBorder="1" applyAlignment="1">
      <alignment horizontal="center" vertical="center"/>
    </xf>
    <xf numFmtId="0" fontId="28" fillId="2" borderId="3" xfId="353" applyFill="1" applyBorder="1" applyAlignment="1">
      <alignment horizontal="center" vertical="center"/>
    </xf>
    <xf numFmtId="0" fontId="0" fillId="2" borderId="4" xfId="353" applyFont="1" applyFill="1" applyBorder="1" applyAlignment="1">
      <alignment horizontal="center" vertical="center"/>
    </xf>
    <xf numFmtId="0" fontId="28" fillId="2" borderId="16" xfId="353" applyFill="1" applyBorder="1" applyAlignment="1">
      <alignment horizontal="center" vertical="center"/>
    </xf>
    <xf numFmtId="0" fontId="21" fillId="0" borderId="26" xfId="353" applyFont="1" applyBorder="1" applyAlignment="1">
      <alignment horizontal="center"/>
    </xf>
    <xf numFmtId="0" fontId="28" fillId="0" borderId="26" xfId="353" applyBorder="1" applyAlignment="1">
      <alignment horizontal="center"/>
    </xf>
    <xf numFmtId="0" fontId="25" fillId="13" borderId="4" xfId="0" applyFont="1" applyFill="1" applyBorder="1" applyAlignment="1">
      <alignment horizontal="center" vertical="center"/>
    </xf>
    <xf numFmtId="0" fontId="25" fillId="13" borderId="23" xfId="0" applyFont="1" applyFill="1" applyBorder="1" applyAlignment="1">
      <alignment horizontal="center" vertical="center"/>
    </xf>
    <xf numFmtId="0" fontId="25" fillId="13" borderId="22" xfId="0" applyFont="1" applyFill="1" applyBorder="1" applyAlignment="1">
      <alignment horizontal="center" vertical="center"/>
    </xf>
    <xf numFmtId="0" fontId="25" fillId="13" borderId="0" xfId="0" applyFont="1" applyFill="1" applyBorder="1" applyAlignment="1">
      <alignment horizontal="center" vertical="center"/>
    </xf>
    <xf numFmtId="0" fontId="25" fillId="13" borderId="24" xfId="0" applyFont="1" applyFill="1" applyBorder="1" applyAlignment="1">
      <alignment horizontal="center" vertical="center"/>
    </xf>
    <xf numFmtId="0" fontId="25" fillId="13" borderId="25" xfId="0" applyFont="1" applyFill="1" applyBorder="1" applyAlignment="1">
      <alignment horizontal="center" vertical="center"/>
    </xf>
    <xf numFmtId="0" fontId="0" fillId="0" borderId="22" xfId="353" applyFont="1" applyBorder="1" applyAlignment="1">
      <alignment horizontal="center"/>
    </xf>
    <xf numFmtId="0" fontId="28" fillId="0" borderId="22" xfId="353" applyBorder="1" applyAlignment="1">
      <alignment horizontal="center"/>
    </xf>
    <xf numFmtId="0" fontId="0" fillId="2" borderId="3" xfId="353" applyFont="1" applyFill="1" applyBorder="1" applyAlignment="1">
      <alignment horizontal="center" vertical="center"/>
    </xf>
    <xf numFmtId="0" fontId="25" fillId="13" borderId="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418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Input" xfId="10"/>
    <cellStyle name="Linked Cell" xfId="11"/>
    <cellStyle name="Neutral" xfId="12"/>
    <cellStyle name="Normal" xfId="0" builtinId="0"/>
    <cellStyle name="Normal 2" xfId="353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chartsheet" Target="chartsheets/sheet1.xml"/><Relationship Id="rId23" Type="http://schemas.openxmlformats.org/officeDocument/2006/relationships/chartsheet" Target="chartsheets/sheet2.xml"/><Relationship Id="rId24" Type="http://schemas.openxmlformats.org/officeDocument/2006/relationships/worksheet" Target="worksheets/sheet22.xml"/><Relationship Id="rId25" Type="http://schemas.openxmlformats.org/officeDocument/2006/relationships/externalLink" Target="externalLinks/externalLink1.xml"/><Relationship Id="rId26" Type="http://schemas.openxmlformats.org/officeDocument/2006/relationships/externalLink" Target="externalLinks/externalLink2.xml"/><Relationship Id="rId27" Type="http://schemas.openxmlformats.org/officeDocument/2006/relationships/theme" Target="theme/theme1.xml"/><Relationship Id="rId28" Type="http://schemas.openxmlformats.org/officeDocument/2006/relationships/connections" Target="connections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R. intestinalis</a:t>
            </a:r>
            <a:endParaRPr lang="nl-BE" i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('Calibration R. intestinalis '!$R$4:$R$7,'Calibration R. intestinalis '!$R$9:$R$19)</c:f>
              <c:numCache>
                <c:formatCode>0.00</c:formatCode>
                <c:ptCount val="15"/>
                <c:pt idx="0">
                  <c:v>9.340913567641642</c:v>
                </c:pt>
                <c:pt idx="1">
                  <c:v>8.364361745916065</c:v>
                </c:pt>
                <c:pt idx="2">
                  <c:v>7.41501868403934</c:v>
                </c:pt>
                <c:pt idx="3">
                  <c:v>6.423175631952359</c:v>
                </c:pt>
                <c:pt idx="4">
                  <c:v>9.318402644082718</c:v>
                </c:pt>
                <c:pt idx="5">
                  <c:v>8.99449689289361</c:v>
                </c:pt>
                <c:pt idx="6">
                  <c:v>8.717506452759563</c:v>
                </c:pt>
                <c:pt idx="7">
                  <c:v>8.435095941696934</c:v>
                </c:pt>
                <c:pt idx="8">
                  <c:v>8.129456020849723</c:v>
                </c:pt>
                <c:pt idx="9">
                  <c:v>7.827516967148737</c:v>
                </c:pt>
                <c:pt idx="10">
                  <c:v>7.53584943027753</c:v>
                </c:pt>
                <c:pt idx="11">
                  <c:v>7.244489178658548</c:v>
                </c:pt>
                <c:pt idx="12">
                  <c:v>6.918410814648132</c:v>
                </c:pt>
                <c:pt idx="13">
                  <c:v>6.624850565395643</c:v>
                </c:pt>
                <c:pt idx="14">
                  <c:v>6.118853089115321</c:v>
                </c:pt>
              </c:numCache>
            </c:numRef>
          </c:xVal>
          <c:yVal>
            <c:numRef>
              <c:f>('Calibration R. intestinalis '!$L$23:$L$26,'Calibration R. intestinalis '!$L$28:$L$38)</c:f>
              <c:numCache>
                <c:formatCode>General</c:formatCode>
                <c:ptCount val="15"/>
                <c:pt idx="0">
                  <c:v>6.796308649797421</c:v>
                </c:pt>
                <c:pt idx="1">
                  <c:v>10.71828728240647</c:v>
                </c:pt>
                <c:pt idx="2">
                  <c:v>13.96980108143804</c:v>
                </c:pt>
                <c:pt idx="3">
                  <c:v>18.14686788441656</c:v>
                </c:pt>
                <c:pt idx="4">
                  <c:v>7.554405467811155</c:v>
                </c:pt>
                <c:pt idx="5">
                  <c:v>8.5896399191051</c:v>
                </c:pt>
                <c:pt idx="6">
                  <c:v>9.44354082852893</c:v>
                </c:pt>
                <c:pt idx="7">
                  <c:v>10.11613553474638</c:v>
                </c:pt>
                <c:pt idx="8">
                  <c:v>11.36988919685575</c:v>
                </c:pt>
                <c:pt idx="9">
                  <c:v>12.6170091004202</c:v>
                </c:pt>
                <c:pt idx="10">
                  <c:v>13.73197898974312</c:v>
                </c:pt>
                <c:pt idx="11">
                  <c:v>14.64585393379423</c:v>
                </c:pt>
                <c:pt idx="12">
                  <c:v>16.3368634552786</c:v>
                </c:pt>
                <c:pt idx="13">
                  <c:v>17.33992220670276</c:v>
                </c:pt>
                <c:pt idx="14">
                  <c:v>18.7174786896536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019864"/>
        <c:axId val="-2112464408"/>
      </c:scatterChart>
      <c:valAx>
        <c:axId val="-2111019864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112464408"/>
        <c:crosses val="autoZero"/>
        <c:crossBetween val="midCat"/>
        <c:majorUnit val="2.0"/>
      </c:valAx>
      <c:valAx>
        <c:axId val="-2112464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1019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B. hydrogenotrophica</a:t>
            </a:r>
            <a:endParaRPr lang="nl-BE" i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518545148449"/>
          <c:y val="0.13013698630137"/>
          <c:w val="0.833789874261263"/>
          <c:h val="0.7318875166289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'CalibrationB. hydrogenotrophica'!$R$4:$R$19</c:f>
              <c:numCache>
                <c:formatCode>0.00</c:formatCode>
                <c:ptCount val="16"/>
                <c:pt idx="0">
                  <c:v>8.313473506507658</c:v>
                </c:pt>
                <c:pt idx="1">
                  <c:v>7.276996109489027</c:v>
                </c:pt>
                <c:pt idx="2">
                  <c:v>6.34002746828266</c:v>
                </c:pt>
                <c:pt idx="3">
                  <c:v>5.410412073674764</c:v>
                </c:pt>
                <c:pt idx="4">
                  <c:v>4.624207964119256</c:v>
                </c:pt>
                <c:pt idx="5">
                  <c:v>8.368066736978313</c:v>
                </c:pt>
                <c:pt idx="6">
                  <c:v>8.001570749713231</c:v>
                </c:pt>
                <c:pt idx="7">
                  <c:v>7.678536588070615</c:v>
                </c:pt>
                <c:pt idx="8">
                  <c:v>7.377558180514065</c:v>
                </c:pt>
                <c:pt idx="9">
                  <c:v>6.962198804905538</c:v>
                </c:pt>
                <c:pt idx="10">
                  <c:v>6.642461222625335</c:v>
                </c:pt>
                <c:pt idx="11">
                  <c:v>6.437813958847346</c:v>
                </c:pt>
                <c:pt idx="12">
                  <c:v>6.193364379200031</c:v>
                </c:pt>
                <c:pt idx="13">
                  <c:v>5.945938002689035</c:v>
                </c:pt>
                <c:pt idx="14">
                  <c:v>5.659438986853353</c:v>
                </c:pt>
                <c:pt idx="15">
                  <c:v>5.359831154750319</c:v>
                </c:pt>
              </c:numCache>
            </c:numRef>
          </c:xVal>
          <c:yVal>
            <c:numRef>
              <c:f>'CalibrationB. hydrogenotrophica'!$L$23:$L$38</c:f>
              <c:numCache>
                <c:formatCode>0.0</c:formatCode>
                <c:ptCount val="16"/>
                <c:pt idx="0">
                  <c:v>6.229484611738722</c:v>
                </c:pt>
                <c:pt idx="1">
                  <c:v>11.71994119285444</c:v>
                </c:pt>
                <c:pt idx="2">
                  <c:v>14.18909618654748</c:v>
                </c:pt>
                <c:pt idx="3">
                  <c:v>18.70661581952274</c:v>
                </c:pt>
                <c:pt idx="4">
                  <c:v>22.13009172080854</c:v>
                </c:pt>
                <c:pt idx="5">
                  <c:v>7.11976641205226</c:v>
                </c:pt>
                <c:pt idx="6">
                  <c:v>8.800463853153336</c:v>
                </c:pt>
                <c:pt idx="7">
                  <c:v>9.622375982873388</c:v>
                </c:pt>
                <c:pt idx="8">
                  <c:v>11.85799075948472</c:v>
                </c:pt>
                <c:pt idx="9">
                  <c:v>12.0575165926146</c:v>
                </c:pt>
                <c:pt idx="10">
                  <c:v>12.55526337809637</c:v>
                </c:pt>
                <c:pt idx="11">
                  <c:v>13.7043245810993</c:v>
                </c:pt>
                <c:pt idx="12">
                  <c:v>14.74827688721095</c:v>
                </c:pt>
                <c:pt idx="13">
                  <c:v>15.88358419922267</c:v>
                </c:pt>
                <c:pt idx="14">
                  <c:v>18.41934571452215</c:v>
                </c:pt>
                <c:pt idx="15">
                  <c:v>19.18493511068101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560920"/>
        <c:axId val="-2092981944"/>
      </c:scatterChart>
      <c:valAx>
        <c:axId val="-2093560920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092981944"/>
        <c:crosses val="autoZero"/>
        <c:crossBetween val="midCat"/>
        <c:majorUnit val="2.0"/>
      </c:valAx>
      <c:valAx>
        <c:axId val="-2092981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093560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58719504324"/>
          <c:y val="0.0157103087009521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0.0385041766974257</c:v>
                  </c:pt>
                  <c:pt idx="1">
                    <c:v>0.0128681058663699</c:v>
                  </c:pt>
                  <c:pt idx="2">
                    <c:v>0.0129542377664125</c:v>
                  </c:pt>
                  <c:pt idx="3">
                    <c:v>0.0262806218982076</c:v>
                  </c:pt>
                  <c:pt idx="4">
                    <c:v>0.02332946971188</c:v>
                  </c:pt>
                  <c:pt idx="5">
                    <c:v>0.0951402706262892</c:v>
                  </c:pt>
                  <c:pt idx="6">
                    <c:v>0.070875561585206</c:v>
                  </c:pt>
                  <c:pt idx="7">
                    <c:v>0.0</c:v>
                  </c:pt>
                  <c:pt idx="8">
                    <c:v>0.0597222951760044</c:v>
                  </c:pt>
                  <c:pt idx="9">
                    <c:v>0.0899155227964062</c:v>
                  </c:pt>
                  <c:pt idx="10">
                    <c:v>0.0237692171016365</c:v>
                  </c:pt>
                  <c:pt idx="11">
                    <c:v>0.0137347544021004</c:v>
                  </c:pt>
                  <c:pt idx="12">
                    <c:v>0.0495213612526779</c:v>
                  </c:pt>
                  <c:pt idx="13">
                    <c:v>0.0598684064531063</c:v>
                  </c:pt>
                  <c:pt idx="14">
                    <c:v>0.123612789618904</c:v>
                  </c:pt>
                  <c:pt idx="15">
                    <c:v>0.0</c:v>
                  </c:pt>
                  <c:pt idx="16">
                    <c:v>0.0549969701586216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0.0385041766974257</c:v>
                  </c:pt>
                  <c:pt idx="1">
                    <c:v>0.0128681058663699</c:v>
                  </c:pt>
                  <c:pt idx="2">
                    <c:v>0.0129542377664125</c:v>
                  </c:pt>
                  <c:pt idx="3">
                    <c:v>0.0262806218982076</c:v>
                  </c:pt>
                  <c:pt idx="4">
                    <c:v>0.02332946971188</c:v>
                  </c:pt>
                  <c:pt idx="5">
                    <c:v>0.0951402706262892</c:v>
                  </c:pt>
                  <c:pt idx="6">
                    <c:v>0.070875561585206</c:v>
                  </c:pt>
                  <c:pt idx="7">
                    <c:v>0.0</c:v>
                  </c:pt>
                  <c:pt idx="8">
                    <c:v>0.0597222951760044</c:v>
                  </c:pt>
                  <c:pt idx="9">
                    <c:v>0.0899155227964062</c:v>
                  </c:pt>
                  <c:pt idx="10">
                    <c:v>0.0237692171016365</c:v>
                  </c:pt>
                  <c:pt idx="11">
                    <c:v>0.0137347544021004</c:v>
                  </c:pt>
                  <c:pt idx="12">
                    <c:v>0.0495213612526779</c:v>
                  </c:pt>
                  <c:pt idx="13">
                    <c:v>0.0598684064531063</c:v>
                  </c:pt>
                  <c:pt idx="14">
                    <c:v>0.123612789618904</c:v>
                  </c:pt>
                  <c:pt idx="15">
                    <c:v>0.0</c:v>
                  </c:pt>
                  <c:pt idx="16">
                    <c:v>0.0549969701586216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0.577990316310776</c:v>
                </c:pt>
                <c:pt idx="1">
                  <c:v>0.609211159644558</c:v>
                </c:pt>
                <c:pt idx="2">
                  <c:v>0.613288878249943</c:v>
                </c:pt>
                <c:pt idx="3">
                  <c:v>0.713136833987843</c:v>
                </c:pt>
                <c:pt idx="4">
                  <c:v>1.889687046662279</c:v>
                </c:pt>
                <c:pt idx="5">
                  <c:v>2.487510813089316</c:v>
                </c:pt>
                <c:pt idx="6">
                  <c:v>2.504269842677277</c:v>
                </c:pt>
                <c:pt idx="7">
                  <c:v>2.722894091511114</c:v>
                </c:pt>
                <c:pt idx="8">
                  <c:v>2.792375167677909</c:v>
                </c:pt>
                <c:pt idx="9">
                  <c:v>3.000399114121963</c:v>
                </c:pt>
                <c:pt idx="10">
                  <c:v>2.876075269298013</c:v>
                </c:pt>
                <c:pt idx="11">
                  <c:v>3.029169905798925</c:v>
                </c:pt>
                <c:pt idx="12">
                  <c:v>3.005380613345006</c:v>
                </c:pt>
                <c:pt idx="13">
                  <c:v>3.029169905798924</c:v>
                </c:pt>
                <c:pt idx="14">
                  <c:v>3.068818726555456</c:v>
                </c:pt>
                <c:pt idx="15">
                  <c:v>3.068818726555456</c:v>
                </c:pt>
                <c:pt idx="16">
                  <c:v>2.945045815008117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0.767957246073682</c:v>
                  </c:pt>
                  <c:pt idx="1">
                    <c:v>0.253159491354377</c:v>
                  </c:pt>
                  <c:pt idx="2">
                    <c:v>0.12742699966432</c:v>
                  </c:pt>
                  <c:pt idx="3">
                    <c:v>0.200050490476949</c:v>
                  </c:pt>
                  <c:pt idx="4">
                    <c:v>0.277773305990233</c:v>
                  </c:pt>
                  <c:pt idx="5">
                    <c:v>0.886599480748958</c:v>
                  </c:pt>
                  <c:pt idx="6">
                    <c:v>0.444058768646117</c:v>
                  </c:pt>
                  <c:pt idx="7">
                    <c:v>0.248625869506319</c:v>
                  </c:pt>
                  <c:pt idx="8">
                    <c:v>0.517102824495114</c:v>
                  </c:pt>
                  <c:pt idx="9">
                    <c:v>1.064241027357841</c:v>
                  </c:pt>
                  <c:pt idx="10">
                    <c:v>0.466260149245885</c:v>
                  </c:pt>
                  <c:pt idx="11">
                    <c:v>0.109022284814088</c:v>
                  </c:pt>
                  <c:pt idx="12">
                    <c:v>0.317183390221194</c:v>
                  </c:pt>
                  <c:pt idx="13">
                    <c:v>0.176034460585761</c:v>
                  </c:pt>
                  <c:pt idx="14">
                    <c:v>1.437364574222947</c:v>
                  </c:pt>
                  <c:pt idx="15">
                    <c:v>0.188832136455245</c:v>
                  </c:pt>
                  <c:pt idx="16">
                    <c:v>0.591689764324312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0.767957246073682</c:v>
                  </c:pt>
                  <c:pt idx="1">
                    <c:v>0.253159491354377</c:v>
                  </c:pt>
                  <c:pt idx="2">
                    <c:v>0.12742699966432</c:v>
                  </c:pt>
                  <c:pt idx="3">
                    <c:v>0.200050490476949</c:v>
                  </c:pt>
                  <c:pt idx="4">
                    <c:v>0.277773305990233</c:v>
                  </c:pt>
                  <c:pt idx="5">
                    <c:v>0.886599480748958</c:v>
                  </c:pt>
                  <c:pt idx="6">
                    <c:v>0.444058768646117</c:v>
                  </c:pt>
                  <c:pt idx="7">
                    <c:v>0.248625869506319</c:v>
                  </c:pt>
                  <c:pt idx="8">
                    <c:v>0.517102824495114</c:v>
                  </c:pt>
                  <c:pt idx="9">
                    <c:v>1.064241027357841</c:v>
                  </c:pt>
                  <c:pt idx="10">
                    <c:v>0.466260149245885</c:v>
                  </c:pt>
                  <c:pt idx="11">
                    <c:v>0.109022284814088</c:v>
                  </c:pt>
                  <c:pt idx="12">
                    <c:v>0.317183390221194</c:v>
                  </c:pt>
                  <c:pt idx="13">
                    <c:v>0.176034460585761</c:v>
                  </c:pt>
                  <c:pt idx="14">
                    <c:v>1.437364574222947</c:v>
                  </c:pt>
                  <c:pt idx="15">
                    <c:v>0.188832136455245</c:v>
                  </c:pt>
                  <c:pt idx="16">
                    <c:v>0.591689764324312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43.76296518038864</c:v>
                </c:pt>
                <c:pt idx="1">
                  <c:v>44.59004544675936</c:v>
                </c:pt>
                <c:pt idx="2">
                  <c:v>43.60950358192526</c:v>
                </c:pt>
                <c:pt idx="3">
                  <c:v>42.9271508801561</c:v>
                </c:pt>
                <c:pt idx="4">
                  <c:v>37.86583113140938</c:v>
                </c:pt>
                <c:pt idx="5">
                  <c:v>37.42067427947632</c:v>
                </c:pt>
                <c:pt idx="6">
                  <c:v>37.42437380239074</c:v>
                </c:pt>
                <c:pt idx="7">
                  <c:v>38.6790816989113</c:v>
                </c:pt>
                <c:pt idx="8">
                  <c:v>37.44996551549669</c:v>
                </c:pt>
                <c:pt idx="9">
                  <c:v>38.82130272891095</c:v>
                </c:pt>
                <c:pt idx="10">
                  <c:v>37.33162759553102</c:v>
                </c:pt>
                <c:pt idx="11">
                  <c:v>39.12366304698762</c:v>
                </c:pt>
                <c:pt idx="12">
                  <c:v>38.75490854578463</c:v>
                </c:pt>
                <c:pt idx="13">
                  <c:v>38.90954753016008</c:v>
                </c:pt>
                <c:pt idx="14">
                  <c:v>38.33857281861996</c:v>
                </c:pt>
                <c:pt idx="15">
                  <c:v>38.14824791477326</c:v>
                </c:pt>
                <c:pt idx="16">
                  <c:v>37.59309596851208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0.0251173599602007</c:v>
                  </c:pt>
                  <c:pt idx="1">
                    <c:v>0.0251826846935172</c:v>
                  </c:pt>
                  <c:pt idx="2">
                    <c:v>0.0</c:v>
                  </c:pt>
                  <c:pt idx="3">
                    <c:v>0.0257153858417395</c:v>
                  </c:pt>
                  <c:pt idx="4">
                    <c:v>0.0263591646249819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0.0251173599602007</c:v>
                  </c:pt>
                  <c:pt idx="1">
                    <c:v>0.0251826846935172</c:v>
                  </c:pt>
                  <c:pt idx="2">
                    <c:v>0.0</c:v>
                  </c:pt>
                  <c:pt idx="3">
                    <c:v>0.0257153858417395</c:v>
                  </c:pt>
                  <c:pt idx="4">
                    <c:v>0.0263591646249819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1.07311207554224</c:v>
                </c:pt>
                <c:pt idx="1">
                  <c:v>0.974128395710215</c:v>
                </c:pt>
                <c:pt idx="2">
                  <c:v>0.790373551779264</c:v>
                </c:pt>
                <c:pt idx="3">
                  <c:v>0.742339246902169</c:v>
                </c:pt>
                <c:pt idx="4">
                  <c:v>0.0760923539592349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0.0772411337993804</c:v>
                </c:pt>
                <c:pt idx="1">
                  <c:v>0.275063011869337</c:v>
                </c:pt>
                <c:pt idx="2">
                  <c:v>0.552608877207909</c:v>
                </c:pt>
                <c:pt idx="3">
                  <c:v>0.919133808653584</c:v>
                </c:pt>
                <c:pt idx="4">
                  <c:v>1.404107299107968</c:v>
                </c:pt>
                <c:pt idx="5">
                  <c:v>2.076842653125851</c:v>
                </c:pt>
                <c:pt idx="6">
                  <c:v>3.04372919616992</c:v>
                </c:pt>
                <c:pt idx="7">
                  <c:v>4.435686968601049</c:v>
                </c:pt>
                <c:pt idx="8">
                  <c:v>6.422754382020072</c:v>
                </c:pt>
                <c:pt idx="9">
                  <c:v>9.119241333027222</c:v>
                </c:pt>
                <c:pt idx="10">
                  <c:v>12.62360231517701</c:v>
                </c:pt>
                <c:pt idx="11">
                  <c:v>17.06933417839986</c:v>
                </c:pt>
                <c:pt idx="12">
                  <c:v>22.51072445374266</c:v>
                </c:pt>
                <c:pt idx="13">
                  <c:v>28.31096308190621</c:v>
                </c:pt>
                <c:pt idx="14">
                  <c:v>33.6313729022346</c:v>
                </c:pt>
                <c:pt idx="15">
                  <c:v>38.49821790157978</c:v>
                </c:pt>
                <c:pt idx="16">
                  <c:v>43.00044692938781</c:v>
                </c:pt>
                <c:pt idx="17">
                  <c:v>47.01985472749744</c:v>
                </c:pt>
                <c:pt idx="18">
                  <c:v>50.65947155183662</c:v>
                </c:pt>
                <c:pt idx="19">
                  <c:v>53.91278771600494</c:v>
                </c:pt>
                <c:pt idx="20">
                  <c:v>56.77690670255682</c:v>
                </c:pt>
                <c:pt idx="21">
                  <c:v>59.30725858863087</c:v>
                </c:pt>
                <c:pt idx="22">
                  <c:v>61.49185984203981</c:v>
                </c:pt>
                <c:pt idx="23">
                  <c:v>63.3754742291344</c:v>
                </c:pt>
                <c:pt idx="24">
                  <c:v>64.98728624635106</c:v>
                </c:pt>
                <c:pt idx="25">
                  <c:v>66.34413437689564</c:v>
                </c:pt>
                <c:pt idx="26">
                  <c:v>67.50767352841538</c:v>
                </c:pt>
                <c:pt idx="27">
                  <c:v>68.51080502992583</c:v>
                </c:pt>
                <c:pt idx="28">
                  <c:v>69.36989669290631</c:v>
                </c:pt>
                <c:pt idx="29">
                  <c:v>70.10630879745314</c:v>
                </c:pt>
                <c:pt idx="30">
                  <c:v>70.72393591228459</c:v>
                </c:pt>
                <c:pt idx="31">
                  <c:v>71.24487250567818</c:v>
                </c:pt>
                <c:pt idx="32">
                  <c:v>71.68985449101214</c:v>
                </c:pt>
                <c:pt idx="33">
                  <c:v>72.06666722617447</c:v>
                </c:pt>
                <c:pt idx="34">
                  <c:v>72.39315358867726</c:v>
                </c:pt>
                <c:pt idx="35">
                  <c:v>72.67998598174989</c:v>
                </c:pt>
                <c:pt idx="36">
                  <c:v>72.93150513610394</c:v>
                </c:pt>
                <c:pt idx="37">
                  <c:v>73.15683001117029</c:v>
                </c:pt>
                <c:pt idx="38">
                  <c:v>73.35530507950573</c:v>
                </c:pt>
                <c:pt idx="39">
                  <c:v>73.52791414127446</c:v>
                </c:pt>
                <c:pt idx="40">
                  <c:v>73.67988793446447</c:v>
                </c:pt>
                <c:pt idx="41">
                  <c:v>73.8162012646983</c:v>
                </c:pt>
                <c:pt idx="42">
                  <c:v>73.94035732649706</c:v>
                </c:pt>
                <c:pt idx="43">
                  <c:v>74.05677913145479</c:v>
                </c:pt>
                <c:pt idx="44">
                  <c:v>74.16650628453714</c:v>
                </c:pt>
                <c:pt idx="45">
                  <c:v>74.2699866673837</c:v>
                </c:pt>
                <c:pt idx="46">
                  <c:v>74.36694029383525</c:v>
                </c:pt>
                <c:pt idx="47">
                  <c:v>74.45635979100971</c:v>
                </c:pt>
                <c:pt idx="48">
                  <c:v>74.54168233731023</c:v>
                </c:pt>
                <c:pt idx="49">
                  <c:v>74.62607701525206</c:v>
                </c:pt>
                <c:pt idx="50">
                  <c:v>74.70812652912441</c:v>
                </c:pt>
                <c:pt idx="51">
                  <c:v>74.78765509235935</c:v>
                </c:pt>
                <c:pt idx="52">
                  <c:v>74.8646798302959</c:v>
                </c:pt>
                <c:pt idx="53">
                  <c:v>74.93939365484095</c:v>
                </c:pt>
                <c:pt idx="54">
                  <c:v>75.01200559586756</c:v>
                </c:pt>
                <c:pt idx="55">
                  <c:v>75.08127608104432</c:v>
                </c:pt>
                <c:pt idx="56">
                  <c:v>75.14856204164338</c:v>
                </c:pt>
                <c:pt idx="57">
                  <c:v>75.21419842914804</c:v>
                </c:pt>
                <c:pt idx="58">
                  <c:v>75.27858718533824</c:v>
                </c:pt>
                <c:pt idx="59">
                  <c:v>75.34232266021442</c:v>
                </c:pt>
                <c:pt idx="60">
                  <c:v>75.40517386785028</c:v>
                </c:pt>
                <c:pt idx="61">
                  <c:v>75.46921642993578</c:v>
                </c:pt>
                <c:pt idx="62">
                  <c:v>75.53303796505982</c:v>
                </c:pt>
                <c:pt idx="63">
                  <c:v>75.59530487304622</c:v>
                </c:pt>
                <c:pt idx="64">
                  <c:v>75.65669723685335</c:v>
                </c:pt>
                <c:pt idx="65">
                  <c:v>75.71745361683144</c:v>
                </c:pt>
                <c:pt idx="66">
                  <c:v>75.77766221123917</c:v>
                </c:pt>
                <c:pt idx="67">
                  <c:v>75.83831232825503</c:v>
                </c:pt>
                <c:pt idx="68">
                  <c:v>75.90083532998044</c:v>
                </c:pt>
                <c:pt idx="69">
                  <c:v>75.9644448704948</c:v>
                </c:pt>
                <c:pt idx="70">
                  <c:v>76.02882269222619</c:v>
                </c:pt>
                <c:pt idx="71">
                  <c:v>76.09551492127525</c:v>
                </c:pt>
                <c:pt idx="72">
                  <c:v>76.16392117190533</c:v>
                </c:pt>
                <c:pt idx="73">
                  <c:v>76.23373221889628</c:v>
                </c:pt>
                <c:pt idx="74">
                  <c:v>76.3060606354628</c:v>
                </c:pt>
                <c:pt idx="75">
                  <c:v>76.38013814038787</c:v>
                </c:pt>
                <c:pt idx="76">
                  <c:v>76.45710387262675</c:v>
                </c:pt>
                <c:pt idx="77">
                  <c:v>76.53811503583825</c:v>
                </c:pt>
                <c:pt idx="78">
                  <c:v>76.62315462794846</c:v>
                </c:pt>
                <c:pt idx="79">
                  <c:v>76.71262857347314</c:v>
                </c:pt>
                <c:pt idx="80">
                  <c:v>76.8069874273722</c:v>
                </c:pt>
                <c:pt idx="81">
                  <c:v>76.9072736293052</c:v>
                </c:pt>
                <c:pt idx="82">
                  <c:v>77.01467944970866</c:v>
                </c:pt>
                <c:pt idx="83">
                  <c:v>77.12590117308629</c:v>
                </c:pt>
                <c:pt idx="84">
                  <c:v>77.23106325104193</c:v>
                </c:pt>
                <c:pt idx="85">
                  <c:v>77.32313426336385</c:v>
                </c:pt>
                <c:pt idx="86">
                  <c:v>77.4019022154424</c:v>
                </c:pt>
                <c:pt idx="87">
                  <c:v>77.46992007494546</c:v>
                </c:pt>
                <c:pt idx="88">
                  <c:v>77.53014673405677</c:v>
                </c:pt>
                <c:pt idx="89">
                  <c:v>77.58356246860302</c:v>
                </c:pt>
                <c:pt idx="90">
                  <c:v>77.63145731094586</c:v>
                </c:pt>
                <c:pt idx="91">
                  <c:v>77.67613716736599</c:v>
                </c:pt>
                <c:pt idx="92">
                  <c:v>77.71805206150851</c:v>
                </c:pt>
                <c:pt idx="93">
                  <c:v>77.75708722937422</c:v>
                </c:pt>
                <c:pt idx="94">
                  <c:v>77.79408161705001</c:v>
                </c:pt>
                <c:pt idx="95">
                  <c:v>77.82893799392545</c:v>
                </c:pt>
                <c:pt idx="96">
                  <c:v>77.86390008314971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0.941145142759556</c:v>
                  </c:pt>
                  <c:pt idx="1">
                    <c:v>0.14544375539063</c:v>
                  </c:pt>
                  <c:pt idx="2">
                    <c:v>0.123065258780918</c:v>
                  </c:pt>
                  <c:pt idx="3">
                    <c:v>0.142589025293177</c:v>
                  </c:pt>
                  <c:pt idx="4">
                    <c:v>0.0728462458271933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0.941145142759556</c:v>
                  </c:pt>
                  <c:pt idx="1">
                    <c:v>0.14544375539063</c:v>
                  </c:pt>
                  <c:pt idx="2">
                    <c:v>0.123065258780918</c:v>
                  </c:pt>
                  <c:pt idx="3">
                    <c:v>0.142589025293177</c:v>
                  </c:pt>
                  <c:pt idx="4">
                    <c:v>0.0728462458271933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45.46857154978102</c:v>
                </c:pt>
                <c:pt idx="1">
                  <c:v>46.09573951237387</c:v>
                </c:pt>
                <c:pt idx="2">
                  <c:v>41.58397759841077</c:v>
                </c:pt>
                <c:pt idx="3">
                  <c:v>29.98588655677605</c:v>
                </c:pt>
                <c:pt idx="4">
                  <c:v>5.704055344554657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0.0918518278603593</c:v>
                  </c:pt>
                  <c:pt idx="1">
                    <c:v>0.0573448738827753</c:v>
                  </c:pt>
                  <c:pt idx="2">
                    <c:v>0.0458781253085153</c:v>
                  </c:pt>
                  <c:pt idx="3">
                    <c:v>0.136341300115091</c:v>
                  </c:pt>
                  <c:pt idx="4">
                    <c:v>0.276439398418288</c:v>
                  </c:pt>
                  <c:pt idx="5">
                    <c:v>1.289126155896898</c:v>
                  </c:pt>
                  <c:pt idx="6">
                    <c:v>0.955307273442241</c:v>
                  </c:pt>
                  <c:pt idx="7">
                    <c:v>0.193653821863636</c:v>
                  </c:pt>
                  <c:pt idx="8">
                    <c:v>0.643891384295723</c:v>
                  </c:pt>
                  <c:pt idx="9">
                    <c:v>1.094526047578648</c:v>
                  </c:pt>
                  <c:pt idx="10">
                    <c:v>0.409762246268392</c:v>
                  </c:pt>
                  <c:pt idx="11">
                    <c:v>0.220684865747014</c:v>
                  </c:pt>
                  <c:pt idx="12">
                    <c:v>0.585899948476719</c:v>
                  </c:pt>
                  <c:pt idx="13">
                    <c:v>1.091566933834998</c:v>
                  </c:pt>
                  <c:pt idx="14">
                    <c:v>1.492602204027459</c:v>
                  </c:pt>
                  <c:pt idx="15">
                    <c:v>0.0280836834988326</c:v>
                  </c:pt>
                  <c:pt idx="16">
                    <c:v>1.019180106097797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0.0918518278603593</c:v>
                  </c:pt>
                  <c:pt idx="1">
                    <c:v>0.0573448738827753</c:v>
                  </c:pt>
                  <c:pt idx="2">
                    <c:v>0.0458781253085153</c:v>
                  </c:pt>
                  <c:pt idx="3">
                    <c:v>0.136341300115091</c:v>
                  </c:pt>
                  <c:pt idx="4">
                    <c:v>0.276439398418288</c:v>
                  </c:pt>
                  <c:pt idx="5">
                    <c:v>1.289126155896898</c:v>
                  </c:pt>
                  <c:pt idx="6">
                    <c:v>0.955307273442241</c:v>
                  </c:pt>
                  <c:pt idx="7">
                    <c:v>0.193653821863636</c:v>
                  </c:pt>
                  <c:pt idx="8">
                    <c:v>0.643891384295723</c:v>
                  </c:pt>
                  <c:pt idx="9">
                    <c:v>1.094526047578648</c:v>
                  </c:pt>
                  <c:pt idx="10">
                    <c:v>0.409762246268392</c:v>
                  </c:pt>
                  <c:pt idx="11">
                    <c:v>0.220684865747014</c:v>
                  </c:pt>
                  <c:pt idx="12">
                    <c:v>0.585899948476719</c:v>
                  </c:pt>
                  <c:pt idx="13">
                    <c:v>1.091566933834998</c:v>
                  </c:pt>
                  <c:pt idx="14">
                    <c:v>1.492602204027459</c:v>
                  </c:pt>
                  <c:pt idx="15">
                    <c:v>0.0280836834988326</c:v>
                  </c:pt>
                  <c:pt idx="16">
                    <c:v>1.019180106097797</c:v>
                  </c:pt>
                </c:numCache>
              </c:numRef>
            </c:minus>
          </c:errBars>
          <c:xVal>
            <c:numRef>
              <c:f>Metabolites!$E$25:$E$41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2.015165746548031</c:v>
                </c:pt>
                <c:pt idx="1">
                  <c:v>4.473757803106491</c:v>
                </c:pt>
                <c:pt idx="2">
                  <c:v>9.65734537744247</c:v>
                </c:pt>
                <c:pt idx="3">
                  <c:v>20.76330877470108</c:v>
                </c:pt>
                <c:pt idx="4">
                  <c:v>42.939893805171</c:v>
                </c:pt>
                <c:pt idx="5">
                  <c:v>47.58135607840146</c:v>
                </c:pt>
                <c:pt idx="6">
                  <c:v>48.10553949089173</c:v>
                </c:pt>
                <c:pt idx="7">
                  <c:v>49.86585912988621</c:v>
                </c:pt>
                <c:pt idx="8">
                  <c:v>48.70966034904084</c:v>
                </c:pt>
                <c:pt idx="9">
                  <c:v>50.35852505635233</c:v>
                </c:pt>
                <c:pt idx="10">
                  <c:v>48.26920926476507</c:v>
                </c:pt>
                <c:pt idx="11">
                  <c:v>50.67723902326723</c:v>
                </c:pt>
                <c:pt idx="12">
                  <c:v>50.74209551217877</c:v>
                </c:pt>
                <c:pt idx="13">
                  <c:v>51.54469456245929</c:v>
                </c:pt>
                <c:pt idx="14">
                  <c:v>52.39593597942346</c:v>
                </c:pt>
                <c:pt idx="15">
                  <c:v>52.76886079066491</c:v>
                </c:pt>
                <c:pt idx="16">
                  <c:v>52.13469705230452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0.0481281237502705</c:v>
                </c:pt>
                <c:pt idx="1">
                  <c:v>0.331711426934411</c:v>
                </c:pt>
                <c:pt idx="2">
                  <c:v>0.914842600549846</c:v>
                </c:pt>
                <c:pt idx="3">
                  <c:v>1.779935403426892</c:v>
                </c:pt>
                <c:pt idx="4">
                  <c:v>2.95106356639296</c:v>
                </c:pt>
                <c:pt idx="5">
                  <c:v>4.753601756435943</c:v>
                </c:pt>
                <c:pt idx="6">
                  <c:v>7.432247758179203</c:v>
                </c:pt>
                <c:pt idx="7">
                  <c:v>11.16466835051085</c:v>
                </c:pt>
                <c:pt idx="8">
                  <c:v>16.0371190799578</c:v>
                </c:pt>
                <c:pt idx="9">
                  <c:v>21.74978797411119</c:v>
                </c:pt>
                <c:pt idx="10">
                  <c:v>28.39511599379667</c:v>
                </c:pt>
                <c:pt idx="11">
                  <c:v>35.43251467006389</c:v>
                </c:pt>
                <c:pt idx="12">
                  <c:v>42.38188273504399</c:v>
                </c:pt>
                <c:pt idx="13">
                  <c:v>47.33414038139558</c:v>
                </c:pt>
                <c:pt idx="14">
                  <c:v>48.98016575652407</c:v>
                </c:pt>
                <c:pt idx="15">
                  <c:v>49.2291078995099</c:v>
                </c:pt>
                <c:pt idx="16">
                  <c:v>49.28083229899543</c:v>
                </c:pt>
                <c:pt idx="17">
                  <c:v>49.29833401807192</c:v>
                </c:pt>
                <c:pt idx="18">
                  <c:v>49.31150098283984</c:v>
                </c:pt>
                <c:pt idx="19">
                  <c:v>49.3240088560967</c:v>
                </c:pt>
                <c:pt idx="20">
                  <c:v>49.33494296273683</c:v>
                </c:pt>
                <c:pt idx="21">
                  <c:v>49.34521804077901</c:v>
                </c:pt>
                <c:pt idx="22">
                  <c:v>49.35525729486377</c:v>
                </c:pt>
                <c:pt idx="23">
                  <c:v>49.36556208407341</c:v>
                </c:pt>
                <c:pt idx="24">
                  <c:v>49.37668713270706</c:v>
                </c:pt>
                <c:pt idx="25">
                  <c:v>49.38769899043892</c:v>
                </c:pt>
                <c:pt idx="26">
                  <c:v>49.39895323810298</c:v>
                </c:pt>
                <c:pt idx="27">
                  <c:v>49.41168681678663</c:v>
                </c:pt>
                <c:pt idx="28">
                  <c:v>49.4260414864564</c:v>
                </c:pt>
                <c:pt idx="29">
                  <c:v>49.44180453427575</c:v>
                </c:pt>
                <c:pt idx="30">
                  <c:v>49.45774992933831</c:v>
                </c:pt>
                <c:pt idx="31">
                  <c:v>49.474954982535</c:v>
                </c:pt>
                <c:pt idx="32">
                  <c:v>49.49407693635147</c:v>
                </c:pt>
                <c:pt idx="33">
                  <c:v>49.5129034884624</c:v>
                </c:pt>
                <c:pt idx="34">
                  <c:v>49.53155674887312</c:v>
                </c:pt>
                <c:pt idx="35">
                  <c:v>49.55036718144633</c:v>
                </c:pt>
                <c:pt idx="36">
                  <c:v>49.57056783930765</c:v>
                </c:pt>
                <c:pt idx="37">
                  <c:v>49.59047475901175</c:v>
                </c:pt>
                <c:pt idx="38">
                  <c:v>49.61088680838451</c:v>
                </c:pt>
                <c:pt idx="39">
                  <c:v>49.63281424676326</c:v>
                </c:pt>
                <c:pt idx="40">
                  <c:v>49.65313441064391</c:v>
                </c:pt>
                <c:pt idx="41">
                  <c:v>49.67347766616655</c:v>
                </c:pt>
                <c:pt idx="42">
                  <c:v>49.69432605135786</c:v>
                </c:pt>
                <c:pt idx="43">
                  <c:v>49.71377354360141</c:v>
                </c:pt>
                <c:pt idx="44">
                  <c:v>49.7343693639584</c:v>
                </c:pt>
                <c:pt idx="45">
                  <c:v>49.75638916890513</c:v>
                </c:pt>
                <c:pt idx="46">
                  <c:v>49.77599782156677</c:v>
                </c:pt>
                <c:pt idx="47">
                  <c:v>49.79512395512588</c:v>
                </c:pt>
                <c:pt idx="48">
                  <c:v>49.81424152842087</c:v>
                </c:pt>
                <c:pt idx="49">
                  <c:v>49.83219946110322</c:v>
                </c:pt>
                <c:pt idx="50">
                  <c:v>49.85171982912568</c:v>
                </c:pt>
                <c:pt idx="51">
                  <c:v>49.87157665969076</c:v>
                </c:pt>
                <c:pt idx="52">
                  <c:v>49.89227515029881</c:v>
                </c:pt>
                <c:pt idx="53">
                  <c:v>49.91333428039865</c:v>
                </c:pt>
                <c:pt idx="54">
                  <c:v>49.93518671664312</c:v>
                </c:pt>
                <c:pt idx="55">
                  <c:v>49.95852956106663</c:v>
                </c:pt>
                <c:pt idx="56">
                  <c:v>49.9799009767599</c:v>
                </c:pt>
                <c:pt idx="57">
                  <c:v>50.00076769863927</c:v>
                </c:pt>
                <c:pt idx="58">
                  <c:v>50.02110554975553</c:v>
                </c:pt>
                <c:pt idx="59">
                  <c:v>50.04194809468572</c:v>
                </c:pt>
                <c:pt idx="60">
                  <c:v>50.06461659010031</c:v>
                </c:pt>
                <c:pt idx="61">
                  <c:v>50.08946777776561</c:v>
                </c:pt>
                <c:pt idx="62">
                  <c:v>50.11528277049847</c:v>
                </c:pt>
                <c:pt idx="63">
                  <c:v>50.13924666242904</c:v>
                </c:pt>
                <c:pt idx="64">
                  <c:v>50.1617143718512</c:v>
                </c:pt>
                <c:pt idx="65">
                  <c:v>50.1855512795419</c:v>
                </c:pt>
                <c:pt idx="66">
                  <c:v>50.21065590437215</c:v>
                </c:pt>
                <c:pt idx="67">
                  <c:v>50.234112390658</c:v>
                </c:pt>
                <c:pt idx="68">
                  <c:v>50.25663057498723</c:v>
                </c:pt>
                <c:pt idx="69">
                  <c:v>50.2796811367573</c:v>
                </c:pt>
                <c:pt idx="70">
                  <c:v>50.30311211993222</c:v>
                </c:pt>
                <c:pt idx="71">
                  <c:v>50.32755738308174</c:v>
                </c:pt>
                <c:pt idx="72">
                  <c:v>50.35195217132421</c:v>
                </c:pt>
                <c:pt idx="73">
                  <c:v>50.37591606325478</c:v>
                </c:pt>
                <c:pt idx="74">
                  <c:v>50.4026948610552</c:v>
                </c:pt>
                <c:pt idx="75">
                  <c:v>50.42904276254372</c:v>
                </c:pt>
                <c:pt idx="76">
                  <c:v>50.45285469843828</c:v>
                </c:pt>
                <c:pt idx="77">
                  <c:v>50.47484050532667</c:v>
                </c:pt>
                <c:pt idx="78">
                  <c:v>50.49606546940538</c:v>
                </c:pt>
                <c:pt idx="79">
                  <c:v>50.5202068204829</c:v>
                </c:pt>
                <c:pt idx="80">
                  <c:v>50.54450012759642</c:v>
                </c:pt>
                <c:pt idx="81">
                  <c:v>50.56668889674269</c:v>
                </c:pt>
                <c:pt idx="82">
                  <c:v>50.58781291100727</c:v>
                </c:pt>
                <c:pt idx="83">
                  <c:v>50.60675587797178</c:v>
                </c:pt>
                <c:pt idx="84">
                  <c:v>50.62316287934233</c:v>
                </c:pt>
                <c:pt idx="85">
                  <c:v>50.63929094043698</c:v>
                </c:pt>
                <c:pt idx="86">
                  <c:v>50.65572344491847</c:v>
                </c:pt>
                <c:pt idx="87">
                  <c:v>50.67220642430703</c:v>
                </c:pt>
                <c:pt idx="88">
                  <c:v>50.69071796364483</c:v>
                </c:pt>
                <c:pt idx="89">
                  <c:v>50.70915352496462</c:v>
                </c:pt>
                <c:pt idx="90">
                  <c:v>50.71754723635232</c:v>
                </c:pt>
                <c:pt idx="91">
                  <c:v>50.72784305476419</c:v>
                </c:pt>
                <c:pt idx="92">
                  <c:v>50.7480792419792</c:v>
                </c:pt>
                <c:pt idx="93">
                  <c:v>50.7669462309257</c:v>
                </c:pt>
                <c:pt idx="94">
                  <c:v>50.78715744634462</c:v>
                </c:pt>
                <c:pt idx="95">
                  <c:v>50.80797701722237</c:v>
                </c:pt>
                <c:pt idx="96">
                  <c:v>50.82628197038549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381464"/>
        <c:axId val="-2106390616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14251.0</c:v>
                </c:pt>
                <c:pt idx="1">
                  <c:v>21023.0</c:v>
                </c:pt>
                <c:pt idx="2">
                  <c:v>6637.0</c:v>
                </c:pt>
                <c:pt idx="3">
                  <c:v>18682.0</c:v>
                </c:pt>
                <c:pt idx="4">
                  <c:v>3906.0</c:v>
                </c:pt>
                <c:pt idx="5">
                  <c:v>4392.0</c:v>
                </c:pt>
                <c:pt idx="6">
                  <c:v>4350.0</c:v>
                </c:pt>
                <c:pt idx="7">
                  <c:v>4405.0</c:v>
                </c:pt>
                <c:pt idx="8">
                  <c:v>3658.0</c:v>
                </c:pt>
                <c:pt idx="9">
                  <c:v>5272.0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0.0168202583953967</c:v>
                  </c:pt>
                  <c:pt idx="1">
                    <c:v>0.00749792756167661</c:v>
                  </c:pt>
                  <c:pt idx="2">
                    <c:v>0.0192646107603888</c:v>
                  </c:pt>
                  <c:pt idx="3">
                    <c:v>0.0347868300027102</c:v>
                  </c:pt>
                  <c:pt idx="4">
                    <c:v>0.0103220309341929</c:v>
                  </c:pt>
                  <c:pt idx="5">
                    <c:v>0.0163737174310096</c:v>
                  </c:pt>
                  <c:pt idx="6">
                    <c:v>0.017319109738399</c:v>
                  </c:pt>
                  <c:pt idx="7">
                    <c:v>0.050145540456215</c:v>
                  </c:pt>
                  <c:pt idx="8">
                    <c:v>0.0669624711448225</c:v>
                  </c:pt>
                  <c:pt idx="9">
                    <c:v>0.0535539242914316</c:v>
                  </c:pt>
                  <c:pt idx="10">
                    <c:v>0.0595429205454187</c:v>
                  </c:pt>
                  <c:pt idx="11">
                    <c:v>0.013888999290473</c:v>
                  </c:pt>
                  <c:pt idx="12">
                    <c:v>0.0405049576690859</c:v>
                  </c:pt>
                  <c:pt idx="13">
                    <c:v>0.0219704189935995</c:v>
                  </c:pt>
                  <c:pt idx="14">
                    <c:v>0.0178759141731792</c:v>
                  </c:pt>
                  <c:pt idx="15">
                    <c:v>0.00774997519330616</c:v>
                  </c:pt>
                  <c:pt idx="16">
                    <c:v>0.0352535016435196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0.0168202583953967</c:v>
                  </c:pt>
                  <c:pt idx="1">
                    <c:v>0.00749792756167661</c:v>
                  </c:pt>
                  <c:pt idx="2">
                    <c:v>0.0192646107603888</c:v>
                  </c:pt>
                  <c:pt idx="3">
                    <c:v>0.0347868300027102</c:v>
                  </c:pt>
                  <c:pt idx="4">
                    <c:v>0.0103220309341929</c:v>
                  </c:pt>
                  <c:pt idx="5">
                    <c:v>0.0163737174310096</c:v>
                  </c:pt>
                  <c:pt idx="6">
                    <c:v>0.017319109738399</c:v>
                  </c:pt>
                  <c:pt idx="7">
                    <c:v>0.050145540456215</c:v>
                  </c:pt>
                  <c:pt idx="8">
                    <c:v>0.0669624711448225</c:v>
                  </c:pt>
                  <c:pt idx="9">
                    <c:v>0.0535539242914316</c:v>
                  </c:pt>
                  <c:pt idx="10">
                    <c:v>0.0595429205454187</c:v>
                  </c:pt>
                  <c:pt idx="11">
                    <c:v>0.013888999290473</c:v>
                  </c:pt>
                  <c:pt idx="12">
                    <c:v>0.0405049576690859</c:v>
                  </c:pt>
                  <c:pt idx="13">
                    <c:v>0.0219704189935995</c:v>
                  </c:pt>
                  <c:pt idx="14">
                    <c:v>0.0178759141731792</c:v>
                  </c:pt>
                  <c:pt idx="15">
                    <c:v>0.00774997519330616</c:v>
                  </c:pt>
                  <c:pt idx="16">
                    <c:v>0.0352535016435196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8.303790420224396</c:v>
                </c:pt>
                <c:pt idx="1">
                  <c:v>8.479464427099234</c:v>
                </c:pt>
                <c:pt idx="2">
                  <c:v>9.004418222866553</c:v>
                </c:pt>
                <c:pt idx="3">
                  <c:v>9.476936759444503</c:v>
                </c:pt>
                <c:pt idx="4">
                  <c:v>9.781272507206205</c:v>
                </c:pt>
                <c:pt idx="5">
                  <c:v>9.823303977460223</c:v>
                </c:pt>
                <c:pt idx="6">
                  <c:v>9.832808367971115</c:v>
                </c:pt>
                <c:pt idx="7">
                  <c:v>9.810039290615307</c:v>
                </c:pt>
                <c:pt idx="8">
                  <c:v>9.830210659497755</c:v>
                </c:pt>
                <c:pt idx="9">
                  <c:v>9.859217164345501</c:v>
                </c:pt>
                <c:pt idx="10">
                  <c:v>9.792670981970293</c:v>
                </c:pt>
                <c:pt idx="11">
                  <c:v>9.848524380274735</c:v>
                </c:pt>
                <c:pt idx="12">
                  <c:v>9.743506449998212</c:v>
                </c:pt>
                <c:pt idx="13">
                  <c:v>9.713703474825495</c:v>
                </c:pt>
                <c:pt idx="14">
                  <c:v>9.561198169344697</c:v>
                </c:pt>
                <c:pt idx="15">
                  <c:v>9.570612156145838</c:v>
                </c:pt>
                <c:pt idx="16">
                  <c:v>9.477346687596771</c:v>
                </c:pt>
              </c:numCache>
            </c:numRef>
          </c:yVal>
          <c:smooth val="0"/>
        </c:ser>
        <c:ser>
          <c:idx val="5"/>
          <c:order val="9"/>
          <c:tx>
            <c:v>qPCR RI</c:v>
          </c:tx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RI'!$S$4:$S$20</c:f>
                <c:numCache>
                  <c:formatCode>General</c:formatCode>
                  <c:ptCount val="17"/>
                  <c:pt idx="0">
                    <c:v>0.179185181469666</c:v>
                  </c:pt>
                  <c:pt idx="1">
                    <c:v>0.112926280432865</c:v>
                  </c:pt>
                  <c:pt idx="2">
                    <c:v>0.0612485334691264</c:v>
                  </c:pt>
                  <c:pt idx="3">
                    <c:v>0.0790466113090407</c:v>
                  </c:pt>
                  <c:pt idx="4">
                    <c:v>0.143875029590389</c:v>
                  </c:pt>
                  <c:pt idx="5">
                    <c:v>0.0881337386431077</c:v>
                  </c:pt>
                  <c:pt idx="6">
                    <c:v>0.0371052259954902</c:v>
                  </c:pt>
                  <c:pt idx="7">
                    <c:v>0.0581087444059724</c:v>
                  </c:pt>
                  <c:pt idx="8">
                    <c:v>0.0762777965633599</c:v>
                  </c:pt>
                  <c:pt idx="9">
                    <c:v>0.0166118948163231</c:v>
                  </c:pt>
                  <c:pt idx="10">
                    <c:v>0.0368256380928426</c:v>
                  </c:pt>
                  <c:pt idx="11">
                    <c:v>0.0783282879890073</c:v>
                  </c:pt>
                  <c:pt idx="12">
                    <c:v>0.0888170216202831</c:v>
                  </c:pt>
                  <c:pt idx="13">
                    <c:v>0.141732276151856</c:v>
                  </c:pt>
                  <c:pt idx="14">
                    <c:v>0.286712441087593</c:v>
                  </c:pt>
                  <c:pt idx="15">
                    <c:v>0.170859009516657</c:v>
                  </c:pt>
                  <c:pt idx="16">
                    <c:v>0.376718046380137</c:v>
                  </c:pt>
                </c:numCache>
              </c:numRef>
            </c:plus>
            <c:minus>
              <c:numRef>
                <c:f>'Determination cell counts RI'!$S$4:$S$20</c:f>
                <c:numCache>
                  <c:formatCode>General</c:formatCode>
                  <c:ptCount val="17"/>
                  <c:pt idx="0">
                    <c:v>0.179185181469666</c:v>
                  </c:pt>
                  <c:pt idx="1">
                    <c:v>0.112926280432865</c:v>
                  </c:pt>
                  <c:pt idx="2">
                    <c:v>0.0612485334691264</c:v>
                  </c:pt>
                  <c:pt idx="3">
                    <c:v>0.0790466113090407</c:v>
                  </c:pt>
                  <c:pt idx="4">
                    <c:v>0.143875029590389</c:v>
                  </c:pt>
                  <c:pt idx="5">
                    <c:v>0.0881337386431077</c:v>
                  </c:pt>
                  <c:pt idx="6">
                    <c:v>0.0371052259954902</c:v>
                  </c:pt>
                  <c:pt idx="7">
                    <c:v>0.0581087444059724</c:v>
                  </c:pt>
                  <c:pt idx="8">
                    <c:v>0.0762777965633599</c:v>
                  </c:pt>
                  <c:pt idx="9">
                    <c:v>0.0166118948163231</c:v>
                  </c:pt>
                  <c:pt idx="10">
                    <c:v>0.0368256380928426</c:v>
                  </c:pt>
                  <c:pt idx="11">
                    <c:v>0.0783282879890073</c:v>
                  </c:pt>
                  <c:pt idx="12">
                    <c:v>0.0888170216202831</c:v>
                  </c:pt>
                  <c:pt idx="13">
                    <c:v>0.141732276151856</c:v>
                  </c:pt>
                  <c:pt idx="14">
                    <c:v>0.286712441087593</c:v>
                  </c:pt>
                  <c:pt idx="15">
                    <c:v>0.170859009516657</c:v>
                  </c:pt>
                  <c:pt idx="16">
                    <c:v>0.376718046380137</c:v>
                  </c:pt>
                </c:numCache>
              </c:numRef>
            </c:minus>
          </c:errBars>
          <c:xVal>
            <c:numRef>
              <c:f>'Determination cell counts RI'!$D$4:$D$20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RI'!$R$4:$R$20</c:f>
              <c:numCache>
                <c:formatCode>0.00</c:formatCode>
                <c:ptCount val="17"/>
                <c:pt idx="0">
                  <c:v>8.372089826242776</c:v>
                </c:pt>
                <c:pt idx="1">
                  <c:v>8.470946475332626</c:v>
                </c:pt>
                <c:pt idx="2">
                  <c:v>9.161140813592632</c:v>
                </c:pt>
                <c:pt idx="3">
                  <c:v>9.426745440425133</c:v>
                </c:pt>
                <c:pt idx="4">
                  <c:v>9.792292262869132</c:v>
                </c:pt>
                <c:pt idx="5">
                  <c:v>9.94203049548566</c:v>
                </c:pt>
                <c:pt idx="6">
                  <c:v>9.971252951795548</c:v>
                </c:pt>
                <c:pt idx="7">
                  <c:v>9.947292348736205</c:v>
                </c:pt>
                <c:pt idx="8">
                  <c:v>9.944608579659025</c:v>
                </c:pt>
                <c:pt idx="9">
                  <c:v>9.966672229516268</c:v>
                </c:pt>
                <c:pt idx="10">
                  <c:v>9.8989379089136</c:v>
                </c:pt>
                <c:pt idx="11">
                  <c:v>9.785465706614152</c:v>
                </c:pt>
                <c:pt idx="12">
                  <c:v>9.6556440453669</c:v>
                </c:pt>
                <c:pt idx="13">
                  <c:v>9.559511221994867</c:v>
                </c:pt>
                <c:pt idx="14">
                  <c:v>9.30552768107283</c:v>
                </c:pt>
                <c:pt idx="15">
                  <c:v>9.252993981669005</c:v>
                </c:pt>
                <c:pt idx="16">
                  <c:v>8.96638460978062</c:v>
                </c:pt>
              </c:numCache>
            </c:numRef>
          </c:yVal>
          <c:smooth val="0"/>
        </c:ser>
        <c:ser>
          <c:idx val="7"/>
          <c:order val="10"/>
          <c:tx>
            <c:v>qPCR BH</c:v>
          </c:tx>
          <c:spPr>
            <a:ln>
              <a:solidFill>
                <a:srgbClr val="008000"/>
              </a:solidFill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 BH'!$S$4:$S$20</c:f>
                <c:numCache>
                  <c:formatCode>General</c:formatCode>
                  <c:ptCount val="17"/>
                  <c:pt idx="0">
                    <c:v>0.0861789357502531</c:v>
                  </c:pt>
                  <c:pt idx="1">
                    <c:v>0.0603723194777301</c:v>
                  </c:pt>
                  <c:pt idx="2">
                    <c:v>0.0487808989865922</c:v>
                  </c:pt>
                  <c:pt idx="3">
                    <c:v>0.0727369312979266</c:v>
                  </c:pt>
                  <c:pt idx="4">
                    <c:v>0.111568189419073</c:v>
                  </c:pt>
                  <c:pt idx="5">
                    <c:v>0.110868094194411</c:v>
                  </c:pt>
                  <c:pt idx="6">
                    <c:v>0.0598746198627303</c:v>
                  </c:pt>
                  <c:pt idx="7">
                    <c:v>0.0985482182927185</c:v>
                  </c:pt>
                  <c:pt idx="8">
                    <c:v>0.0410376744097346</c:v>
                  </c:pt>
                  <c:pt idx="9">
                    <c:v>0.0374207334576926</c:v>
                  </c:pt>
                  <c:pt idx="10">
                    <c:v>0.0887720597168676</c:v>
                  </c:pt>
                  <c:pt idx="11">
                    <c:v>0.0600925282876273</c:v>
                  </c:pt>
                  <c:pt idx="12">
                    <c:v>0.117933504830646</c:v>
                  </c:pt>
                  <c:pt idx="13">
                    <c:v>0.082923372016773</c:v>
                  </c:pt>
                  <c:pt idx="14">
                    <c:v>0.232052650203367</c:v>
                  </c:pt>
                  <c:pt idx="15">
                    <c:v>0.183072355105072</c:v>
                  </c:pt>
                  <c:pt idx="16">
                    <c:v>0.325208286751393</c:v>
                  </c:pt>
                </c:numCache>
              </c:numRef>
            </c:plus>
            <c:minus>
              <c:numRef>
                <c:f>'Determination cell count BH'!$S$4:$S$20</c:f>
                <c:numCache>
                  <c:formatCode>General</c:formatCode>
                  <c:ptCount val="17"/>
                  <c:pt idx="0">
                    <c:v>0.0861789357502531</c:v>
                  </c:pt>
                  <c:pt idx="1">
                    <c:v>0.0603723194777301</c:v>
                  </c:pt>
                  <c:pt idx="2">
                    <c:v>0.0487808989865922</c:v>
                  </c:pt>
                  <c:pt idx="3">
                    <c:v>0.0727369312979266</c:v>
                  </c:pt>
                  <c:pt idx="4">
                    <c:v>0.111568189419073</c:v>
                  </c:pt>
                  <c:pt idx="5">
                    <c:v>0.110868094194411</c:v>
                  </c:pt>
                  <c:pt idx="6">
                    <c:v>0.0598746198627303</c:v>
                  </c:pt>
                  <c:pt idx="7">
                    <c:v>0.0985482182927185</c:v>
                  </c:pt>
                  <c:pt idx="8">
                    <c:v>0.0410376744097346</c:v>
                  </c:pt>
                  <c:pt idx="9">
                    <c:v>0.0374207334576926</c:v>
                  </c:pt>
                  <c:pt idx="10">
                    <c:v>0.0887720597168676</c:v>
                  </c:pt>
                  <c:pt idx="11">
                    <c:v>0.0600925282876273</c:v>
                  </c:pt>
                  <c:pt idx="12">
                    <c:v>0.117933504830646</c:v>
                  </c:pt>
                  <c:pt idx="13">
                    <c:v>0.082923372016773</c:v>
                  </c:pt>
                  <c:pt idx="14">
                    <c:v>0.232052650203367</c:v>
                  </c:pt>
                  <c:pt idx="15">
                    <c:v>0.183072355105072</c:v>
                  </c:pt>
                  <c:pt idx="16">
                    <c:v>0.325208286751393</c:v>
                  </c:pt>
                </c:numCache>
              </c:numRef>
            </c:minus>
          </c:errBars>
          <c:xVal>
            <c:numRef>
              <c:f>'Determination cell count BH'!$D$4:$D$20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 BH'!$R$4:$R$20</c:f>
              <c:numCache>
                <c:formatCode>0.00</c:formatCode>
                <c:ptCount val="17"/>
                <c:pt idx="0">
                  <c:v>7.375372478816934</c:v>
                </c:pt>
                <c:pt idx="1">
                  <c:v>7.988919897348738</c:v>
                </c:pt>
                <c:pt idx="2">
                  <c:v>8.625547929823426</c:v>
                </c:pt>
                <c:pt idx="3">
                  <c:v>8.70755753866821</c:v>
                </c:pt>
                <c:pt idx="4">
                  <c:v>8.893027366493608</c:v>
                </c:pt>
                <c:pt idx="5">
                  <c:v>9.147620033405085</c:v>
                </c:pt>
                <c:pt idx="6">
                  <c:v>9.296112177748248</c:v>
                </c:pt>
                <c:pt idx="7">
                  <c:v>9.330646781534038</c:v>
                </c:pt>
                <c:pt idx="8">
                  <c:v>9.39390276931193</c:v>
                </c:pt>
                <c:pt idx="9">
                  <c:v>9.401042451262355</c:v>
                </c:pt>
                <c:pt idx="10">
                  <c:v>9.36321529876627</c:v>
                </c:pt>
                <c:pt idx="11">
                  <c:v>9.361749006329803</c:v>
                </c:pt>
                <c:pt idx="12">
                  <c:v>9.28997283821264</c:v>
                </c:pt>
                <c:pt idx="13">
                  <c:v>9.31161664620562</c:v>
                </c:pt>
                <c:pt idx="14">
                  <c:v>9.118311514556169</c:v>
                </c:pt>
                <c:pt idx="15">
                  <c:v>8.9625977264624</c:v>
                </c:pt>
                <c:pt idx="16">
                  <c:v>8.88449390233071</c:v>
                </c:pt>
              </c:numCache>
            </c:numRef>
          </c:yVal>
          <c:smooth val="0"/>
        </c:ser>
        <c:ser>
          <c:idx val="11"/>
          <c:order val="11"/>
          <c:tx>
            <c:v>Total qPCR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'Total cell count'!$K$5:$K$21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'Total cell count'!$P$5:$P$21</c:f>
              <c:numCache>
                <c:formatCode>0.00</c:formatCode>
                <c:ptCount val="17"/>
                <c:pt idx="0">
                  <c:v>8.413781961776461</c:v>
                </c:pt>
                <c:pt idx="1">
                  <c:v>8.594664065582565</c:v>
                </c:pt>
                <c:pt idx="2">
                  <c:v>9.272182996709805</c:v>
                </c:pt>
                <c:pt idx="3">
                  <c:v>9.502621724711148</c:v>
                </c:pt>
                <c:pt idx="4">
                  <c:v>9.843871462884909</c:v>
                </c:pt>
                <c:pt idx="5">
                  <c:v>10.00669147787073</c:v>
                </c:pt>
                <c:pt idx="6">
                  <c:v>10.0544976443679</c:v>
                </c:pt>
                <c:pt idx="7">
                  <c:v>10.04132417148472</c:v>
                </c:pt>
                <c:pt idx="8">
                  <c:v>10.05228673258818</c:v>
                </c:pt>
                <c:pt idx="9">
                  <c:v>10.07111686294736</c:v>
                </c:pt>
                <c:pt idx="10">
                  <c:v>10.00995082740352</c:v>
                </c:pt>
                <c:pt idx="11">
                  <c:v>9.924383754370998</c:v>
                </c:pt>
                <c:pt idx="12">
                  <c:v>9.811238964885793</c:v>
                </c:pt>
                <c:pt idx="13">
                  <c:v>9.754046134491018</c:v>
                </c:pt>
                <c:pt idx="14">
                  <c:v>9.522960605623007</c:v>
                </c:pt>
                <c:pt idx="15">
                  <c:v>9.43265882888753</c:v>
                </c:pt>
                <c:pt idx="16">
                  <c:v>9.228396566290328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408712"/>
        <c:axId val="-2106398552"/>
      </c:scatterChart>
      <c:valAx>
        <c:axId val="-2106381464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06390616"/>
        <c:crosses val="autoZero"/>
        <c:crossBetween val="midCat"/>
        <c:majorUnit val="6.0"/>
      </c:valAx>
      <c:valAx>
        <c:axId val="-210639061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06381464"/>
        <c:crosses val="autoZero"/>
        <c:crossBetween val="midCat"/>
      </c:valAx>
      <c:valAx>
        <c:axId val="-2106398552"/>
        <c:scaling>
          <c:orientation val="minMax"/>
          <c:max val="12.0"/>
          <c:min val="5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Bacterial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06408712"/>
        <c:crosses val="max"/>
        <c:crossBetween val="midCat"/>
        <c:majorUnit val="1.0"/>
        <c:minorUnit val="0.2"/>
      </c:valAx>
      <c:valAx>
        <c:axId val="-2106408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0639855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0.0385041766974257</c:v>
                  </c:pt>
                  <c:pt idx="1">
                    <c:v>0.0128681058663699</c:v>
                  </c:pt>
                  <c:pt idx="2">
                    <c:v>0.0129542377664125</c:v>
                  </c:pt>
                  <c:pt idx="3">
                    <c:v>0.0262806218982076</c:v>
                  </c:pt>
                  <c:pt idx="4">
                    <c:v>0.02332946971188</c:v>
                  </c:pt>
                  <c:pt idx="5">
                    <c:v>0.0951402706262892</c:v>
                  </c:pt>
                  <c:pt idx="6">
                    <c:v>0.070875561585206</c:v>
                  </c:pt>
                  <c:pt idx="7">
                    <c:v>0.0</c:v>
                  </c:pt>
                  <c:pt idx="8">
                    <c:v>0.0597222951760044</c:v>
                  </c:pt>
                  <c:pt idx="9">
                    <c:v>0.0899155227964062</c:v>
                  </c:pt>
                  <c:pt idx="10">
                    <c:v>0.0237692171016365</c:v>
                  </c:pt>
                  <c:pt idx="11">
                    <c:v>0.0137347544021004</c:v>
                  </c:pt>
                  <c:pt idx="12">
                    <c:v>0.0495213612526779</c:v>
                  </c:pt>
                  <c:pt idx="13">
                    <c:v>0.0598684064531063</c:v>
                  </c:pt>
                  <c:pt idx="14">
                    <c:v>0.123612789618904</c:v>
                  </c:pt>
                  <c:pt idx="15">
                    <c:v>0.0</c:v>
                  </c:pt>
                  <c:pt idx="16">
                    <c:v>0.0549969701586216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0.0385041766974257</c:v>
                  </c:pt>
                  <c:pt idx="1">
                    <c:v>0.0128681058663699</c:v>
                  </c:pt>
                  <c:pt idx="2">
                    <c:v>0.0129542377664125</c:v>
                  </c:pt>
                  <c:pt idx="3">
                    <c:v>0.0262806218982076</c:v>
                  </c:pt>
                  <c:pt idx="4">
                    <c:v>0.02332946971188</c:v>
                  </c:pt>
                  <c:pt idx="5">
                    <c:v>0.0951402706262892</c:v>
                  </c:pt>
                  <c:pt idx="6">
                    <c:v>0.070875561585206</c:v>
                  </c:pt>
                  <c:pt idx="7">
                    <c:v>0.0</c:v>
                  </c:pt>
                  <c:pt idx="8">
                    <c:v>0.0597222951760044</c:v>
                  </c:pt>
                  <c:pt idx="9">
                    <c:v>0.0899155227964062</c:v>
                  </c:pt>
                  <c:pt idx="10">
                    <c:v>0.0237692171016365</c:v>
                  </c:pt>
                  <c:pt idx="11">
                    <c:v>0.0137347544021004</c:v>
                  </c:pt>
                  <c:pt idx="12">
                    <c:v>0.0495213612526779</c:v>
                  </c:pt>
                  <c:pt idx="13">
                    <c:v>0.0598684064531063</c:v>
                  </c:pt>
                  <c:pt idx="14">
                    <c:v>0.123612789618904</c:v>
                  </c:pt>
                  <c:pt idx="15">
                    <c:v>0.0</c:v>
                  </c:pt>
                  <c:pt idx="16">
                    <c:v>0.0549969701586216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0.577990316310776</c:v>
                </c:pt>
                <c:pt idx="1">
                  <c:v>0.609211159644558</c:v>
                </c:pt>
                <c:pt idx="2">
                  <c:v>0.613288878249943</c:v>
                </c:pt>
                <c:pt idx="3">
                  <c:v>0.713136833987843</c:v>
                </c:pt>
                <c:pt idx="4">
                  <c:v>1.889687046662279</c:v>
                </c:pt>
                <c:pt idx="5">
                  <c:v>2.487510813089316</c:v>
                </c:pt>
                <c:pt idx="6">
                  <c:v>2.504269842677277</c:v>
                </c:pt>
                <c:pt idx="7">
                  <c:v>2.722894091511114</c:v>
                </c:pt>
                <c:pt idx="8">
                  <c:v>2.792375167677909</c:v>
                </c:pt>
                <c:pt idx="9">
                  <c:v>3.000399114121963</c:v>
                </c:pt>
                <c:pt idx="10">
                  <c:v>2.876075269298013</c:v>
                </c:pt>
                <c:pt idx="11">
                  <c:v>3.029169905798925</c:v>
                </c:pt>
                <c:pt idx="12">
                  <c:v>3.005380613345006</c:v>
                </c:pt>
                <c:pt idx="13">
                  <c:v>3.029169905798924</c:v>
                </c:pt>
                <c:pt idx="14">
                  <c:v>3.068818726555456</c:v>
                </c:pt>
                <c:pt idx="15">
                  <c:v>3.068818726555456</c:v>
                </c:pt>
                <c:pt idx="16">
                  <c:v>2.945045815008117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0.767957246073682</c:v>
                  </c:pt>
                  <c:pt idx="1">
                    <c:v>0.253159491354377</c:v>
                  </c:pt>
                  <c:pt idx="2">
                    <c:v>0.12742699966432</c:v>
                  </c:pt>
                  <c:pt idx="3">
                    <c:v>0.200050490476949</c:v>
                  </c:pt>
                  <c:pt idx="4">
                    <c:v>0.277773305990233</c:v>
                  </c:pt>
                  <c:pt idx="5">
                    <c:v>0.886599480748958</c:v>
                  </c:pt>
                  <c:pt idx="6">
                    <c:v>0.444058768646117</c:v>
                  </c:pt>
                  <c:pt idx="7">
                    <c:v>0.248625869506319</c:v>
                  </c:pt>
                  <c:pt idx="8">
                    <c:v>0.517102824495114</c:v>
                  </c:pt>
                  <c:pt idx="9">
                    <c:v>1.064241027357841</c:v>
                  </c:pt>
                  <c:pt idx="10">
                    <c:v>0.466260149245885</c:v>
                  </c:pt>
                  <c:pt idx="11">
                    <c:v>0.109022284814088</c:v>
                  </c:pt>
                  <c:pt idx="12">
                    <c:v>0.317183390221194</c:v>
                  </c:pt>
                  <c:pt idx="13">
                    <c:v>0.176034460585761</c:v>
                  </c:pt>
                  <c:pt idx="14">
                    <c:v>1.437364574222947</c:v>
                  </c:pt>
                  <c:pt idx="15">
                    <c:v>0.188832136455245</c:v>
                  </c:pt>
                  <c:pt idx="16">
                    <c:v>0.591689764324312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0.767957246073682</c:v>
                  </c:pt>
                  <c:pt idx="1">
                    <c:v>0.253159491354377</c:v>
                  </c:pt>
                  <c:pt idx="2">
                    <c:v>0.12742699966432</c:v>
                  </c:pt>
                  <c:pt idx="3">
                    <c:v>0.200050490476949</c:v>
                  </c:pt>
                  <c:pt idx="4">
                    <c:v>0.277773305990233</c:v>
                  </c:pt>
                  <c:pt idx="5">
                    <c:v>0.886599480748958</c:v>
                  </c:pt>
                  <c:pt idx="6">
                    <c:v>0.444058768646117</c:v>
                  </c:pt>
                  <c:pt idx="7">
                    <c:v>0.248625869506319</c:v>
                  </c:pt>
                  <c:pt idx="8">
                    <c:v>0.517102824495114</c:v>
                  </c:pt>
                  <c:pt idx="9">
                    <c:v>1.064241027357841</c:v>
                  </c:pt>
                  <c:pt idx="10">
                    <c:v>0.466260149245885</c:v>
                  </c:pt>
                  <c:pt idx="11">
                    <c:v>0.109022284814088</c:v>
                  </c:pt>
                  <c:pt idx="12">
                    <c:v>0.317183390221194</c:v>
                  </c:pt>
                  <c:pt idx="13">
                    <c:v>0.176034460585761</c:v>
                  </c:pt>
                  <c:pt idx="14">
                    <c:v>1.437364574222947</c:v>
                  </c:pt>
                  <c:pt idx="15">
                    <c:v>0.188832136455245</c:v>
                  </c:pt>
                  <c:pt idx="16">
                    <c:v>0.591689764324312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43.76296518038864</c:v>
                </c:pt>
                <c:pt idx="1">
                  <c:v>44.59004544675936</c:v>
                </c:pt>
                <c:pt idx="2">
                  <c:v>43.60950358192526</c:v>
                </c:pt>
                <c:pt idx="3">
                  <c:v>42.9271508801561</c:v>
                </c:pt>
                <c:pt idx="4">
                  <c:v>37.86583113140938</c:v>
                </c:pt>
                <c:pt idx="5">
                  <c:v>37.42067427947632</c:v>
                </c:pt>
                <c:pt idx="6">
                  <c:v>37.42437380239074</c:v>
                </c:pt>
                <c:pt idx="7">
                  <c:v>38.6790816989113</c:v>
                </c:pt>
                <c:pt idx="8">
                  <c:v>37.44996551549669</c:v>
                </c:pt>
                <c:pt idx="9">
                  <c:v>38.82130272891095</c:v>
                </c:pt>
                <c:pt idx="10">
                  <c:v>37.33162759553102</c:v>
                </c:pt>
                <c:pt idx="11">
                  <c:v>39.12366304698762</c:v>
                </c:pt>
                <c:pt idx="12">
                  <c:v>38.75490854578463</c:v>
                </c:pt>
                <c:pt idx="13">
                  <c:v>38.90954753016008</c:v>
                </c:pt>
                <c:pt idx="14">
                  <c:v>38.33857281861996</c:v>
                </c:pt>
                <c:pt idx="15">
                  <c:v>38.14824791477326</c:v>
                </c:pt>
                <c:pt idx="16">
                  <c:v>37.59309596851208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0.0251173599602007</c:v>
                  </c:pt>
                  <c:pt idx="1">
                    <c:v>0.0251826846935172</c:v>
                  </c:pt>
                  <c:pt idx="2">
                    <c:v>0.0</c:v>
                  </c:pt>
                  <c:pt idx="3">
                    <c:v>0.0257153858417395</c:v>
                  </c:pt>
                  <c:pt idx="4">
                    <c:v>0.0263591646249819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0.0251173599602007</c:v>
                  </c:pt>
                  <c:pt idx="1">
                    <c:v>0.0251826846935172</c:v>
                  </c:pt>
                  <c:pt idx="2">
                    <c:v>0.0</c:v>
                  </c:pt>
                  <c:pt idx="3">
                    <c:v>0.0257153858417395</c:v>
                  </c:pt>
                  <c:pt idx="4">
                    <c:v>0.0263591646249819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1.07311207554224</c:v>
                </c:pt>
                <c:pt idx="1">
                  <c:v>0.974128395710215</c:v>
                </c:pt>
                <c:pt idx="2">
                  <c:v>0.790373551779264</c:v>
                </c:pt>
                <c:pt idx="3">
                  <c:v>0.742339246902169</c:v>
                </c:pt>
                <c:pt idx="4">
                  <c:v>0.0760923539592349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0.0772411337993804</c:v>
                </c:pt>
                <c:pt idx="1">
                  <c:v>0.275063011869337</c:v>
                </c:pt>
                <c:pt idx="2">
                  <c:v>0.552608877207909</c:v>
                </c:pt>
                <c:pt idx="3">
                  <c:v>0.919133808653584</c:v>
                </c:pt>
                <c:pt idx="4">
                  <c:v>1.404107299107968</c:v>
                </c:pt>
                <c:pt idx="5">
                  <c:v>2.076842653125851</c:v>
                </c:pt>
                <c:pt idx="6">
                  <c:v>3.04372919616992</c:v>
                </c:pt>
                <c:pt idx="7">
                  <c:v>4.435686968601049</c:v>
                </c:pt>
                <c:pt idx="8">
                  <c:v>6.422754382020072</c:v>
                </c:pt>
                <c:pt idx="9">
                  <c:v>9.119241333027222</c:v>
                </c:pt>
                <c:pt idx="10">
                  <c:v>12.62360231517701</c:v>
                </c:pt>
                <c:pt idx="11">
                  <c:v>17.06933417839986</c:v>
                </c:pt>
                <c:pt idx="12">
                  <c:v>22.51072445374266</c:v>
                </c:pt>
                <c:pt idx="13">
                  <c:v>28.31096308190621</c:v>
                </c:pt>
                <c:pt idx="14">
                  <c:v>33.6313729022346</c:v>
                </c:pt>
                <c:pt idx="15">
                  <c:v>38.49821790157978</c:v>
                </c:pt>
                <c:pt idx="16">
                  <c:v>43.00044692938781</c:v>
                </c:pt>
                <c:pt idx="17">
                  <c:v>47.01985472749744</c:v>
                </c:pt>
                <c:pt idx="18">
                  <c:v>50.65947155183662</c:v>
                </c:pt>
                <c:pt idx="19">
                  <c:v>53.91278771600494</c:v>
                </c:pt>
                <c:pt idx="20">
                  <c:v>56.77690670255682</c:v>
                </c:pt>
                <c:pt idx="21">
                  <c:v>59.30725858863087</c:v>
                </c:pt>
                <c:pt idx="22">
                  <c:v>61.49185984203981</c:v>
                </c:pt>
                <c:pt idx="23">
                  <c:v>63.3754742291344</c:v>
                </c:pt>
                <c:pt idx="24">
                  <c:v>64.98728624635106</c:v>
                </c:pt>
                <c:pt idx="25">
                  <c:v>66.34413437689564</c:v>
                </c:pt>
                <c:pt idx="26">
                  <c:v>67.50767352841538</c:v>
                </c:pt>
                <c:pt idx="27">
                  <c:v>68.51080502992583</c:v>
                </c:pt>
                <c:pt idx="28">
                  <c:v>69.36989669290631</c:v>
                </c:pt>
                <c:pt idx="29">
                  <c:v>70.10630879745314</c:v>
                </c:pt>
                <c:pt idx="30">
                  <c:v>70.72393591228459</c:v>
                </c:pt>
                <c:pt idx="31">
                  <c:v>71.24487250567818</c:v>
                </c:pt>
                <c:pt idx="32">
                  <c:v>71.68985449101214</c:v>
                </c:pt>
                <c:pt idx="33">
                  <c:v>72.06666722617447</c:v>
                </c:pt>
                <c:pt idx="34">
                  <c:v>72.39315358867726</c:v>
                </c:pt>
                <c:pt idx="35">
                  <c:v>72.67998598174989</c:v>
                </c:pt>
                <c:pt idx="36">
                  <c:v>72.93150513610394</c:v>
                </c:pt>
                <c:pt idx="37">
                  <c:v>73.15683001117029</c:v>
                </c:pt>
                <c:pt idx="38">
                  <c:v>73.35530507950573</c:v>
                </c:pt>
                <c:pt idx="39">
                  <c:v>73.52791414127446</c:v>
                </c:pt>
                <c:pt idx="40">
                  <c:v>73.67988793446447</c:v>
                </c:pt>
                <c:pt idx="41">
                  <c:v>73.8162012646983</c:v>
                </c:pt>
                <c:pt idx="42">
                  <c:v>73.94035732649706</c:v>
                </c:pt>
                <c:pt idx="43">
                  <c:v>74.05677913145479</c:v>
                </c:pt>
                <c:pt idx="44">
                  <c:v>74.16650628453714</c:v>
                </c:pt>
                <c:pt idx="45">
                  <c:v>74.2699866673837</c:v>
                </c:pt>
                <c:pt idx="46">
                  <c:v>74.36694029383525</c:v>
                </c:pt>
                <c:pt idx="47">
                  <c:v>74.45635979100971</c:v>
                </c:pt>
                <c:pt idx="48">
                  <c:v>74.54168233731023</c:v>
                </c:pt>
                <c:pt idx="49">
                  <c:v>74.62607701525206</c:v>
                </c:pt>
                <c:pt idx="50">
                  <c:v>74.70812652912441</c:v>
                </c:pt>
                <c:pt idx="51">
                  <c:v>74.78765509235935</c:v>
                </c:pt>
                <c:pt idx="52">
                  <c:v>74.8646798302959</c:v>
                </c:pt>
                <c:pt idx="53">
                  <c:v>74.93939365484095</c:v>
                </c:pt>
                <c:pt idx="54">
                  <c:v>75.01200559586756</c:v>
                </c:pt>
                <c:pt idx="55">
                  <c:v>75.08127608104432</c:v>
                </c:pt>
                <c:pt idx="56">
                  <c:v>75.14856204164338</c:v>
                </c:pt>
                <c:pt idx="57">
                  <c:v>75.21419842914804</c:v>
                </c:pt>
                <c:pt idx="58">
                  <c:v>75.27858718533824</c:v>
                </c:pt>
                <c:pt idx="59">
                  <c:v>75.34232266021442</c:v>
                </c:pt>
                <c:pt idx="60">
                  <c:v>75.40517386785028</c:v>
                </c:pt>
                <c:pt idx="61">
                  <c:v>75.46921642993578</c:v>
                </c:pt>
                <c:pt idx="62">
                  <c:v>75.53303796505982</c:v>
                </c:pt>
                <c:pt idx="63">
                  <c:v>75.59530487304622</c:v>
                </c:pt>
                <c:pt idx="64">
                  <c:v>75.65669723685335</c:v>
                </c:pt>
                <c:pt idx="65">
                  <c:v>75.71745361683144</c:v>
                </c:pt>
                <c:pt idx="66">
                  <c:v>75.77766221123917</c:v>
                </c:pt>
                <c:pt idx="67">
                  <c:v>75.83831232825503</c:v>
                </c:pt>
                <c:pt idx="68">
                  <c:v>75.90083532998044</c:v>
                </c:pt>
                <c:pt idx="69">
                  <c:v>75.9644448704948</c:v>
                </c:pt>
                <c:pt idx="70">
                  <c:v>76.02882269222619</c:v>
                </c:pt>
                <c:pt idx="71">
                  <c:v>76.09551492127525</c:v>
                </c:pt>
                <c:pt idx="72">
                  <c:v>76.16392117190533</c:v>
                </c:pt>
                <c:pt idx="73">
                  <c:v>76.23373221889628</c:v>
                </c:pt>
                <c:pt idx="74">
                  <c:v>76.3060606354628</c:v>
                </c:pt>
                <c:pt idx="75">
                  <c:v>76.38013814038787</c:v>
                </c:pt>
                <c:pt idx="76">
                  <c:v>76.45710387262675</c:v>
                </c:pt>
                <c:pt idx="77">
                  <c:v>76.53811503583825</c:v>
                </c:pt>
                <c:pt idx="78">
                  <c:v>76.62315462794846</c:v>
                </c:pt>
                <c:pt idx="79">
                  <c:v>76.71262857347314</c:v>
                </c:pt>
                <c:pt idx="80">
                  <c:v>76.8069874273722</c:v>
                </c:pt>
                <c:pt idx="81">
                  <c:v>76.9072736293052</c:v>
                </c:pt>
                <c:pt idx="82">
                  <c:v>77.01467944970866</c:v>
                </c:pt>
                <c:pt idx="83">
                  <c:v>77.12590117308629</c:v>
                </c:pt>
                <c:pt idx="84">
                  <c:v>77.23106325104193</c:v>
                </c:pt>
                <c:pt idx="85">
                  <c:v>77.32313426336385</c:v>
                </c:pt>
                <c:pt idx="86">
                  <c:v>77.4019022154424</c:v>
                </c:pt>
                <c:pt idx="87">
                  <c:v>77.46992007494546</c:v>
                </c:pt>
                <c:pt idx="88">
                  <c:v>77.53014673405677</c:v>
                </c:pt>
                <c:pt idx="89">
                  <c:v>77.58356246860302</c:v>
                </c:pt>
                <c:pt idx="90">
                  <c:v>77.63145731094586</c:v>
                </c:pt>
                <c:pt idx="91">
                  <c:v>77.67613716736599</c:v>
                </c:pt>
                <c:pt idx="92">
                  <c:v>77.71805206150851</c:v>
                </c:pt>
                <c:pt idx="93">
                  <c:v>77.75708722937422</c:v>
                </c:pt>
                <c:pt idx="94">
                  <c:v>77.79408161705001</c:v>
                </c:pt>
                <c:pt idx="95">
                  <c:v>77.82893799392545</c:v>
                </c:pt>
                <c:pt idx="96">
                  <c:v>77.86390008314971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0.941145142759556</c:v>
                  </c:pt>
                  <c:pt idx="1">
                    <c:v>0.14544375539063</c:v>
                  </c:pt>
                  <c:pt idx="2">
                    <c:v>0.123065258780918</c:v>
                  </c:pt>
                  <c:pt idx="3">
                    <c:v>0.142589025293177</c:v>
                  </c:pt>
                  <c:pt idx="4">
                    <c:v>0.0728462458271933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0.941145142759556</c:v>
                  </c:pt>
                  <c:pt idx="1">
                    <c:v>0.14544375539063</c:v>
                  </c:pt>
                  <c:pt idx="2">
                    <c:v>0.123065258780918</c:v>
                  </c:pt>
                  <c:pt idx="3">
                    <c:v>0.142589025293177</c:v>
                  </c:pt>
                  <c:pt idx="4">
                    <c:v>0.0728462458271933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45.46857154978102</c:v>
                </c:pt>
                <c:pt idx="1">
                  <c:v>46.09573951237387</c:v>
                </c:pt>
                <c:pt idx="2">
                  <c:v>41.58397759841077</c:v>
                </c:pt>
                <c:pt idx="3">
                  <c:v>29.98588655677605</c:v>
                </c:pt>
                <c:pt idx="4">
                  <c:v>5.704055344554657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0.0918518278603593</c:v>
                  </c:pt>
                  <c:pt idx="1">
                    <c:v>0.0573448738827753</c:v>
                  </c:pt>
                  <c:pt idx="2">
                    <c:v>0.0458781253085153</c:v>
                  </c:pt>
                  <c:pt idx="3">
                    <c:v>0.136341300115091</c:v>
                  </c:pt>
                  <c:pt idx="4">
                    <c:v>0.276439398418288</c:v>
                  </c:pt>
                  <c:pt idx="5">
                    <c:v>1.289126155896898</c:v>
                  </c:pt>
                  <c:pt idx="6">
                    <c:v>0.955307273442241</c:v>
                  </c:pt>
                  <c:pt idx="7">
                    <c:v>0.193653821863636</c:v>
                  </c:pt>
                  <c:pt idx="8">
                    <c:v>0.643891384295723</c:v>
                  </c:pt>
                  <c:pt idx="9">
                    <c:v>1.094526047578648</c:v>
                  </c:pt>
                  <c:pt idx="10">
                    <c:v>0.409762246268392</c:v>
                  </c:pt>
                  <c:pt idx="11">
                    <c:v>0.220684865747014</c:v>
                  </c:pt>
                  <c:pt idx="12">
                    <c:v>0.585899948476719</c:v>
                  </c:pt>
                  <c:pt idx="13">
                    <c:v>1.091566933834998</c:v>
                  </c:pt>
                  <c:pt idx="14">
                    <c:v>1.492602204027459</c:v>
                  </c:pt>
                  <c:pt idx="15">
                    <c:v>0.0280836834988326</c:v>
                  </c:pt>
                  <c:pt idx="16">
                    <c:v>1.019180106097797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0.0918518278603593</c:v>
                  </c:pt>
                  <c:pt idx="1">
                    <c:v>0.0573448738827753</c:v>
                  </c:pt>
                  <c:pt idx="2">
                    <c:v>0.0458781253085153</c:v>
                  </c:pt>
                  <c:pt idx="3">
                    <c:v>0.136341300115091</c:v>
                  </c:pt>
                  <c:pt idx="4">
                    <c:v>0.276439398418288</c:v>
                  </c:pt>
                  <c:pt idx="5">
                    <c:v>1.289126155896898</c:v>
                  </c:pt>
                  <c:pt idx="6">
                    <c:v>0.955307273442241</c:v>
                  </c:pt>
                  <c:pt idx="7">
                    <c:v>0.193653821863636</c:v>
                  </c:pt>
                  <c:pt idx="8">
                    <c:v>0.643891384295723</c:v>
                  </c:pt>
                  <c:pt idx="9">
                    <c:v>1.094526047578648</c:v>
                  </c:pt>
                  <c:pt idx="10">
                    <c:v>0.409762246268392</c:v>
                  </c:pt>
                  <c:pt idx="11">
                    <c:v>0.220684865747014</c:v>
                  </c:pt>
                  <c:pt idx="12">
                    <c:v>0.585899948476719</c:v>
                  </c:pt>
                  <c:pt idx="13">
                    <c:v>1.091566933834998</c:v>
                  </c:pt>
                  <c:pt idx="14">
                    <c:v>1.492602204027459</c:v>
                  </c:pt>
                  <c:pt idx="15">
                    <c:v>0.0280836834988326</c:v>
                  </c:pt>
                  <c:pt idx="16">
                    <c:v>1.019180106097797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2.015165746548031</c:v>
                </c:pt>
                <c:pt idx="1">
                  <c:v>4.473757803106491</c:v>
                </c:pt>
                <c:pt idx="2">
                  <c:v>9.65734537744247</c:v>
                </c:pt>
                <c:pt idx="3">
                  <c:v>20.76330877470108</c:v>
                </c:pt>
                <c:pt idx="4">
                  <c:v>42.939893805171</c:v>
                </c:pt>
                <c:pt idx="5">
                  <c:v>47.58135607840146</c:v>
                </c:pt>
                <c:pt idx="6">
                  <c:v>48.10553949089173</c:v>
                </c:pt>
                <c:pt idx="7">
                  <c:v>49.86585912988621</c:v>
                </c:pt>
                <c:pt idx="8">
                  <c:v>48.70966034904084</c:v>
                </c:pt>
                <c:pt idx="9">
                  <c:v>50.35852505635233</c:v>
                </c:pt>
                <c:pt idx="10">
                  <c:v>48.26920926476507</c:v>
                </c:pt>
                <c:pt idx="11">
                  <c:v>50.67723902326723</c:v>
                </c:pt>
                <c:pt idx="12">
                  <c:v>50.74209551217877</c:v>
                </c:pt>
                <c:pt idx="13">
                  <c:v>51.54469456245929</c:v>
                </c:pt>
                <c:pt idx="14">
                  <c:v>52.39593597942346</c:v>
                </c:pt>
                <c:pt idx="15">
                  <c:v>52.76886079066491</c:v>
                </c:pt>
                <c:pt idx="16">
                  <c:v>52.13469705230452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0.0481281237502705</c:v>
                </c:pt>
                <c:pt idx="1">
                  <c:v>0.331711426934411</c:v>
                </c:pt>
                <c:pt idx="2">
                  <c:v>0.914842600549846</c:v>
                </c:pt>
                <c:pt idx="3">
                  <c:v>1.779935403426892</c:v>
                </c:pt>
                <c:pt idx="4">
                  <c:v>2.95106356639296</c:v>
                </c:pt>
                <c:pt idx="5">
                  <c:v>4.753601756435943</c:v>
                </c:pt>
                <c:pt idx="6">
                  <c:v>7.432247758179203</c:v>
                </c:pt>
                <c:pt idx="7">
                  <c:v>11.16466835051085</c:v>
                </c:pt>
                <c:pt idx="8">
                  <c:v>16.0371190799578</c:v>
                </c:pt>
                <c:pt idx="9">
                  <c:v>21.74978797411119</c:v>
                </c:pt>
                <c:pt idx="10">
                  <c:v>28.39511599379667</c:v>
                </c:pt>
                <c:pt idx="11">
                  <c:v>35.43251467006389</c:v>
                </c:pt>
                <c:pt idx="12">
                  <c:v>42.38188273504399</c:v>
                </c:pt>
                <c:pt idx="13">
                  <c:v>47.33414038139558</c:v>
                </c:pt>
                <c:pt idx="14">
                  <c:v>48.98016575652407</c:v>
                </c:pt>
                <c:pt idx="15">
                  <c:v>49.2291078995099</c:v>
                </c:pt>
                <c:pt idx="16">
                  <c:v>49.28083229899543</c:v>
                </c:pt>
                <c:pt idx="17">
                  <c:v>49.29833401807192</c:v>
                </c:pt>
                <c:pt idx="18">
                  <c:v>49.31150098283984</c:v>
                </c:pt>
                <c:pt idx="19">
                  <c:v>49.3240088560967</c:v>
                </c:pt>
                <c:pt idx="20">
                  <c:v>49.33494296273683</c:v>
                </c:pt>
                <c:pt idx="21">
                  <c:v>49.34521804077901</c:v>
                </c:pt>
                <c:pt idx="22">
                  <c:v>49.35525729486377</c:v>
                </c:pt>
                <c:pt idx="23">
                  <c:v>49.36556208407341</c:v>
                </c:pt>
                <c:pt idx="24">
                  <c:v>49.37668713270706</c:v>
                </c:pt>
                <c:pt idx="25">
                  <c:v>49.38769899043892</c:v>
                </c:pt>
                <c:pt idx="26">
                  <c:v>49.39895323810298</c:v>
                </c:pt>
                <c:pt idx="27">
                  <c:v>49.41168681678663</c:v>
                </c:pt>
                <c:pt idx="28">
                  <c:v>49.4260414864564</c:v>
                </c:pt>
                <c:pt idx="29">
                  <c:v>49.44180453427575</c:v>
                </c:pt>
                <c:pt idx="30">
                  <c:v>49.45774992933831</c:v>
                </c:pt>
                <c:pt idx="31">
                  <c:v>49.474954982535</c:v>
                </c:pt>
                <c:pt idx="32">
                  <c:v>49.49407693635147</c:v>
                </c:pt>
                <c:pt idx="33">
                  <c:v>49.5129034884624</c:v>
                </c:pt>
                <c:pt idx="34">
                  <c:v>49.53155674887312</c:v>
                </c:pt>
                <c:pt idx="35">
                  <c:v>49.55036718144633</c:v>
                </c:pt>
                <c:pt idx="36">
                  <c:v>49.57056783930765</c:v>
                </c:pt>
                <c:pt idx="37">
                  <c:v>49.59047475901175</c:v>
                </c:pt>
                <c:pt idx="38">
                  <c:v>49.61088680838451</c:v>
                </c:pt>
                <c:pt idx="39">
                  <c:v>49.63281424676326</c:v>
                </c:pt>
                <c:pt idx="40">
                  <c:v>49.65313441064391</c:v>
                </c:pt>
                <c:pt idx="41">
                  <c:v>49.67347766616655</c:v>
                </c:pt>
                <c:pt idx="42">
                  <c:v>49.69432605135786</c:v>
                </c:pt>
                <c:pt idx="43">
                  <c:v>49.71377354360141</c:v>
                </c:pt>
                <c:pt idx="44">
                  <c:v>49.7343693639584</c:v>
                </c:pt>
                <c:pt idx="45">
                  <c:v>49.75638916890513</c:v>
                </c:pt>
                <c:pt idx="46">
                  <c:v>49.77599782156677</c:v>
                </c:pt>
                <c:pt idx="47">
                  <c:v>49.79512395512588</c:v>
                </c:pt>
                <c:pt idx="48">
                  <c:v>49.81424152842087</c:v>
                </c:pt>
                <c:pt idx="49">
                  <c:v>49.83219946110322</c:v>
                </c:pt>
                <c:pt idx="50">
                  <c:v>49.85171982912568</c:v>
                </c:pt>
                <c:pt idx="51">
                  <c:v>49.87157665969076</c:v>
                </c:pt>
                <c:pt idx="52">
                  <c:v>49.89227515029881</c:v>
                </c:pt>
                <c:pt idx="53">
                  <c:v>49.91333428039865</c:v>
                </c:pt>
                <c:pt idx="54">
                  <c:v>49.93518671664312</c:v>
                </c:pt>
                <c:pt idx="55">
                  <c:v>49.95852956106663</c:v>
                </c:pt>
                <c:pt idx="56">
                  <c:v>49.9799009767599</c:v>
                </c:pt>
                <c:pt idx="57">
                  <c:v>50.00076769863927</c:v>
                </c:pt>
                <c:pt idx="58">
                  <c:v>50.02110554975553</c:v>
                </c:pt>
                <c:pt idx="59">
                  <c:v>50.04194809468572</c:v>
                </c:pt>
                <c:pt idx="60">
                  <c:v>50.06461659010031</c:v>
                </c:pt>
                <c:pt idx="61">
                  <c:v>50.08946777776561</c:v>
                </c:pt>
                <c:pt idx="62">
                  <c:v>50.11528277049847</c:v>
                </c:pt>
                <c:pt idx="63">
                  <c:v>50.13924666242904</c:v>
                </c:pt>
                <c:pt idx="64">
                  <c:v>50.1617143718512</c:v>
                </c:pt>
                <c:pt idx="65">
                  <c:v>50.1855512795419</c:v>
                </c:pt>
                <c:pt idx="66">
                  <c:v>50.21065590437215</c:v>
                </c:pt>
                <c:pt idx="67">
                  <c:v>50.234112390658</c:v>
                </c:pt>
                <c:pt idx="68">
                  <c:v>50.25663057498723</c:v>
                </c:pt>
                <c:pt idx="69">
                  <c:v>50.2796811367573</c:v>
                </c:pt>
                <c:pt idx="70">
                  <c:v>50.30311211993222</c:v>
                </c:pt>
                <c:pt idx="71">
                  <c:v>50.32755738308174</c:v>
                </c:pt>
                <c:pt idx="72">
                  <c:v>50.35195217132421</c:v>
                </c:pt>
                <c:pt idx="73">
                  <c:v>50.37591606325478</c:v>
                </c:pt>
                <c:pt idx="74">
                  <c:v>50.4026948610552</c:v>
                </c:pt>
                <c:pt idx="75">
                  <c:v>50.42904276254372</c:v>
                </c:pt>
                <c:pt idx="76">
                  <c:v>50.45285469843828</c:v>
                </c:pt>
                <c:pt idx="77">
                  <c:v>50.47484050532667</c:v>
                </c:pt>
                <c:pt idx="78">
                  <c:v>50.49606546940538</c:v>
                </c:pt>
                <c:pt idx="79">
                  <c:v>50.5202068204829</c:v>
                </c:pt>
                <c:pt idx="80">
                  <c:v>50.54450012759642</c:v>
                </c:pt>
                <c:pt idx="81">
                  <c:v>50.56668889674269</c:v>
                </c:pt>
                <c:pt idx="82">
                  <c:v>50.58781291100727</c:v>
                </c:pt>
                <c:pt idx="83">
                  <c:v>50.60675587797178</c:v>
                </c:pt>
                <c:pt idx="84">
                  <c:v>50.62316287934233</c:v>
                </c:pt>
                <c:pt idx="85">
                  <c:v>50.63929094043698</c:v>
                </c:pt>
                <c:pt idx="86">
                  <c:v>50.65572344491847</c:v>
                </c:pt>
                <c:pt idx="87">
                  <c:v>50.67220642430703</c:v>
                </c:pt>
                <c:pt idx="88">
                  <c:v>50.69071796364483</c:v>
                </c:pt>
                <c:pt idx="89">
                  <c:v>50.70915352496462</c:v>
                </c:pt>
                <c:pt idx="90">
                  <c:v>50.71754723635232</c:v>
                </c:pt>
                <c:pt idx="91">
                  <c:v>50.72784305476419</c:v>
                </c:pt>
                <c:pt idx="92">
                  <c:v>50.7480792419792</c:v>
                </c:pt>
                <c:pt idx="93">
                  <c:v>50.7669462309257</c:v>
                </c:pt>
                <c:pt idx="94">
                  <c:v>50.78715744634462</c:v>
                </c:pt>
                <c:pt idx="95">
                  <c:v>50.80797701722237</c:v>
                </c:pt>
                <c:pt idx="96">
                  <c:v>50.82628197038549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91464"/>
        <c:axId val="-2107955096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14251.0</c:v>
                </c:pt>
                <c:pt idx="1">
                  <c:v>21023.0</c:v>
                </c:pt>
                <c:pt idx="2">
                  <c:v>6637.0</c:v>
                </c:pt>
                <c:pt idx="3">
                  <c:v>18682.0</c:v>
                </c:pt>
                <c:pt idx="4">
                  <c:v>3906.0</c:v>
                </c:pt>
                <c:pt idx="5">
                  <c:v>4392.0</c:v>
                </c:pt>
                <c:pt idx="6">
                  <c:v>4350.0</c:v>
                </c:pt>
                <c:pt idx="7">
                  <c:v>4405.0</c:v>
                </c:pt>
                <c:pt idx="8">
                  <c:v>3658.0</c:v>
                </c:pt>
                <c:pt idx="9">
                  <c:v>5272.0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0.0666424553069088</c:v>
                  </c:pt>
                  <c:pt idx="2">
                    <c:v>0.160336561383651</c:v>
                  </c:pt>
                  <c:pt idx="3">
                    <c:v>0.0577140592663521</c:v>
                  </c:pt>
                  <c:pt idx="4">
                    <c:v>0.230856237065409</c:v>
                  </c:pt>
                  <c:pt idx="5">
                    <c:v>0.121203047854967</c:v>
                  </c:pt>
                  <c:pt idx="6">
                    <c:v>0.345296381100836</c:v>
                  </c:pt>
                  <c:pt idx="7">
                    <c:v>0.563967599091768</c:v>
                  </c:pt>
                  <c:pt idx="8">
                    <c:v>0.199927365920726</c:v>
                  </c:pt>
                  <c:pt idx="9">
                    <c:v>0.194733559644967</c:v>
                  </c:pt>
                  <c:pt idx="10">
                    <c:v>0.0666424553069088</c:v>
                  </c:pt>
                  <c:pt idx="11">
                    <c:v>0.121203047854967</c:v>
                  </c:pt>
                  <c:pt idx="12">
                    <c:v>0.0847010824724219</c:v>
                  </c:pt>
                  <c:pt idx="13">
                    <c:v>0.286937846484798</c:v>
                  </c:pt>
                  <c:pt idx="14">
                    <c:v>0.0805667998702524</c:v>
                  </c:pt>
                  <c:pt idx="15">
                    <c:v>0.0978043855322107</c:v>
                  </c:pt>
                  <c:pt idx="16">
                    <c:v>0.0606015239274831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0.0666424553069088</c:v>
                  </c:pt>
                  <c:pt idx="2">
                    <c:v>0.160336561383651</c:v>
                  </c:pt>
                  <c:pt idx="3">
                    <c:v>0.0577140592663521</c:v>
                  </c:pt>
                  <c:pt idx="4">
                    <c:v>0.230856237065409</c:v>
                  </c:pt>
                  <c:pt idx="5">
                    <c:v>0.121203047854967</c:v>
                  </c:pt>
                  <c:pt idx="6">
                    <c:v>0.345296381100836</c:v>
                  </c:pt>
                  <c:pt idx="7">
                    <c:v>0.563967599091768</c:v>
                  </c:pt>
                  <c:pt idx="8">
                    <c:v>0.199927365920726</c:v>
                  </c:pt>
                  <c:pt idx="9">
                    <c:v>0.194733559644967</c:v>
                  </c:pt>
                  <c:pt idx="10">
                    <c:v>0.0666424553069088</c:v>
                  </c:pt>
                  <c:pt idx="11">
                    <c:v>0.121203047854967</c:v>
                  </c:pt>
                  <c:pt idx="12">
                    <c:v>0.0847010824724219</c:v>
                  </c:pt>
                  <c:pt idx="13">
                    <c:v>0.286937846484798</c:v>
                  </c:pt>
                  <c:pt idx="14">
                    <c:v>0.0805667998702524</c:v>
                  </c:pt>
                  <c:pt idx="15">
                    <c:v>0.0978043855322107</c:v>
                  </c:pt>
                  <c:pt idx="16">
                    <c:v>0.0606015239274831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0.3595624</c:v>
                </c:pt>
                <c:pt idx="1">
                  <c:v>0.879769666666667</c:v>
                </c:pt>
                <c:pt idx="2">
                  <c:v>2.245700333333334</c:v>
                </c:pt>
                <c:pt idx="3">
                  <c:v>4.476009</c:v>
                </c:pt>
                <c:pt idx="4">
                  <c:v>8.375766</c:v>
                </c:pt>
                <c:pt idx="5">
                  <c:v>8.578521333333335</c:v>
                </c:pt>
                <c:pt idx="6">
                  <c:v>8.269052666666667</c:v>
                </c:pt>
                <c:pt idx="7">
                  <c:v>7.906227333333334</c:v>
                </c:pt>
                <c:pt idx="8">
                  <c:v>6.550968</c:v>
                </c:pt>
                <c:pt idx="9">
                  <c:v>5.718604000000002</c:v>
                </c:pt>
                <c:pt idx="10">
                  <c:v>4.832883333333332</c:v>
                </c:pt>
                <c:pt idx="11">
                  <c:v>4.043204666666667</c:v>
                </c:pt>
                <c:pt idx="12">
                  <c:v>3.253526</c:v>
                </c:pt>
                <c:pt idx="13">
                  <c:v>3.306882666666666</c:v>
                </c:pt>
                <c:pt idx="14">
                  <c:v>2.976071333333334</c:v>
                </c:pt>
                <c:pt idx="15">
                  <c:v>2.463847333333333</c:v>
                </c:pt>
                <c:pt idx="16">
                  <c:v>2.160329666666666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677912"/>
        <c:axId val="-2122658824"/>
      </c:scatterChart>
      <c:valAx>
        <c:axId val="-2108491464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07955096"/>
        <c:crosses val="autoZero"/>
        <c:crossBetween val="midCat"/>
        <c:majorUnit val="6.0"/>
      </c:valAx>
      <c:valAx>
        <c:axId val="-210795509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08491464"/>
        <c:crosses val="autoZero"/>
        <c:crossBetween val="midCat"/>
      </c:valAx>
      <c:valAx>
        <c:axId val="-2122658824"/>
        <c:scaling>
          <c:orientation val="minMax"/>
          <c:max val="11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07677912"/>
        <c:crosses val="max"/>
        <c:crossBetween val="midCat"/>
        <c:majorUnit val="1.0"/>
        <c:minorUnit val="0.2"/>
      </c:valAx>
      <c:valAx>
        <c:axId val="-2107677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2265882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22</xdr:col>
      <xdr:colOff>152400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PhD/ELN/BATCH/Monocultures/Roseburia%20intestinalis/2014_07_23_Batch8_RI_Fructose%20/Batch8__RI_Calc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PhD/ELN/BATCH/Monocultures/Blautia%20hydrogenotrophica/2015_02_11_Batch14_BH_Fructose_Formate/2015_02_11_Batch14_BH_Fructose_Formate_Calculations%20%20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rmentation"/>
      <sheetName val="Calculation"/>
      <sheetName val="Plate Count"/>
      <sheetName val="Flow cytometer"/>
      <sheetName val="Calibration R. intestinalis "/>
      <sheetName val="Determination cell counts RI"/>
      <sheetName val="OD600nm"/>
      <sheetName val="CDM"/>
      <sheetName val="H2"/>
      <sheetName val="CO2"/>
      <sheetName val="Metabolites"/>
      <sheetName val="D-Fructose"/>
      <sheetName val="Formic acid"/>
      <sheetName val="Acetic acid"/>
      <sheetName val="Propionic acid"/>
      <sheetName val="Butyric acid"/>
      <sheetName val="Lactic acid"/>
      <sheetName val="Ethanol"/>
      <sheetName val="Graph"/>
      <sheetName val="Graph (2)"/>
      <sheetName val="Carbon recovery"/>
    </sheetNames>
    <sheetDataSet>
      <sheetData sheetId="0"/>
      <sheetData sheetId="1">
        <row r="3">
          <cell r="K3">
            <v>1527</v>
          </cell>
        </row>
        <row r="4">
          <cell r="I4">
            <v>1527</v>
          </cell>
          <cell r="K4">
            <v>1481</v>
          </cell>
        </row>
        <row r="5">
          <cell r="I5">
            <v>1482</v>
          </cell>
          <cell r="K5">
            <v>1438.0290148448044</v>
          </cell>
        </row>
        <row r="6">
          <cell r="I6">
            <v>1441</v>
          </cell>
          <cell r="K6">
            <v>1391.125917205869</v>
          </cell>
        </row>
        <row r="7">
          <cell r="I7">
            <v>1396</v>
          </cell>
          <cell r="K7">
            <v>1345.2865245185696</v>
          </cell>
        </row>
        <row r="8">
          <cell r="I8">
            <v>1354</v>
          </cell>
          <cell r="K8">
            <v>1298.5889863705838</v>
          </cell>
        </row>
        <row r="9">
          <cell r="I9">
            <v>1312</v>
          </cell>
          <cell r="K9">
            <v>1249.1000768290219</v>
          </cell>
        </row>
        <row r="10">
          <cell r="I10">
            <v>1277</v>
          </cell>
          <cell r="K10">
            <v>1207.0395417439413</v>
          </cell>
        </row>
        <row r="11">
          <cell r="I11">
            <v>1242</v>
          </cell>
          <cell r="K11">
            <v>1162.3343735312028</v>
          </cell>
        </row>
        <row r="12">
          <cell r="I12">
            <v>1203</v>
          </cell>
          <cell r="K12">
            <v>1115.9569421683618</v>
          </cell>
        </row>
        <row r="13">
          <cell r="I13">
            <v>1161</v>
          </cell>
          <cell r="K13">
            <v>1065.013171337248</v>
          </cell>
        </row>
        <row r="14">
          <cell r="I14">
            <v>1118</v>
          </cell>
          <cell r="K14">
            <v>1018.3354920925922</v>
          </cell>
        </row>
        <row r="15">
          <cell r="I15">
            <v>1071</v>
          </cell>
          <cell r="K15">
            <v>967.94167222246392</v>
          </cell>
        </row>
        <row r="16">
          <cell r="I16">
            <v>1019</v>
          </cell>
          <cell r="K16">
            <v>919.49709392673708</v>
          </cell>
        </row>
        <row r="17">
          <cell r="I17">
            <v>969</v>
          </cell>
          <cell r="K17">
            <v>865.40902957810545</v>
          </cell>
        </row>
        <row r="18">
          <cell r="I18">
            <v>913</v>
          </cell>
          <cell r="K18">
            <v>812.32808143311763</v>
          </cell>
        </row>
        <row r="19">
          <cell r="I19">
            <v>857</v>
          </cell>
        </row>
      </sheetData>
      <sheetData sheetId="2"/>
      <sheetData sheetId="3"/>
      <sheetData sheetId="4">
        <row r="44">
          <cell r="D44">
            <v>-3.6977000000000002</v>
          </cell>
        </row>
        <row r="45">
          <cell r="D45">
            <v>41.616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mentation"/>
      <sheetName val="Calculation"/>
      <sheetName val="Plate Count"/>
      <sheetName val="Flow cytometer"/>
      <sheetName val="CalibrationB. hydrogenotrophBAD"/>
      <sheetName val="CalibrationB. hydrogenotropBAD"/>
      <sheetName val="CalibrationB. hydrogenotrophica"/>
      <sheetName val="Determination cell count BAD"/>
      <sheetName val="Determination cell count GOOD"/>
      <sheetName val="OD600nm"/>
      <sheetName val="CDM"/>
      <sheetName val="H2"/>
      <sheetName val="CO2"/>
      <sheetName val="Metabolites"/>
      <sheetName val="D-Fructose"/>
      <sheetName val="Formic acid"/>
      <sheetName val="Acetic acid"/>
      <sheetName val="Propionic acid"/>
      <sheetName val="Butyric acid"/>
      <sheetName val="Lactic acid"/>
      <sheetName val="Ethanol"/>
      <sheetName val="Graph"/>
      <sheetName val="Graph (2)"/>
      <sheetName val="Carbon recovery"/>
    </sheetNames>
    <sheetDataSet>
      <sheetData sheetId="0"/>
      <sheetData sheetId="1">
        <row r="3">
          <cell r="K3">
            <v>1520</v>
          </cell>
        </row>
        <row r="4">
          <cell r="I4">
            <v>1520</v>
          </cell>
          <cell r="K4">
            <v>1471</v>
          </cell>
        </row>
        <row r="5">
          <cell r="I5">
            <v>1471</v>
          </cell>
          <cell r="K5">
            <v>1417</v>
          </cell>
        </row>
        <row r="6">
          <cell r="I6">
            <v>1417</v>
          </cell>
          <cell r="K6">
            <v>1370</v>
          </cell>
        </row>
        <row r="7">
          <cell r="I7">
            <v>1370</v>
          </cell>
          <cell r="K7">
            <v>1320</v>
          </cell>
        </row>
        <row r="8">
          <cell r="I8">
            <v>1320</v>
          </cell>
          <cell r="K8">
            <v>1267</v>
          </cell>
        </row>
        <row r="9">
          <cell r="I9">
            <v>1267</v>
          </cell>
          <cell r="K9">
            <v>1217</v>
          </cell>
        </row>
        <row r="10">
          <cell r="I10">
            <v>1217</v>
          </cell>
          <cell r="K10">
            <v>1173</v>
          </cell>
        </row>
        <row r="11">
          <cell r="I11">
            <v>1173</v>
          </cell>
          <cell r="K11">
            <v>1126</v>
          </cell>
        </row>
        <row r="12">
          <cell r="I12">
            <v>1127</v>
          </cell>
          <cell r="K12">
            <v>1081.0399290150842</v>
          </cell>
        </row>
        <row r="13">
          <cell r="I13">
            <v>1083</v>
          </cell>
          <cell r="K13">
            <v>1034.1249921141525</v>
          </cell>
        </row>
        <row r="14">
          <cell r="I14">
            <v>1037</v>
          </cell>
          <cell r="K14">
            <v>988.2525238043637</v>
          </cell>
        </row>
        <row r="15">
          <cell r="I15">
            <v>992</v>
          </cell>
          <cell r="K15">
            <v>939.4376309954788</v>
          </cell>
        </row>
        <row r="16">
          <cell r="I16">
            <v>944</v>
          </cell>
          <cell r="K16">
            <v>889.67928189614202</v>
          </cell>
        </row>
        <row r="17">
          <cell r="I17">
            <v>894</v>
          </cell>
          <cell r="K17">
            <v>840.91609977879193</v>
          </cell>
        </row>
        <row r="18">
          <cell r="I18">
            <v>845</v>
          </cell>
          <cell r="K18">
            <v>790.16258369746834</v>
          </cell>
        </row>
        <row r="19">
          <cell r="I19">
            <v>809</v>
          </cell>
          <cell r="K19">
            <v>728.62952711781384</v>
          </cell>
        </row>
        <row r="20">
          <cell r="I20">
            <v>750</v>
          </cell>
        </row>
      </sheetData>
      <sheetData sheetId="2"/>
      <sheetData sheetId="3"/>
      <sheetData sheetId="4">
        <row r="40">
          <cell r="F40">
            <v>13.770941098531088</v>
          </cell>
        </row>
      </sheetData>
      <sheetData sheetId="5">
        <row r="44">
          <cell r="D44">
            <v>-5.9149000000000003</v>
          </cell>
        </row>
        <row r="45">
          <cell r="D45">
            <v>54.341999999999999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/>
    </sheetDataSet>
  </externalBook>
</externalLink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30" sqref="C30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75.6640625" style="2" customWidth="1"/>
    <col min="4" max="16384" width="8.83203125" style="2"/>
  </cols>
  <sheetData>
    <row r="1" spans="1:3">
      <c r="A1" s="129" t="s">
        <v>0</v>
      </c>
      <c r="B1" s="130"/>
      <c r="C1" s="33">
        <v>42046</v>
      </c>
    </row>
    <row r="2" spans="1:3" ht="16">
      <c r="A2" s="129" t="s">
        <v>1</v>
      </c>
      <c r="B2" s="131"/>
      <c r="C2" s="31" t="s">
        <v>148</v>
      </c>
    </row>
    <row r="3" spans="1:3">
      <c r="A3" s="11"/>
      <c r="B3" s="11"/>
      <c r="C3" s="10"/>
    </row>
    <row r="4" spans="1:3">
      <c r="A4" s="132" t="s">
        <v>49</v>
      </c>
      <c r="B4" s="132"/>
      <c r="C4" s="7" t="s">
        <v>107</v>
      </c>
    </row>
    <row r="6" spans="1:3">
      <c r="A6" s="40" t="s">
        <v>83</v>
      </c>
      <c r="B6" s="40" t="s">
        <v>84</v>
      </c>
      <c r="C6" s="40" t="s">
        <v>69</v>
      </c>
    </row>
    <row r="7" spans="1:3">
      <c r="A7" s="31" t="s">
        <v>85</v>
      </c>
      <c r="B7" s="36" t="s">
        <v>86</v>
      </c>
      <c r="C7" s="36" t="s">
        <v>101</v>
      </c>
    </row>
    <row r="8" spans="1:3">
      <c r="A8" s="31" t="s">
        <v>87</v>
      </c>
      <c r="B8" s="36" t="s">
        <v>88</v>
      </c>
      <c r="C8" s="36" t="s">
        <v>101</v>
      </c>
    </row>
    <row r="9" spans="1:3">
      <c r="A9" s="31" t="s">
        <v>89</v>
      </c>
      <c r="B9" s="36" t="s">
        <v>90</v>
      </c>
      <c r="C9" s="36" t="s">
        <v>101</v>
      </c>
    </row>
    <row r="10" spans="1:3">
      <c r="A10" s="31" t="s">
        <v>91</v>
      </c>
      <c r="B10" s="36" t="s">
        <v>92</v>
      </c>
      <c r="C10" s="36" t="s">
        <v>101</v>
      </c>
    </row>
    <row r="11" spans="1:3">
      <c r="A11" s="29" t="s">
        <v>149</v>
      </c>
      <c r="B11" s="29" t="s">
        <v>150</v>
      </c>
      <c r="C11" s="29" t="s">
        <v>101</v>
      </c>
    </row>
    <row r="12" spans="1:3">
      <c r="A12" s="31" t="s">
        <v>73</v>
      </c>
      <c r="B12" s="36" t="s">
        <v>93</v>
      </c>
      <c r="C12" s="36" t="s">
        <v>101</v>
      </c>
    </row>
    <row r="13" spans="1:3" ht="16">
      <c r="A13" s="67" t="s">
        <v>77</v>
      </c>
      <c r="B13" s="36" t="s">
        <v>94</v>
      </c>
      <c r="C13" s="36" t="s">
        <v>101</v>
      </c>
    </row>
    <row r="14" spans="1:3" ht="16">
      <c r="A14" s="67" t="s">
        <v>76</v>
      </c>
      <c r="B14" s="36" t="s">
        <v>94</v>
      </c>
      <c r="C14" s="36" t="s">
        <v>101</v>
      </c>
    </row>
    <row r="15" spans="1:3" ht="16">
      <c r="A15" s="31" t="s">
        <v>109</v>
      </c>
      <c r="B15" s="36" t="s">
        <v>95</v>
      </c>
      <c r="C15" s="36" t="s">
        <v>101</v>
      </c>
    </row>
    <row r="16" spans="1:3" ht="16">
      <c r="A16" s="31" t="s">
        <v>108</v>
      </c>
      <c r="B16" s="36" t="s">
        <v>94</v>
      </c>
      <c r="C16" s="36" t="s">
        <v>101</v>
      </c>
    </row>
    <row r="17" spans="1:3" ht="16">
      <c r="A17" s="31" t="s">
        <v>110</v>
      </c>
      <c r="B17" s="36" t="s">
        <v>94</v>
      </c>
      <c r="C17" s="36" t="s">
        <v>101</v>
      </c>
    </row>
    <row r="18" spans="1:3" ht="16">
      <c r="A18" s="31" t="s">
        <v>111</v>
      </c>
      <c r="B18" s="36" t="s">
        <v>151</v>
      </c>
      <c r="C18" s="36" t="s">
        <v>101</v>
      </c>
    </row>
    <row r="19" spans="1:3" ht="16">
      <c r="A19" s="31" t="s">
        <v>75</v>
      </c>
      <c r="B19" s="36" t="s">
        <v>152</v>
      </c>
      <c r="C19" s="36" t="s">
        <v>101</v>
      </c>
    </row>
    <row r="20" spans="1:3" ht="16">
      <c r="A20" s="31" t="s">
        <v>112</v>
      </c>
      <c r="B20" s="36" t="s">
        <v>96</v>
      </c>
      <c r="C20" s="36" t="s">
        <v>101</v>
      </c>
    </row>
    <row r="21" spans="1:3" ht="16">
      <c r="A21" s="31" t="s">
        <v>113</v>
      </c>
      <c r="B21" s="36" t="s">
        <v>97</v>
      </c>
      <c r="C21" s="36" t="s">
        <v>101</v>
      </c>
    </row>
    <row r="22" spans="1:3" ht="16">
      <c r="A22" s="31" t="s">
        <v>114</v>
      </c>
      <c r="B22" s="36" t="s">
        <v>98</v>
      </c>
      <c r="C22" s="36" t="s">
        <v>101</v>
      </c>
    </row>
    <row r="23" spans="1:3" ht="16">
      <c r="A23" s="31" t="s">
        <v>115</v>
      </c>
      <c r="B23" s="36" t="s">
        <v>98</v>
      </c>
      <c r="C23" s="36" t="s">
        <v>101</v>
      </c>
    </row>
    <row r="24" spans="1:3">
      <c r="A24" s="31" t="s">
        <v>99</v>
      </c>
      <c r="B24" s="36" t="s">
        <v>98</v>
      </c>
      <c r="C24" s="36" t="s">
        <v>101</v>
      </c>
    </row>
    <row r="25" spans="1:3">
      <c r="A25" s="31" t="s">
        <v>100</v>
      </c>
      <c r="B25" s="36" t="s">
        <v>98</v>
      </c>
      <c r="C25" s="36" t="s">
        <v>101</v>
      </c>
    </row>
    <row r="26" spans="1:3">
      <c r="A26" s="31" t="s">
        <v>74</v>
      </c>
      <c r="B26" s="36" t="s">
        <v>102</v>
      </c>
      <c r="C26" s="36" t="s">
        <v>103</v>
      </c>
    </row>
    <row r="27" spans="1:3">
      <c r="A27" s="31" t="s">
        <v>104</v>
      </c>
      <c r="B27" s="36" t="s">
        <v>101</v>
      </c>
      <c r="C27" s="36" t="s">
        <v>106</v>
      </c>
    </row>
    <row r="28" spans="1:3">
      <c r="A28" s="31" t="s">
        <v>105</v>
      </c>
      <c r="B28" s="36" t="s">
        <v>101</v>
      </c>
      <c r="C28" s="36" t="s">
        <v>106</v>
      </c>
    </row>
    <row r="29" spans="1:3" ht="16">
      <c r="A29" s="29" t="s">
        <v>143</v>
      </c>
      <c r="B29" s="29" t="s">
        <v>144</v>
      </c>
      <c r="C29" s="29" t="s">
        <v>145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9" sqref="I19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33" t="s">
        <v>4</v>
      </c>
      <c r="B1" s="133" t="s">
        <v>117</v>
      </c>
      <c r="C1" s="133" t="s">
        <v>117</v>
      </c>
      <c r="D1" s="133" t="s">
        <v>5</v>
      </c>
      <c r="E1" s="133" t="s">
        <v>19</v>
      </c>
      <c r="F1" s="133" t="s">
        <v>24</v>
      </c>
      <c r="G1" s="132" t="s">
        <v>25</v>
      </c>
      <c r="H1" s="129" t="s">
        <v>26</v>
      </c>
      <c r="I1" s="4" t="s">
        <v>27</v>
      </c>
      <c r="J1" s="52" t="s">
        <v>27</v>
      </c>
    </row>
    <row r="2" spans="1:10">
      <c r="A2" s="134"/>
      <c r="B2" s="134"/>
      <c r="C2" s="134"/>
      <c r="D2" s="134"/>
      <c r="E2" s="134"/>
      <c r="F2" s="134"/>
      <c r="G2" s="132"/>
      <c r="H2" s="129"/>
      <c r="I2" s="5" t="s">
        <v>28</v>
      </c>
      <c r="J2" s="53" t="s">
        <v>23</v>
      </c>
    </row>
    <row r="3" spans="1:10">
      <c r="A3" s="60" t="s">
        <v>6</v>
      </c>
      <c r="B3" s="31">
        <v>-10</v>
      </c>
      <c r="C3" s="31">
        <f>B3</f>
        <v>-10</v>
      </c>
      <c r="D3" s="13">
        <f>C3/60</f>
        <v>-0.16666666666666666</v>
      </c>
      <c r="E3" s="39">
        <v>1</v>
      </c>
      <c r="F3" s="49">
        <v>8.4000000000000005E-2</v>
      </c>
      <c r="G3" s="49">
        <v>8.4000000000000005E-2</v>
      </c>
      <c r="H3" s="49">
        <v>8.4000000000000005E-2</v>
      </c>
      <c r="I3" s="50">
        <f>E3*(AVERAGE(F3:H3)*1.6007-0.0118)</f>
        <v>0.12265880000000001</v>
      </c>
      <c r="J3" s="50">
        <f>E3*(STDEV(F3:H3)*1.6007)</f>
        <v>0</v>
      </c>
    </row>
    <row r="4" spans="1:10">
      <c r="A4" s="62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39">
        <v>1</v>
      </c>
      <c r="F4" s="49">
        <v>0.23200000000000001</v>
      </c>
      <c r="G4" s="49">
        <v>0.23200000000000001</v>
      </c>
      <c r="H4" s="49">
        <v>0.23200000000000001</v>
      </c>
      <c r="I4" s="50">
        <f>E4*(AVERAGE(F4:H4)*1.6007-0.0118)</f>
        <v>0.35956240000000006</v>
      </c>
      <c r="J4" s="50">
        <f t="shared" ref="J4:J9" si="1">E4*(STDEV(F4:H4)*1.6007)</f>
        <v>0</v>
      </c>
    </row>
    <row r="5" spans="1:10">
      <c r="A5" s="62">
        <v>1</v>
      </c>
      <c r="B5" s="31">
        <v>110</v>
      </c>
      <c r="C5" s="31">
        <f>C4+B5</f>
        <v>120</v>
      </c>
      <c r="D5" s="13">
        <f t="shared" si="0"/>
        <v>2</v>
      </c>
      <c r="E5" s="39">
        <v>10</v>
      </c>
      <c r="F5" s="49">
        <v>6.7000000000000004E-2</v>
      </c>
      <c r="G5" s="49">
        <v>5.8999999999999997E-2</v>
      </c>
      <c r="H5" s="49">
        <v>6.0999999999999999E-2</v>
      </c>
      <c r="I5" s="50">
        <f t="shared" ref="I5:I9" si="2">E5*(AVERAGE(F5:H5)*1.6007-0.0118)</f>
        <v>0.87976966666666656</v>
      </c>
      <c r="J5" s="50">
        <f t="shared" si="1"/>
        <v>6.6642455306908835E-2</v>
      </c>
    </row>
    <row r="6" spans="1:10">
      <c r="A6" s="62">
        <v>2</v>
      </c>
      <c r="B6" s="31">
        <v>80</v>
      </c>
      <c r="C6" s="31">
        <f>C5+B6</f>
        <v>200</v>
      </c>
      <c r="D6" s="13">
        <f t="shared" si="0"/>
        <v>3.3333333333333335</v>
      </c>
      <c r="E6" s="39">
        <v>10</v>
      </c>
      <c r="F6" s="49">
        <v>0.14699999999999999</v>
      </c>
      <c r="G6" s="49">
        <v>0.13800000000000001</v>
      </c>
      <c r="H6" s="49">
        <v>0.158</v>
      </c>
      <c r="I6" s="50">
        <f t="shared" si="2"/>
        <v>2.2457003333333341</v>
      </c>
      <c r="J6" s="50">
        <f t="shared" si="1"/>
        <v>0.16033656138365107</v>
      </c>
    </row>
    <row r="7" spans="1:10">
      <c r="A7" s="62">
        <v>3</v>
      </c>
      <c r="B7" s="31">
        <v>80</v>
      </c>
      <c r="C7" s="31">
        <f>C6+B7</f>
        <v>280</v>
      </c>
      <c r="D7" s="13">
        <f t="shared" si="0"/>
        <v>4.666666666666667</v>
      </c>
      <c r="E7" s="39">
        <v>10</v>
      </c>
      <c r="F7" s="49">
        <v>0.29099999999999998</v>
      </c>
      <c r="G7" s="49">
        <v>0.28399999999999997</v>
      </c>
      <c r="H7" s="49">
        <v>0.28599999999999998</v>
      </c>
      <c r="I7" s="50">
        <f t="shared" si="2"/>
        <v>4.4760089999999995</v>
      </c>
      <c r="J7" s="50">
        <f t="shared" si="1"/>
        <v>5.7714059266352133E-2</v>
      </c>
    </row>
    <row r="8" spans="1:10">
      <c r="A8" s="62">
        <v>4</v>
      </c>
      <c r="B8" s="31">
        <v>80</v>
      </c>
      <c r="C8" s="31">
        <f t="shared" ref="C8:C18" si="3">C7+B8</f>
        <v>360</v>
      </c>
      <c r="D8" s="13">
        <f t="shared" si="0"/>
        <v>6</v>
      </c>
      <c r="E8" s="39">
        <v>20</v>
      </c>
      <c r="F8" s="49">
        <v>0.27700000000000002</v>
      </c>
      <c r="G8" s="49">
        <v>0.26300000000000001</v>
      </c>
      <c r="H8" s="49">
        <v>0.26700000000000002</v>
      </c>
      <c r="I8" s="50">
        <f t="shared" si="2"/>
        <v>8.3757660000000005</v>
      </c>
      <c r="J8" s="50">
        <f t="shared" si="1"/>
        <v>0.23085623706540853</v>
      </c>
    </row>
    <row r="9" spans="1:10">
      <c r="A9" s="62">
        <v>5</v>
      </c>
      <c r="B9" s="31">
        <v>80</v>
      </c>
      <c r="C9" s="31">
        <f t="shared" si="3"/>
        <v>440</v>
      </c>
      <c r="D9" s="13">
        <f t="shared" si="0"/>
        <v>7.333333333333333</v>
      </c>
      <c r="E9" s="39">
        <v>20</v>
      </c>
      <c r="F9" s="49">
        <v>0.27800000000000002</v>
      </c>
      <c r="G9" s="49">
        <v>0.27700000000000002</v>
      </c>
      <c r="H9" s="49">
        <v>0.27100000000000002</v>
      </c>
      <c r="I9" s="50">
        <f t="shared" si="2"/>
        <v>8.5785213333333346</v>
      </c>
      <c r="J9" s="50">
        <f t="shared" si="1"/>
        <v>0.12120304785496674</v>
      </c>
    </row>
    <row r="10" spans="1:10">
      <c r="A10" s="62">
        <v>6</v>
      </c>
      <c r="B10" s="31">
        <v>80</v>
      </c>
      <c r="C10" s="31">
        <f t="shared" si="3"/>
        <v>520</v>
      </c>
      <c r="D10" s="13">
        <f t="shared" si="0"/>
        <v>8.6666666666666661</v>
      </c>
      <c r="E10" s="39">
        <v>20</v>
      </c>
      <c r="F10" s="49">
        <v>0.27800000000000002</v>
      </c>
      <c r="G10" s="49">
        <v>0.26100000000000001</v>
      </c>
      <c r="H10" s="49">
        <v>0.25800000000000001</v>
      </c>
      <c r="I10" s="50">
        <f t="shared" ref="I10:I20" si="4">E10*(AVERAGE(F10:H10)*1.6007-0.0118)</f>
        <v>8.2690526666666671</v>
      </c>
      <c r="J10" s="50">
        <f t="shared" ref="J10:J20" si="5">E10*(STDEV(F10:H10)*1.6007)</f>
        <v>0.34529638110083571</v>
      </c>
    </row>
    <row r="11" spans="1:10">
      <c r="A11" s="62">
        <v>7</v>
      </c>
      <c r="B11" s="31">
        <v>80</v>
      </c>
      <c r="C11" s="31">
        <f t="shared" si="3"/>
        <v>600</v>
      </c>
      <c r="D11" s="13">
        <f t="shared" si="0"/>
        <v>10</v>
      </c>
      <c r="E11" s="39">
        <v>20</v>
      </c>
      <c r="F11" s="49">
        <v>0.23400000000000001</v>
      </c>
      <c r="G11" s="49">
        <v>0.26400000000000001</v>
      </c>
      <c r="H11" s="49">
        <v>0.26500000000000001</v>
      </c>
      <c r="I11" s="50">
        <f t="shared" si="4"/>
        <v>7.9062273333333346</v>
      </c>
      <c r="J11" s="50">
        <f t="shared" si="5"/>
        <v>0.56396759909176819</v>
      </c>
    </row>
    <row r="12" spans="1:10">
      <c r="A12" s="62">
        <v>8</v>
      </c>
      <c r="B12" s="31">
        <v>80</v>
      </c>
      <c r="C12" s="31">
        <f t="shared" si="3"/>
        <v>680</v>
      </c>
      <c r="D12" s="13">
        <f t="shared" si="0"/>
        <v>11.333333333333334</v>
      </c>
      <c r="E12" s="39">
        <v>20</v>
      </c>
      <c r="F12" s="49">
        <v>0.20699999999999999</v>
      </c>
      <c r="G12" s="49">
        <v>0.21</v>
      </c>
      <c r="H12" s="49">
        <v>0.219</v>
      </c>
      <c r="I12" s="50">
        <f t="shared" si="4"/>
        <v>6.5509680000000001</v>
      </c>
      <c r="J12" s="50">
        <f t="shared" si="5"/>
        <v>0.19992736592072649</v>
      </c>
    </row>
    <row r="13" spans="1:10">
      <c r="A13" s="62">
        <v>9</v>
      </c>
      <c r="B13" s="31">
        <v>80</v>
      </c>
      <c r="C13" s="31">
        <f t="shared" si="3"/>
        <v>760</v>
      </c>
      <c r="D13" s="13">
        <f t="shared" si="0"/>
        <v>12.666666666666666</v>
      </c>
      <c r="E13" s="39">
        <v>20</v>
      </c>
      <c r="F13" s="49">
        <v>0.17899999999999999</v>
      </c>
      <c r="G13" s="49">
        <v>0.189</v>
      </c>
      <c r="H13" s="49">
        <v>0.19</v>
      </c>
      <c r="I13" s="50">
        <f t="shared" si="4"/>
        <v>5.7186040000000018</v>
      </c>
      <c r="J13" s="50">
        <f t="shared" si="5"/>
        <v>0.19473355964496736</v>
      </c>
    </row>
    <row r="14" spans="1:10">
      <c r="A14" s="62">
        <v>10</v>
      </c>
      <c r="B14" s="31">
        <v>80</v>
      </c>
      <c r="C14" s="31">
        <f t="shared" si="3"/>
        <v>840</v>
      </c>
      <c r="D14" s="13">
        <f t="shared" si="0"/>
        <v>14</v>
      </c>
      <c r="E14" s="39">
        <v>20</v>
      </c>
      <c r="F14" s="49">
        <v>0.156</v>
      </c>
      <c r="G14" s="49">
        <v>0.159</v>
      </c>
      <c r="H14" s="49">
        <v>0.16</v>
      </c>
      <c r="I14" s="50">
        <f t="shared" si="4"/>
        <v>4.8328833333333323</v>
      </c>
      <c r="J14" s="50">
        <f t="shared" si="5"/>
        <v>6.6642455306908835E-2</v>
      </c>
    </row>
    <row r="15" spans="1:10">
      <c r="A15" s="62">
        <v>11</v>
      </c>
      <c r="B15" s="31">
        <v>80</v>
      </c>
      <c r="C15" s="31">
        <f t="shared" si="3"/>
        <v>920</v>
      </c>
      <c r="D15" s="13">
        <f t="shared" si="0"/>
        <v>15.333333333333334</v>
      </c>
      <c r="E15" s="39">
        <v>20</v>
      </c>
      <c r="F15" s="49">
        <v>0.13100000000000001</v>
      </c>
      <c r="G15" s="49">
        <v>0.13200000000000001</v>
      </c>
      <c r="H15" s="49">
        <v>0.13800000000000001</v>
      </c>
      <c r="I15" s="50">
        <f t="shared" si="4"/>
        <v>4.043204666666667</v>
      </c>
      <c r="J15" s="50">
        <f t="shared" si="5"/>
        <v>0.12120304785496674</v>
      </c>
    </row>
    <row r="16" spans="1:10">
      <c r="A16" s="62">
        <v>12</v>
      </c>
      <c r="B16" s="31">
        <v>80</v>
      </c>
      <c r="C16" s="31">
        <f t="shared" si="3"/>
        <v>1000</v>
      </c>
      <c r="D16" s="13">
        <f t="shared" si="0"/>
        <v>16.666666666666668</v>
      </c>
      <c r="E16" s="39">
        <v>20</v>
      </c>
      <c r="F16" s="49">
        <v>0.112</v>
      </c>
      <c r="G16" s="49">
        <v>0.108</v>
      </c>
      <c r="H16" s="49">
        <v>0.107</v>
      </c>
      <c r="I16" s="50">
        <f t="shared" si="4"/>
        <v>3.2535259999999999</v>
      </c>
      <c r="J16" s="50">
        <f t="shared" si="5"/>
        <v>8.4701082472421876E-2</v>
      </c>
    </row>
    <row r="17" spans="1:10">
      <c r="A17" s="62">
        <v>13</v>
      </c>
      <c r="B17" s="31">
        <v>80</v>
      </c>
      <c r="C17" s="31">
        <f t="shared" si="3"/>
        <v>1080</v>
      </c>
      <c r="D17" s="13">
        <f t="shared" si="0"/>
        <v>18</v>
      </c>
      <c r="E17" s="39">
        <v>20</v>
      </c>
      <c r="F17" s="49">
        <v>0.105</v>
      </c>
      <c r="G17" s="49">
        <v>0.106</v>
      </c>
      <c r="H17" s="49">
        <v>0.121</v>
      </c>
      <c r="I17" s="50">
        <f t="shared" si="4"/>
        <v>3.3068826666666662</v>
      </c>
      <c r="J17" s="50">
        <f t="shared" si="5"/>
        <v>0.2869378464847977</v>
      </c>
    </row>
    <row r="18" spans="1:10">
      <c r="A18" s="62">
        <v>14</v>
      </c>
      <c r="B18" s="31">
        <v>360</v>
      </c>
      <c r="C18" s="31">
        <f t="shared" si="3"/>
        <v>1440</v>
      </c>
      <c r="D18" s="13">
        <f t="shared" si="0"/>
        <v>24</v>
      </c>
      <c r="E18" s="39">
        <v>20</v>
      </c>
      <c r="F18" s="49">
        <v>0.10299999999999999</v>
      </c>
      <c r="G18" s="49">
        <v>0.1</v>
      </c>
      <c r="H18" s="49">
        <v>9.8000000000000004E-2</v>
      </c>
      <c r="I18" s="50">
        <f>E18*(AVERAGE(F18:H18)*1.6007-0.0118)</f>
        <v>2.976071333333334</v>
      </c>
      <c r="J18" s="50">
        <f t="shared" si="5"/>
        <v>8.0566799870252434E-2</v>
      </c>
    </row>
    <row r="19" spans="1:10">
      <c r="A19" s="62">
        <v>15</v>
      </c>
      <c r="B19" s="31">
        <v>360</v>
      </c>
      <c r="C19" s="31">
        <f>C18+B19</f>
        <v>1800</v>
      </c>
      <c r="D19" s="13">
        <f t="shared" si="0"/>
        <v>30</v>
      </c>
      <c r="E19" s="39">
        <v>20</v>
      </c>
      <c r="F19" s="49">
        <v>8.1000000000000003E-2</v>
      </c>
      <c r="G19" s="49">
        <v>8.6999999999999994E-2</v>
      </c>
      <c r="H19" s="49">
        <v>8.5000000000000006E-2</v>
      </c>
      <c r="I19" s="50">
        <f>E19*(AVERAGE(F19:H19)*1.6007-0.0118)</f>
        <v>2.4638473333333333</v>
      </c>
      <c r="J19" s="50">
        <f t="shared" si="5"/>
        <v>9.7804385532210714E-2</v>
      </c>
    </row>
    <row r="20" spans="1:10">
      <c r="A20" s="62">
        <v>16</v>
      </c>
      <c r="B20" s="31">
        <v>1080</v>
      </c>
      <c r="C20" s="31">
        <f>C19+B20</f>
        <v>2880</v>
      </c>
      <c r="D20" s="13">
        <f t="shared" si="0"/>
        <v>48</v>
      </c>
      <c r="E20" s="39">
        <v>10</v>
      </c>
      <c r="F20" s="49">
        <v>0.13800000000000001</v>
      </c>
      <c r="G20" s="49">
        <v>0.14399999999999999</v>
      </c>
      <c r="H20" s="49">
        <v>0.14499999999999999</v>
      </c>
      <c r="I20" s="50">
        <f t="shared" si="4"/>
        <v>2.1603296666666667</v>
      </c>
      <c r="J20" s="50">
        <f t="shared" si="5"/>
        <v>6.0601523927483116E-2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9" sqref="D19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33" t="s">
        <v>4</v>
      </c>
      <c r="B1" s="133" t="s">
        <v>117</v>
      </c>
      <c r="C1" s="133" t="s">
        <v>117</v>
      </c>
      <c r="D1" s="133" t="s">
        <v>5</v>
      </c>
      <c r="E1" s="4" t="s">
        <v>29</v>
      </c>
      <c r="F1" s="4" t="s">
        <v>2</v>
      </c>
      <c r="G1" s="4" t="s">
        <v>32</v>
      </c>
    </row>
    <row r="2" spans="1:7">
      <c r="A2" s="134"/>
      <c r="B2" s="134"/>
      <c r="C2" s="134"/>
      <c r="D2" s="134"/>
      <c r="E2" s="5" t="s">
        <v>30</v>
      </c>
      <c r="F2" s="5" t="s">
        <v>31</v>
      </c>
      <c r="G2" s="5" t="s">
        <v>33</v>
      </c>
    </row>
    <row r="3" spans="1:7">
      <c r="A3" s="60" t="s">
        <v>6</v>
      </c>
      <c r="B3" s="31">
        <v>-10</v>
      </c>
      <c r="C3" s="31">
        <f>B3</f>
        <v>-10</v>
      </c>
      <c r="D3" s="13">
        <f>C3/60</f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62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62">
        <v>1</v>
      </c>
      <c r="B5" s="31">
        <v>110</v>
      </c>
      <c r="C5" s="31">
        <f>C4+B5</f>
        <v>120</v>
      </c>
      <c r="D5" s="13">
        <f t="shared" si="0"/>
        <v>2</v>
      </c>
      <c r="E5" s="1"/>
      <c r="F5" s="1"/>
      <c r="G5" s="1" t="e">
        <f>(F5-$C$22)/E5*1000*Calculation!I6/Calculation!K5</f>
        <v>#DIV/0!</v>
      </c>
    </row>
    <row r="6" spans="1:7">
      <c r="A6" s="62">
        <v>2</v>
      </c>
      <c r="B6" s="31">
        <v>80</v>
      </c>
      <c r="C6" s="31">
        <f>C5+B6</f>
        <v>200</v>
      </c>
      <c r="D6" s="13">
        <f t="shared" si="0"/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62">
        <v>3</v>
      </c>
      <c r="B7" s="31">
        <v>80</v>
      </c>
      <c r="C7" s="31">
        <f>C6+B7</f>
        <v>280</v>
      </c>
      <c r="D7" s="13">
        <f t="shared" si="0"/>
        <v>4.666666666666667</v>
      </c>
      <c r="E7" s="1"/>
      <c r="F7" s="1"/>
      <c r="G7" s="1" t="e">
        <f>(F7-$C$22)/E7*1000*Calculation!I8/Calculation!K7</f>
        <v>#DIV/0!</v>
      </c>
    </row>
    <row r="8" spans="1:7">
      <c r="A8" s="62">
        <v>4</v>
      </c>
      <c r="B8" s="31">
        <v>80</v>
      </c>
      <c r="C8" s="31">
        <f t="shared" ref="C8:C18" si="1">C7+B8</f>
        <v>360</v>
      </c>
      <c r="D8" s="13">
        <f t="shared" si="0"/>
        <v>6</v>
      </c>
      <c r="E8" s="1"/>
      <c r="F8" s="1"/>
      <c r="G8" s="1" t="e">
        <f>(F8-$C$22)/E8*1000*Calculation!I9/Calculation!K8</f>
        <v>#DIV/0!</v>
      </c>
    </row>
    <row r="9" spans="1:7">
      <c r="A9" s="62">
        <v>5</v>
      </c>
      <c r="B9" s="31">
        <v>80</v>
      </c>
      <c r="C9" s="31">
        <f t="shared" si="1"/>
        <v>440</v>
      </c>
      <c r="D9" s="13">
        <f t="shared" si="0"/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62">
        <v>6</v>
      </c>
      <c r="B10" s="31">
        <v>80</v>
      </c>
      <c r="C10" s="31">
        <f t="shared" si="1"/>
        <v>520</v>
      </c>
      <c r="D10" s="13">
        <f t="shared" si="0"/>
        <v>8.6666666666666661</v>
      </c>
      <c r="E10" s="1"/>
      <c r="F10" s="1"/>
      <c r="G10" s="1" t="e">
        <f>(F10-$C$22)/E10*1000*Calculation!I11/Calculation!K10</f>
        <v>#DIV/0!</v>
      </c>
    </row>
    <row r="11" spans="1:7">
      <c r="A11" s="62">
        <v>7</v>
      </c>
      <c r="B11" s="31">
        <v>80</v>
      </c>
      <c r="C11" s="31">
        <f t="shared" si="1"/>
        <v>600</v>
      </c>
      <c r="D11" s="13">
        <f t="shared" si="0"/>
        <v>10</v>
      </c>
      <c r="E11" s="1"/>
      <c r="F11" s="1"/>
      <c r="G11" s="1" t="e">
        <f>(F11-$C$22)/E11*1000*Calculation!I12/Calculation!K11</f>
        <v>#DIV/0!</v>
      </c>
    </row>
    <row r="12" spans="1:7">
      <c r="A12" s="62">
        <v>8</v>
      </c>
      <c r="B12" s="31">
        <v>80</v>
      </c>
      <c r="C12" s="31">
        <f t="shared" si="1"/>
        <v>680</v>
      </c>
      <c r="D12" s="13">
        <f t="shared" si="0"/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62">
        <v>9</v>
      </c>
      <c r="B13" s="31">
        <v>80</v>
      </c>
      <c r="C13" s="31">
        <f t="shared" si="1"/>
        <v>760</v>
      </c>
      <c r="D13" s="13">
        <f t="shared" si="0"/>
        <v>12.666666666666666</v>
      </c>
      <c r="E13" s="36"/>
      <c r="F13" s="36"/>
      <c r="G13" s="36" t="e">
        <f>(F13-$C$22)/E13*1000*Calculation!I14/Calculation!K13</f>
        <v>#DIV/0!</v>
      </c>
    </row>
    <row r="14" spans="1:7">
      <c r="A14" s="62">
        <v>10</v>
      </c>
      <c r="B14" s="31">
        <v>80</v>
      </c>
      <c r="C14" s="31">
        <f t="shared" si="1"/>
        <v>840</v>
      </c>
      <c r="D14" s="13">
        <f t="shared" si="0"/>
        <v>14</v>
      </c>
      <c r="E14" s="36"/>
      <c r="F14" s="36"/>
      <c r="G14" s="36" t="e">
        <f>(F14-$C$22)/E14*1000*Calculation!I15/Calculation!K14</f>
        <v>#DIV/0!</v>
      </c>
    </row>
    <row r="15" spans="1:7">
      <c r="A15" s="62">
        <v>11</v>
      </c>
      <c r="B15" s="31">
        <v>80</v>
      </c>
      <c r="C15" s="31">
        <f t="shared" si="1"/>
        <v>920</v>
      </c>
      <c r="D15" s="13">
        <f t="shared" si="0"/>
        <v>15.333333333333334</v>
      </c>
      <c r="E15" s="36"/>
      <c r="F15" s="36"/>
      <c r="G15" s="36" t="e">
        <f>(F15-$C$22)/E15*1000*Calculation!I16/Calculation!K15</f>
        <v>#DIV/0!</v>
      </c>
    </row>
    <row r="16" spans="1:7">
      <c r="A16" s="62">
        <v>12</v>
      </c>
      <c r="B16" s="31">
        <v>80</v>
      </c>
      <c r="C16" s="31">
        <f t="shared" si="1"/>
        <v>1000</v>
      </c>
      <c r="D16" s="13">
        <f t="shared" si="0"/>
        <v>16.666666666666668</v>
      </c>
      <c r="E16" s="36"/>
      <c r="F16" s="36"/>
      <c r="G16" s="36" t="e">
        <f>(F16-$C$22)/E16*1000*Calculation!I17/Calculation!K16</f>
        <v>#DIV/0!</v>
      </c>
    </row>
    <row r="17" spans="1:7" ht="15" customHeight="1">
      <c r="A17" s="62">
        <v>13</v>
      </c>
      <c r="B17" s="31">
        <v>80</v>
      </c>
      <c r="C17" s="31">
        <f t="shared" si="1"/>
        <v>1080</v>
      </c>
      <c r="D17" s="13">
        <f t="shared" si="0"/>
        <v>18</v>
      </c>
      <c r="E17" s="36"/>
      <c r="F17" s="36"/>
      <c r="G17" s="36" t="e">
        <f>(F17-$C$22)/E17*1000*Calculation!I18/Calculation!K17</f>
        <v>#DIV/0!</v>
      </c>
    </row>
    <row r="18" spans="1:7">
      <c r="A18" s="62">
        <v>14</v>
      </c>
      <c r="B18" s="31">
        <v>360</v>
      </c>
      <c r="C18" s="31">
        <f t="shared" si="1"/>
        <v>1440</v>
      </c>
      <c r="D18" s="13">
        <f t="shared" si="0"/>
        <v>24</v>
      </c>
      <c r="E18" s="36"/>
      <c r="F18" s="36"/>
      <c r="G18" s="36" t="e">
        <f>(F18-$C$22)/E18*1000*Calculation!I19/Calculation!K18</f>
        <v>#DIV/0!</v>
      </c>
    </row>
    <row r="19" spans="1:7">
      <c r="A19" s="62">
        <v>15</v>
      </c>
      <c r="B19" s="31">
        <v>360</v>
      </c>
      <c r="C19" s="31">
        <f>C18+B19</f>
        <v>1800</v>
      </c>
      <c r="D19" s="13">
        <f t="shared" si="0"/>
        <v>30</v>
      </c>
      <c r="E19" s="39"/>
      <c r="F19" s="39"/>
      <c r="G19" s="39" t="e">
        <f>(F19-$C$22)/E19*1000*Calculation!I21/Calculation!K19</f>
        <v>#DIV/0!</v>
      </c>
    </row>
    <row r="20" spans="1:7">
      <c r="A20" s="62">
        <v>16</v>
      </c>
      <c r="B20" s="31">
        <v>1080</v>
      </c>
      <c r="C20" s="31">
        <f>C19+B20</f>
        <v>2880</v>
      </c>
      <c r="D20" s="13">
        <f t="shared" si="0"/>
        <v>48</v>
      </c>
      <c r="E20" s="39"/>
      <c r="F20" s="39"/>
      <c r="G20" s="39" t="e">
        <f>(F20-$C$22)/E20*1000*Calculation!I22/Calculation!K20</f>
        <v>#DIV/0!</v>
      </c>
    </row>
    <row r="22" spans="1:7">
      <c r="A22" s="161" t="s">
        <v>3</v>
      </c>
      <c r="B22" s="162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workbookViewId="0">
      <selection activeCell="F5" sqref="F5:F101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</cols>
  <sheetData>
    <row r="1" spans="1:10">
      <c r="A1" s="23" t="s">
        <v>50</v>
      </c>
      <c r="B1" s="12">
        <v>70.2</v>
      </c>
      <c r="C1" s="26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32" t="s">
        <v>5</v>
      </c>
      <c r="B3" s="132" t="s">
        <v>36</v>
      </c>
      <c r="C3" s="132"/>
      <c r="D3" s="132" t="s">
        <v>52</v>
      </c>
      <c r="E3" s="132"/>
      <c r="F3" s="132"/>
      <c r="G3" s="23" t="s">
        <v>53</v>
      </c>
    </row>
    <row r="4" spans="1:10">
      <c r="A4" s="132"/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</row>
    <row r="5" spans="1:10">
      <c r="A5" s="12">
        <v>0</v>
      </c>
      <c r="B5" s="73">
        <v>1572.64</v>
      </c>
      <c r="C5" s="12">
        <f>B5/1000</f>
        <v>1.57264</v>
      </c>
      <c r="D5" s="12">
        <f>C5/1000*$B$1</f>
        <v>0.110399328</v>
      </c>
      <c r="E5" s="12">
        <f>D5/22.4</f>
        <v>4.928541428571429E-3</v>
      </c>
      <c r="F5" s="12">
        <f>E5/Calculation!K$4*1000</f>
        <v>3.2085415833513643E-3</v>
      </c>
      <c r="G5" s="12">
        <f>(0+F5)/2*30</f>
        <v>4.8128123750270466E-2</v>
      </c>
      <c r="I5" s="74">
        <v>-0.16666666666666666</v>
      </c>
      <c r="J5" t="s">
        <v>166</v>
      </c>
    </row>
    <row r="6" spans="1:10">
      <c r="A6" s="12">
        <v>0.5</v>
      </c>
      <c r="B6" s="73">
        <v>7693.76</v>
      </c>
      <c r="C6" s="12">
        <f t="shared" ref="C6:C69" si="0">B6/1000</f>
        <v>7.6937600000000002</v>
      </c>
      <c r="D6" s="12">
        <f>C6/1000*$B$1</f>
        <v>0.540101952</v>
      </c>
      <c r="E6" s="12">
        <f>D6/22.4</f>
        <v>2.4111694285714289E-2</v>
      </c>
      <c r="F6" s="12">
        <f>E6/Calculation!K$4*1000</f>
        <v>1.5697011962257982E-2</v>
      </c>
      <c r="G6" s="12">
        <f>G5+(F6+F5)/2*30</f>
        <v>0.33171142693441069</v>
      </c>
      <c r="I6" s="74">
        <v>0.16666666666666666</v>
      </c>
      <c r="J6" t="s">
        <v>167</v>
      </c>
    </row>
    <row r="7" spans="1:10">
      <c r="A7" s="12">
        <v>1</v>
      </c>
      <c r="B7" s="73">
        <v>11360.7</v>
      </c>
      <c r="C7" s="12">
        <f t="shared" si="0"/>
        <v>11.360700000000001</v>
      </c>
      <c r="D7" s="12">
        <f t="shared" ref="D7:D69" si="1">C7/1000*$B$1</f>
        <v>0.79752114000000007</v>
      </c>
      <c r="E7" s="12">
        <f t="shared" ref="E7:E69" si="2">D7/22.4</f>
        <v>3.560362232142858E-2</v>
      </c>
      <c r="F7" s="12">
        <f>E7/Calculation!K$4*1000</f>
        <v>2.3178399612104387E-2</v>
      </c>
      <c r="G7" s="12">
        <f t="shared" ref="G7:G70" si="3">G6+(F7+F6)/2*30</f>
        <v>0.91484260054984623</v>
      </c>
      <c r="I7" s="74">
        <v>2</v>
      </c>
      <c r="J7" t="s">
        <v>168</v>
      </c>
    </row>
    <row r="8" spans="1:10">
      <c r="A8" s="12">
        <v>1.5</v>
      </c>
      <c r="B8" s="73">
        <v>16907.169999999998</v>
      </c>
      <c r="C8" s="12">
        <f t="shared" si="0"/>
        <v>16.907169999999997</v>
      </c>
      <c r="D8" s="12">
        <f t="shared" si="1"/>
        <v>1.1868833339999998</v>
      </c>
      <c r="E8" s="12">
        <f t="shared" si="2"/>
        <v>5.2985863124999991E-2</v>
      </c>
      <c r="F8" s="12">
        <f>E8/Calculation!K$4*1000</f>
        <v>3.4494453913032012E-2</v>
      </c>
      <c r="G8" s="12">
        <f t="shared" si="3"/>
        <v>1.7799354034268924</v>
      </c>
      <c r="I8" s="74">
        <v>3.3333333333333335</v>
      </c>
      <c r="J8" t="s">
        <v>169</v>
      </c>
    </row>
    <row r="9" spans="1:10">
      <c r="A9" s="12">
        <v>2</v>
      </c>
      <c r="B9" s="73">
        <v>20695.82</v>
      </c>
      <c r="C9" s="12">
        <f t="shared" si="0"/>
        <v>20.695820000000001</v>
      </c>
      <c r="D9" s="12">
        <f t="shared" si="1"/>
        <v>1.4528465640000001</v>
      </c>
      <c r="E9" s="12">
        <f t="shared" si="2"/>
        <v>6.4859221607142872E-2</v>
      </c>
      <c r="F9" s="12">
        <f>E9/Calculation!K$5*1000</f>
        <v>4.3580756951372465E-2</v>
      </c>
      <c r="G9" s="12">
        <f t="shared" si="3"/>
        <v>2.9510635663929596</v>
      </c>
      <c r="I9" s="74">
        <v>4.666666666666667</v>
      </c>
      <c r="J9" t="s">
        <v>170</v>
      </c>
    </row>
    <row r="10" spans="1:10">
      <c r="A10" s="12">
        <v>2.5</v>
      </c>
      <c r="B10" s="73">
        <v>36370.660000000003</v>
      </c>
      <c r="C10" s="12">
        <f t="shared" si="0"/>
        <v>36.370660000000001</v>
      </c>
      <c r="D10" s="12">
        <f t="shared" si="1"/>
        <v>2.553220332</v>
      </c>
      <c r="E10" s="12">
        <f t="shared" si="2"/>
        <v>0.11398305053571429</v>
      </c>
      <c r="F10" s="12">
        <f>E10/Calculation!K$5*1000</f>
        <v>7.6588455718159726E-2</v>
      </c>
      <c r="G10" s="12">
        <f t="shared" si="3"/>
        <v>4.753601756435943</v>
      </c>
      <c r="I10" s="74">
        <v>6</v>
      </c>
      <c r="J10" t="s">
        <v>171</v>
      </c>
    </row>
    <row r="11" spans="1:10">
      <c r="A11" s="12">
        <v>3</v>
      </c>
      <c r="B11" s="73">
        <v>48432.480000000003</v>
      </c>
      <c r="C11" s="12">
        <f t="shared" si="0"/>
        <v>48.432480000000005</v>
      </c>
      <c r="D11" s="12">
        <f t="shared" si="1"/>
        <v>3.3999600960000005</v>
      </c>
      <c r="E11" s="12">
        <f t="shared" si="2"/>
        <v>0.15178393285714289</v>
      </c>
      <c r="F11" s="12">
        <f>E11/Calculation!K$5*1000</f>
        <v>0.10198794439805758</v>
      </c>
      <c r="G11" s="12">
        <f t="shared" si="3"/>
        <v>7.4322477581792032</v>
      </c>
      <c r="I11" s="74">
        <v>7.333333333333333</v>
      </c>
      <c r="J11" t="s">
        <v>172</v>
      </c>
    </row>
    <row r="12" spans="1:10">
      <c r="A12" s="12">
        <v>3.5</v>
      </c>
      <c r="B12" s="73">
        <v>67784.759999999995</v>
      </c>
      <c r="C12" s="12">
        <f t="shared" si="0"/>
        <v>67.784759999999991</v>
      </c>
      <c r="D12" s="12">
        <f t="shared" si="1"/>
        <v>4.7584901519999994</v>
      </c>
      <c r="E12" s="12">
        <f t="shared" si="2"/>
        <v>0.21243259607142856</v>
      </c>
      <c r="F12" s="12">
        <f>E12/Calculation!K$6*1000</f>
        <v>0.1468400950907186</v>
      </c>
      <c r="G12" s="12">
        <f t="shared" si="3"/>
        <v>11.164668350510846</v>
      </c>
      <c r="I12" s="74">
        <v>8.6666666666666661</v>
      </c>
      <c r="J12" t="s">
        <v>173</v>
      </c>
    </row>
    <row r="13" spans="1:10">
      <c r="A13" s="12">
        <v>4</v>
      </c>
      <c r="B13" s="73">
        <v>82164.25</v>
      </c>
      <c r="C13" s="12">
        <f t="shared" si="0"/>
        <v>82.164249999999996</v>
      </c>
      <c r="D13" s="12">
        <f t="shared" si="1"/>
        <v>5.7679303499999994</v>
      </c>
      <c r="E13" s="12">
        <f t="shared" si="2"/>
        <v>0.25749689062499997</v>
      </c>
      <c r="F13" s="12">
        <f>E13/Calculation!K$6*1000</f>
        <v>0.17798995353907832</v>
      </c>
      <c r="G13" s="12">
        <f t="shared" si="3"/>
        <v>16.037119079957801</v>
      </c>
      <c r="I13" s="74">
        <v>10</v>
      </c>
      <c r="J13" t="s">
        <v>174</v>
      </c>
    </row>
    <row r="14" spans="1:10">
      <c r="A14" s="12">
        <v>4.5</v>
      </c>
      <c r="B14" s="73">
        <v>93642.36</v>
      </c>
      <c r="C14" s="12">
        <f t="shared" si="0"/>
        <v>93.642359999999996</v>
      </c>
      <c r="D14" s="12">
        <f t="shared" si="1"/>
        <v>6.5736936720000001</v>
      </c>
      <c r="E14" s="12">
        <f t="shared" si="2"/>
        <v>0.2934684675</v>
      </c>
      <c r="F14" s="12">
        <f>E14/Calculation!K$6*1000</f>
        <v>0.20285463940448126</v>
      </c>
      <c r="G14" s="12">
        <f t="shared" si="3"/>
        <v>21.749787974111193</v>
      </c>
      <c r="I14" s="74">
        <v>11.333333333333334</v>
      </c>
      <c r="J14" t="s">
        <v>175</v>
      </c>
    </row>
    <row r="15" spans="1:10">
      <c r="A15" s="12">
        <v>5</v>
      </c>
      <c r="B15" s="73">
        <v>107502.58</v>
      </c>
      <c r="C15" s="12">
        <f t="shared" si="0"/>
        <v>107.50257999999999</v>
      </c>
      <c r="D15" s="12">
        <f t="shared" si="1"/>
        <v>7.5466811160000002</v>
      </c>
      <c r="E15" s="12">
        <f t="shared" si="2"/>
        <v>0.33690540696428573</v>
      </c>
      <c r="F15" s="12">
        <f>E15/Calculation!K$7*1000</f>
        <v>0.24016722857455045</v>
      </c>
      <c r="G15" s="12">
        <f t="shared" si="3"/>
        <v>28.395115993796669</v>
      </c>
      <c r="I15" s="74">
        <v>12.666666666666666</v>
      </c>
      <c r="J15" t="s">
        <v>176</v>
      </c>
    </row>
    <row r="16" spans="1:10">
      <c r="A16" s="12">
        <v>5.5</v>
      </c>
      <c r="B16" s="73">
        <v>102500.68</v>
      </c>
      <c r="C16" s="12">
        <f t="shared" si="0"/>
        <v>102.50067999999999</v>
      </c>
      <c r="D16" s="12">
        <f t="shared" si="1"/>
        <v>7.1955477359999991</v>
      </c>
      <c r="E16" s="12">
        <f t="shared" si="2"/>
        <v>0.32122980964285713</v>
      </c>
      <c r="F16" s="12">
        <f>E16/Calculation!K$7*1000</f>
        <v>0.22899268317659768</v>
      </c>
      <c r="G16" s="12">
        <f t="shared" si="3"/>
        <v>35.432514670063888</v>
      </c>
      <c r="I16" s="74">
        <v>14</v>
      </c>
      <c r="J16" t="s">
        <v>177</v>
      </c>
    </row>
    <row r="17" spans="1:10">
      <c r="A17" s="12">
        <v>6</v>
      </c>
      <c r="B17" s="73">
        <v>101958.49</v>
      </c>
      <c r="C17" s="12">
        <f t="shared" si="0"/>
        <v>101.95849000000001</v>
      </c>
      <c r="D17" s="12">
        <f t="shared" si="1"/>
        <v>7.1574859980000012</v>
      </c>
      <c r="E17" s="12">
        <f t="shared" si="2"/>
        <v>0.31953062491071438</v>
      </c>
      <c r="F17" s="12">
        <f>E17/Calculation!K$8*1000</f>
        <v>0.23429852115540942</v>
      </c>
      <c r="G17" s="12">
        <f t="shared" si="3"/>
        <v>42.381882735043995</v>
      </c>
      <c r="I17" s="74">
        <v>15.333333333333334</v>
      </c>
      <c r="J17" t="s">
        <v>178</v>
      </c>
    </row>
    <row r="18" spans="1:10">
      <c r="A18" s="12">
        <v>6.5</v>
      </c>
      <c r="B18" s="73">
        <v>41711.42</v>
      </c>
      <c r="C18" s="12">
        <f t="shared" si="0"/>
        <v>41.711419999999997</v>
      </c>
      <c r="D18" s="12">
        <f t="shared" si="1"/>
        <v>2.9281416839999999</v>
      </c>
      <c r="E18" s="12">
        <f t="shared" si="2"/>
        <v>0.13072061089285714</v>
      </c>
      <c r="F18" s="12">
        <f>E18/Calculation!K$8*1000</f>
        <v>9.585198860136282E-2</v>
      </c>
      <c r="G18" s="12">
        <f t="shared" si="3"/>
        <v>47.334140381395578</v>
      </c>
      <c r="I18" s="74">
        <v>16.666666666666668</v>
      </c>
      <c r="J18" t="s">
        <v>179</v>
      </c>
    </row>
    <row r="19" spans="1:10">
      <c r="A19" s="12">
        <v>7</v>
      </c>
      <c r="B19" s="73">
        <v>6041.41</v>
      </c>
      <c r="C19" s="12">
        <f t="shared" si="0"/>
        <v>6.0414099999999999</v>
      </c>
      <c r="D19" s="12">
        <f t="shared" si="1"/>
        <v>0.42410698199999997</v>
      </c>
      <c r="E19" s="12">
        <f t="shared" si="2"/>
        <v>1.8933347410714285E-2</v>
      </c>
      <c r="F19" s="12">
        <f>E19/Calculation!K$8*1000</f>
        <v>1.3883036407203574E-2</v>
      </c>
      <c r="G19" s="12">
        <f t="shared" si="3"/>
        <v>48.980165756524073</v>
      </c>
      <c r="I19" s="74">
        <v>18</v>
      </c>
      <c r="J19" t="s">
        <v>180</v>
      </c>
    </row>
    <row r="20" spans="1:10">
      <c r="A20" s="12">
        <v>7.5</v>
      </c>
      <c r="B20" s="73">
        <v>1143.0899999999999</v>
      </c>
      <c r="C20" s="12">
        <f t="shared" si="0"/>
        <v>1.1430899999999999</v>
      </c>
      <c r="D20" s="12">
        <f t="shared" si="1"/>
        <v>8.0244918000000012E-2</v>
      </c>
      <c r="E20" s="12">
        <f t="shared" si="2"/>
        <v>3.5823624107142863E-3</v>
      </c>
      <c r="F20" s="12">
        <f>E20/Calculation!K$9*1000</f>
        <v>2.7131064585186886E-3</v>
      </c>
      <c r="G20" s="12">
        <f t="shared" si="3"/>
        <v>49.229107899509906</v>
      </c>
      <c r="I20" s="74">
        <v>24</v>
      </c>
      <c r="J20" t="s">
        <v>181</v>
      </c>
    </row>
    <row r="21" spans="1:10">
      <c r="A21" s="12">
        <v>8</v>
      </c>
      <c r="B21" s="73">
        <v>309.75</v>
      </c>
      <c r="C21" s="12">
        <f t="shared" si="0"/>
        <v>0.30975000000000003</v>
      </c>
      <c r="D21" s="12">
        <f t="shared" si="1"/>
        <v>2.1744450000000002E-2</v>
      </c>
      <c r="E21" s="12">
        <f t="shared" si="2"/>
        <v>9.7073437500000013E-4</v>
      </c>
      <c r="F21" s="12">
        <f>E21/Calculation!K$9*1000</f>
        <v>7.3518684051663804E-4</v>
      </c>
      <c r="G21" s="12">
        <f t="shared" si="3"/>
        <v>49.280832298995435</v>
      </c>
      <c r="I21" s="74">
        <v>30</v>
      </c>
      <c r="J21" t="s">
        <v>182</v>
      </c>
    </row>
    <row r="22" spans="1:10">
      <c r="A22" s="12">
        <v>8.5</v>
      </c>
      <c r="B22" s="73">
        <v>181.84</v>
      </c>
      <c r="C22" s="12">
        <f t="shared" si="0"/>
        <v>0.18184</v>
      </c>
      <c r="D22" s="12">
        <f t="shared" si="1"/>
        <v>1.2765168E-2</v>
      </c>
      <c r="E22" s="12">
        <f t="shared" si="2"/>
        <v>5.6987357142857149E-4</v>
      </c>
      <c r="F22" s="12">
        <f>E22/Calculation!K$9*1000</f>
        <v>4.3159443124954144E-4</v>
      </c>
      <c r="G22" s="12">
        <f t="shared" si="3"/>
        <v>49.298334018071927</v>
      </c>
      <c r="I22" s="74">
        <v>48</v>
      </c>
      <c r="J22" t="s">
        <v>183</v>
      </c>
    </row>
    <row r="23" spans="1:10">
      <c r="A23" s="12">
        <v>9</v>
      </c>
      <c r="B23" s="73">
        <v>181.84</v>
      </c>
      <c r="C23" s="12">
        <f t="shared" si="0"/>
        <v>0.18184</v>
      </c>
      <c r="D23" s="12">
        <f t="shared" si="1"/>
        <v>1.2765168E-2</v>
      </c>
      <c r="E23" s="12">
        <f t="shared" si="2"/>
        <v>5.6987357142857149E-4</v>
      </c>
      <c r="F23" s="12">
        <f>E23/Calculation!K$10*1000</f>
        <v>4.4620321994525813E-4</v>
      </c>
      <c r="G23" s="12">
        <f t="shared" si="3"/>
        <v>49.311500982839846</v>
      </c>
    </row>
    <row r="24" spans="1:10">
      <c r="A24" s="12">
        <v>9.5</v>
      </c>
      <c r="B24" s="73">
        <v>157.97999999999999</v>
      </c>
      <c r="C24" s="12">
        <f t="shared" si="0"/>
        <v>0.15797999999999998</v>
      </c>
      <c r="D24" s="12">
        <f t="shared" si="1"/>
        <v>1.1090195999999998E-2</v>
      </c>
      <c r="E24" s="12">
        <f t="shared" si="2"/>
        <v>4.9509803571428572E-4</v>
      </c>
      <c r="F24" s="12">
        <f>E24/Calculation!K$10*1000</f>
        <v>3.8765499717857384E-4</v>
      </c>
      <c r="G24" s="12">
        <f t="shared" si="3"/>
        <v>49.324008856096704</v>
      </c>
    </row>
    <row r="25" spans="1:10">
      <c r="A25" s="12">
        <v>10</v>
      </c>
      <c r="B25" s="73">
        <v>134.59</v>
      </c>
      <c r="C25" s="12">
        <f t="shared" si="0"/>
        <v>0.13459000000000002</v>
      </c>
      <c r="D25" s="12">
        <f t="shared" si="1"/>
        <v>9.4482180000000013E-3</v>
      </c>
      <c r="E25" s="12">
        <f t="shared" si="2"/>
        <v>4.217954464285715E-4</v>
      </c>
      <c r="F25" s="12">
        <f>E25/Calculation!K$11*1000</f>
        <v>3.4128544549683651E-4</v>
      </c>
      <c r="G25" s="12">
        <f t="shared" si="3"/>
        <v>49.334942962736832</v>
      </c>
    </row>
    <row r="26" spans="1:10">
      <c r="A26" s="12">
        <v>10.5</v>
      </c>
      <c r="B26" s="73">
        <v>135.55000000000001</v>
      </c>
      <c r="C26" s="12">
        <f t="shared" si="0"/>
        <v>0.13555</v>
      </c>
      <c r="D26" s="12">
        <f t="shared" si="1"/>
        <v>9.5156100000000007E-3</v>
      </c>
      <c r="E26" s="12">
        <f t="shared" si="2"/>
        <v>4.2480401785714294E-4</v>
      </c>
      <c r="F26" s="12">
        <f>E26/Calculation!K$11*1000</f>
        <v>3.4371975731552261E-4</v>
      </c>
      <c r="G26" s="12">
        <f t="shared" si="3"/>
        <v>49.345218040779017</v>
      </c>
    </row>
    <row r="27" spans="1:10">
      <c r="A27" s="12">
        <v>11</v>
      </c>
      <c r="B27" s="73">
        <v>128.38999999999999</v>
      </c>
      <c r="C27" s="12">
        <f t="shared" si="0"/>
        <v>0.12838999999999998</v>
      </c>
      <c r="D27" s="12">
        <f t="shared" si="1"/>
        <v>9.0129779999999996E-3</v>
      </c>
      <c r="E27" s="12">
        <f t="shared" si="2"/>
        <v>4.0236508928571431E-4</v>
      </c>
      <c r="F27" s="12">
        <f>E27/Calculation!K$11*1000</f>
        <v>3.2556384833448872E-4</v>
      </c>
      <c r="G27" s="12">
        <f t="shared" si="3"/>
        <v>49.355257294863769</v>
      </c>
    </row>
    <row r="28" spans="1:10">
      <c r="A28" s="12">
        <v>11.5</v>
      </c>
      <c r="B28" s="73">
        <v>137.46</v>
      </c>
      <c r="C28" s="12">
        <f t="shared" si="0"/>
        <v>0.13746</v>
      </c>
      <c r="D28" s="12">
        <f t="shared" si="1"/>
        <v>9.6496920000000014E-3</v>
      </c>
      <c r="E28" s="12">
        <f t="shared" si="2"/>
        <v>4.3078982142857154E-4</v>
      </c>
      <c r="F28" s="12">
        <f>E28/Calculation!K$12*1000</f>
        <v>3.6142209897476634E-4</v>
      </c>
      <c r="G28" s="12">
        <f t="shared" si="3"/>
        <v>49.36556208407341</v>
      </c>
    </row>
    <row r="29" spans="1:10">
      <c r="A29" s="12">
        <v>12</v>
      </c>
      <c r="B29" s="73">
        <v>144.62</v>
      </c>
      <c r="C29" s="12">
        <f t="shared" si="0"/>
        <v>0.14462</v>
      </c>
      <c r="D29" s="12">
        <f t="shared" si="1"/>
        <v>1.0152324000000001E-2</v>
      </c>
      <c r="E29" s="12">
        <f t="shared" si="2"/>
        <v>4.5322875000000006E-4</v>
      </c>
      <c r="F29" s="12">
        <f>E29/Calculation!K$12*1000</f>
        <v>3.8024780993547731E-4</v>
      </c>
      <c r="G29" s="12">
        <f t="shared" si="3"/>
        <v>49.376687132707062</v>
      </c>
    </row>
    <row r="30" spans="1:10">
      <c r="A30" s="12">
        <v>12.5</v>
      </c>
      <c r="B30" s="73">
        <v>134.59</v>
      </c>
      <c r="C30" s="12">
        <f t="shared" si="0"/>
        <v>0.13459000000000002</v>
      </c>
      <c r="D30" s="12">
        <f t="shared" si="1"/>
        <v>9.4482180000000013E-3</v>
      </c>
      <c r="E30" s="12">
        <f t="shared" si="2"/>
        <v>4.217954464285715E-4</v>
      </c>
      <c r="F30" s="12">
        <f>E30/Calculation!K$12*1000</f>
        <v>3.5387603885504005E-4</v>
      </c>
      <c r="G30" s="12">
        <f t="shared" si="3"/>
        <v>49.387698990438921</v>
      </c>
    </row>
    <row r="31" spans="1:10">
      <c r="A31" s="12">
        <v>13</v>
      </c>
      <c r="B31" s="73">
        <v>145.09</v>
      </c>
      <c r="C31" s="12">
        <f t="shared" si="0"/>
        <v>0.14509</v>
      </c>
      <c r="D31" s="12">
        <f t="shared" si="1"/>
        <v>1.0185318E-2</v>
      </c>
      <c r="E31" s="12">
        <f t="shared" si="2"/>
        <v>4.547016964285715E-4</v>
      </c>
      <c r="F31" s="12">
        <f>E31/Calculation!K$13*1000</f>
        <v>3.9640713874897882E-4</v>
      </c>
      <c r="G31" s="12">
        <f t="shared" si="3"/>
        <v>49.398953238102983</v>
      </c>
    </row>
    <row r="32" spans="1:10">
      <c r="A32" s="12">
        <v>13.5</v>
      </c>
      <c r="B32" s="73">
        <v>165.62</v>
      </c>
      <c r="C32" s="12">
        <f t="shared" si="0"/>
        <v>0.16562000000000002</v>
      </c>
      <c r="D32" s="12">
        <f t="shared" si="1"/>
        <v>1.1626524000000003E-2</v>
      </c>
      <c r="E32" s="12">
        <f t="shared" si="2"/>
        <v>5.1904125000000012E-4</v>
      </c>
      <c r="F32" s="12">
        <f>E32/Calculation!K$13*1000</f>
        <v>4.5249810682752693E-4</v>
      </c>
      <c r="G32" s="12">
        <f t="shared" si="3"/>
        <v>49.411686816786634</v>
      </c>
    </row>
    <row r="33" spans="1:7">
      <c r="A33" s="12">
        <v>14</v>
      </c>
      <c r="B33" s="73">
        <v>178.03</v>
      </c>
      <c r="C33" s="12">
        <f t="shared" si="0"/>
        <v>0.17802999999999999</v>
      </c>
      <c r="D33" s="12">
        <f t="shared" si="1"/>
        <v>1.2497706000000001E-2</v>
      </c>
      <c r="E33" s="12">
        <f t="shared" si="2"/>
        <v>5.5793330357142867E-4</v>
      </c>
      <c r="F33" s="12">
        <f>E33/Calculation!K$14*1000</f>
        <v>5.0447987115696531E-4</v>
      </c>
      <c r="G33" s="12">
        <f t="shared" si="3"/>
        <v>49.426041486456398</v>
      </c>
    </row>
    <row r="34" spans="1:7">
      <c r="A34" s="12">
        <v>14.5</v>
      </c>
      <c r="B34" s="73">
        <v>192.82</v>
      </c>
      <c r="C34" s="12">
        <f t="shared" si="0"/>
        <v>0.19281999999999999</v>
      </c>
      <c r="D34" s="12">
        <f t="shared" si="1"/>
        <v>1.3535963999999999E-2</v>
      </c>
      <c r="E34" s="12">
        <f t="shared" si="2"/>
        <v>6.0428410714285716E-4</v>
      </c>
      <c r="F34" s="12">
        <f>E34/Calculation!K$14*1000</f>
        <v>5.4638998346619129E-4</v>
      </c>
      <c r="G34" s="12">
        <f t="shared" si="3"/>
        <v>49.441804534275747</v>
      </c>
    </row>
    <row r="35" spans="1:7">
      <c r="A35" s="12">
        <v>15</v>
      </c>
      <c r="B35" s="73">
        <v>182.32</v>
      </c>
      <c r="C35" s="12">
        <f t="shared" si="0"/>
        <v>0.18231999999999998</v>
      </c>
      <c r="D35" s="12">
        <f t="shared" si="1"/>
        <v>1.2798863999999998E-2</v>
      </c>
      <c r="E35" s="12">
        <f t="shared" si="2"/>
        <v>5.713778571428571E-4</v>
      </c>
      <c r="F35" s="12">
        <f>E35/Calculation!K$14*1000</f>
        <v>5.1663635403773457E-4</v>
      </c>
      <c r="G35" s="12">
        <f t="shared" si="3"/>
        <v>49.457749929338306</v>
      </c>
    </row>
    <row r="36" spans="1:7">
      <c r="A36" s="12">
        <v>15.5</v>
      </c>
      <c r="B36" s="73">
        <v>213.82</v>
      </c>
      <c r="C36" s="12">
        <f t="shared" si="0"/>
        <v>0.21381999999999998</v>
      </c>
      <c r="D36" s="12">
        <f t="shared" si="1"/>
        <v>1.5010163999999999E-2</v>
      </c>
      <c r="E36" s="12">
        <f t="shared" si="2"/>
        <v>6.7009660714285716E-4</v>
      </c>
      <c r="F36" s="12">
        <f>E36/Calculation!K$15*1000</f>
        <v>6.3036719240814644E-4</v>
      </c>
      <c r="G36" s="12">
        <f t="shared" si="3"/>
        <v>49.474954982534996</v>
      </c>
    </row>
    <row r="37" spans="1:7">
      <c r="A37" s="12">
        <v>16</v>
      </c>
      <c r="B37" s="73">
        <v>218.59</v>
      </c>
      <c r="C37" s="12">
        <f t="shared" si="0"/>
        <v>0.21859000000000001</v>
      </c>
      <c r="D37" s="12">
        <f t="shared" si="1"/>
        <v>1.5345018E-2</v>
      </c>
      <c r="E37" s="12">
        <f t="shared" si="2"/>
        <v>6.8504544642857153E-4</v>
      </c>
      <c r="F37" s="12">
        <f>E37/Calculation!K$15*1000</f>
        <v>6.4442972869000446E-4</v>
      </c>
      <c r="G37" s="12">
        <f t="shared" si="3"/>
        <v>49.494076936351469</v>
      </c>
    </row>
    <row r="38" spans="1:7">
      <c r="A38" s="12">
        <v>16.5</v>
      </c>
      <c r="B38" s="73">
        <v>207.14</v>
      </c>
      <c r="C38" s="12">
        <f t="shared" si="0"/>
        <v>0.20713999999999999</v>
      </c>
      <c r="D38" s="12">
        <f t="shared" si="1"/>
        <v>1.4541228E-2</v>
      </c>
      <c r="E38" s="12">
        <f t="shared" si="2"/>
        <v>6.4916196428571431E-4</v>
      </c>
      <c r="F38" s="12">
        <f>E38/Calculation!K$15*1000</f>
        <v>6.1067374537191789E-4</v>
      </c>
      <c r="G38" s="12">
        <f t="shared" si="3"/>
        <v>49.512903488462399</v>
      </c>
    </row>
    <row r="39" spans="1:7">
      <c r="A39" s="12">
        <v>17</v>
      </c>
      <c r="B39" s="73">
        <v>206.19</v>
      </c>
      <c r="C39" s="12">
        <f t="shared" si="0"/>
        <v>0.20618999999999998</v>
      </c>
      <c r="D39" s="12">
        <f t="shared" si="1"/>
        <v>1.4474537999999999E-2</v>
      </c>
      <c r="E39" s="12">
        <f t="shared" si="2"/>
        <v>6.4618473214285714E-4</v>
      </c>
      <c r="F39" s="12">
        <f>E39/Calculation!K$16*1000</f>
        <v>6.3287694867644869E-4</v>
      </c>
      <c r="G39" s="12">
        <f t="shared" si="3"/>
        <v>49.531556748873122</v>
      </c>
    </row>
    <row r="40" spans="1:7">
      <c r="A40" s="12">
        <v>17.5</v>
      </c>
      <c r="B40" s="73">
        <v>202.37</v>
      </c>
      <c r="C40" s="12">
        <f t="shared" si="0"/>
        <v>0.20236999999999999</v>
      </c>
      <c r="D40" s="12">
        <f t="shared" si="1"/>
        <v>1.4206374000000001E-2</v>
      </c>
      <c r="E40" s="12">
        <f t="shared" si="2"/>
        <v>6.3421312500000005E-4</v>
      </c>
      <c r="F40" s="12">
        <f>E40/Calculation!K$16*1000</f>
        <v>6.2115188953709168E-4</v>
      </c>
      <c r="G40" s="12">
        <f t="shared" si="3"/>
        <v>49.550367181446326</v>
      </c>
    </row>
    <row r="41" spans="1:7">
      <c r="A41" s="12">
        <v>18</v>
      </c>
      <c r="B41" s="73">
        <v>226.23</v>
      </c>
      <c r="C41" s="12">
        <f t="shared" si="0"/>
        <v>0.22622999999999999</v>
      </c>
      <c r="D41" s="12">
        <f t="shared" si="1"/>
        <v>1.5881345999999998E-2</v>
      </c>
      <c r="E41" s="12">
        <f t="shared" si="2"/>
        <v>7.0898866071428561E-4</v>
      </c>
      <c r="F41" s="12">
        <f>E41/Calculation!K$17*1000</f>
        <v>7.2555863455093432E-4</v>
      </c>
      <c r="G41" s="12">
        <f t="shared" si="3"/>
        <v>49.57056783930765</v>
      </c>
    </row>
    <row r="42" spans="1:7">
      <c r="A42" s="12">
        <v>18.5</v>
      </c>
      <c r="B42" s="73">
        <v>187.57</v>
      </c>
      <c r="C42" s="12">
        <f t="shared" si="0"/>
        <v>0.18756999999999999</v>
      </c>
      <c r="D42" s="12">
        <f t="shared" si="1"/>
        <v>1.3167414000000001E-2</v>
      </c>
      <c r="E42" s="12">
        <f t="shared" si="2"/>
        <v>5.8783098214285718E-4</v>
      </c>
      <c r="F42" s="12">
        <f>E42/Calculation!K$17*1000</f>
        <v>6.0156934572213575E-4</v>
      </c>
      <c r="G42" s="12">
        <f t="shared" si="3"/>
        <v>49.590474759011748</v>
      </c>
    </row>
    <row r="43" spans="1:7">
      <c r="A43" s="12">
        <v>19</v>
      </c>
      <c r="B43" s="73">
        <v>236.73</v>
      </c>
      <c r="C43" s="12">
        <f t="shared" si="0"/>
        <v>0.23673</v>
      </c>
      <c r="D43" s="12">
        <f t="shared" si="1"/>
        <v>1.6618445999999999E-2</v>
      </c>
      <c r="E43" s="12">
        <f t="shared" si="2"/>
        <v>7.4189491071428566E-4</v>
      </c>
      <c r="F43" s="12">
        <f>E43/Calculation!K$17*1000</f>
        <v>7.5923394579517612E-4</v>
      </c>
      <c r="G43" s="12">
        <f t="shared" si="3"/>
        <v>49.610886808384507</v>
      </c>
    </row>
    <row r="44" spans="1:7">
      <c r="A44" s="12">
        <v>19.5</v>
      </c>
      <c r="B44" s="73">
        <v>219.07</v>
      </c>
      <c r="C44" s="12">
        <f t="shared" si="0"/>
        <v>0.21906999999999999</v>
      </c>
      <c r="D44" s="12">
        <f t="shared" si="1"/>
        <v>1.5378713999999998E-2</v>
      </c>
      <c r="E44" s="12">
        <f t="shared" si="2"/>
        <v>6.8654973214285714E-4</v>
      </c>
      <c r="F44" s="12">
        <f>E44/Calculation!K$17*1000</f>
        <v>7.0259527945486103E-4</v>
      </c>
      <c r="G44" s="12">
        <f t="shared" si="3"/>
        <v>49.63281424676326</v>
      </c>
    </row>
    <row r="45" spans="1:7">
      <c r="A45" s="12">
        <v>20</v>
      </c>
      <c r="B45" s="73">
        <v>203.32</v>
      </c>
      <c r="C45" s="12">
        <f t="shared" si="0"/>
        <v>0.20332</v>
      </c>
      <c r="D45" s="12">
        <f t="shared" si="1"/>
        <v>1.4273064E-2</v>
      </c>
      <c r="E45" s="12">
        <f t="shared" si="2"/>
        <v>6.3719035714285722E-4</v>
      </c>
      <c r="F45" s="12">
        <f>E45/Calculation!K$17*1000</f>
        <v>6.520823125884985E-4</v>
      </c>
      <c r="G45" s="12">
        <f t="shared" si="3"/>
        <v>49.653134410643908</v>
      </c>
    </row>
    <row r="46" spans="1:7">
      <c r="A46" s="12">
        <v>20.5</v>
      </c>
      <c r="B46" s="73">
        <v>219.55</v>
      </c>
      <c r="C46" s="12">
        <f t="shared" si="0"/>
        <v>0.21955000000000002</v>
      </c>
      <c r="D46" s="12">
        <f t="shared" si="1"/>
        <v>1.5412410000000003E-2</v>
      </c>
      <c r="E46" s="12">
        <f t="shared" si="2"/>
        <v>6.8805401785714307E-4</v>
      </c>
      <c r="F46" s="12">
        <f>E46/Calculation!K$17*1000</f>
        <v>7.0413472225459796E-4</v>
      </c>
      <c r="G46" s="12">
        <f t="shared" si="3"/>
        <v>49.673477666166555</v>
      </c>
    </row>
    <row r="47" spans="1:7">
      <c r="A47" s="12">
        <v>21</v>
      </c>
      <c r="B47" s="73">
        <v>213.82</v>
      </c>
      <c r="C47" s="12">
        <f t="shared" si="0"/>
        <v>0.21381999999999998</v>
      </c>
      <c r="D47" s="12">
        <f t="shared" si="1"/>
        <v>1.5010163999999999E-2</v>
      </c>
      <c r="E47" s="12">
        <f t="shared" si="2"/>
        <v>6.7009660714285716E-4</v>
      </c>
      <c r="F47" s="12">
        <f>E47/Calculation!K$17*1000</f>
        <v>6.8575762383274008E-4</v>
      </c>
      <c r="G47" s="12">
        <f t="shared" si="3"/>
        <v>49.694326051357862</v>
      </c>
    </row>
    <row r="48" spans="1:7">
      <c r="A48" s="12">
        <v>21.5</v>
      </c>
      <c r="B48" s="73">
        <v>190.43</v>
      </c>
      <c r="C48" s="12">
        <f t="shared" si="0"/>
        <v>0.19043000000000002</v>
      </c>
      <c r="D48" s="12">
        <f t="shared" si="1"/>
        <v>1.3368186000000001E-2</v>
      </c>
      <c r="E48" s="12">
        <f t="shared" si="2"/>
        <v>5.9679401785714295E-4</v>
      </c>
      <c r="F48" s="12">
        <f>E48/Calculation!K$17*1000</f>
        <v>6.1074185907056744E-4</v>
      </c>
      <c r="G48" s="12">
        <f t="shared" si="3"/>
        <v>49.713773543601413</v>
      </c>
    </row>
    <row r="49" spans="1:7">
      <c r="A49" s="12">
        <v>22</v>
      </c>
      <c r="B49" s="73">
        <v>237.69</v>
      </c>
      <c r="C49" s="12">
        <f t="shared" si="0"/>
        <v>0.23768999999999998</v>
      </c>
      <c r="D49" s="12">
        <f t="shared" si="1"/>
        <v>1.6685837999999998E-2</v>
      </c>
      <c r="E49" s="12">
        <f t="shared" si="2"/>
        <v>7.449034821428571E-4</v>
      </c>
      <c r="F49" s="12">
        <f>E49/Calculation!K$17*1000</f>
        <v>7.6231283139464965E-4</v>
      </c>
      <c r="G49" s="12">
        <f t="shared" si="3"/>
        <v>49.734369363958393</v>
      </c>
    </row>
    <row r="50" spans="1:7">
      <c r="A50" s="12">
        <v>22.5</v>
      </c>
      <c r="B50" s="73">
        <v>220.03</v>
      </c>
      <c r="C50" s="12">
        <f t="shared" si="0"/>
        <v>0.22003</v>
      </c>
      <c r="D50" s="12">
        <f t="shared" si="1"/>
        <v>1.5446105999999999E-2</v>
      </c>
      <c r="E50" s="12">
        <f t="shared" si="2"/>
        <v>6.8955830357142857E-4</v>
      </c>
      <c r="F50" s="12">
        <f>E50/Calculation!K$17*1000</f>
        <v>7.0567416505433445E-4</v>
      </c>
      <c r="G50" s="12">
        <f t="shared" si="3"/>
        <v>49.75638916890513</v>
      </c>
    </row>
    <row r="51" spans="1:7">
      <c r="A51" s="12">
        <v>23</v>
      </c>
      <c r="B51" s="73">
        <v>187.57</v>
      </c>
      <c r="C51" s="12">
        <f t="shared" si="0"/>
        <v>0.18756999999999999</v>
      </c>
      <c r="D51" s="12">
        <f t="shared" si="1"/>
        <v>1.3167414000000001E-2</v>
      </c>
      <c r="E51" s="12">
        <f t="shared" si="2"/>
        <v>5.8783098214285718E-4</v>
      </c>
      <c r="F51" s="12">
        <f>E51/Calculation!K$17*1000</f>
        <v>6.0156934572213575E-4</v>
      </c>
      <c r="G51" s="12">
        <f t="shared" si="3"/>
        <v>49.775997821566776</v>
      </c>
    </row>
    <row r="52" spans="1:7">
      <c r="A52" s="12">
        <v>23.5</v>
      </c>
      <c r="B52" s="73">
        <v>210</v>
      </c>
      <c r="C52" s="12">
        <f t="shared" si="0"/>
        <v>0.21</v>
      </c>
      <c r="D52" s="12">
        <f t="shared" si="1"/>
        <v>1.4742E-2</v>
      </c>
      <c r="E52" s="12">
        <f t="shared" si="2"/>
        <v>6.5812500000000007E-4</v>
      </c>
      <c r="F52" s="12">
        <f>E52/Calculation!K$17*1000</f>
        <v>6.7350622488483508E-4</v>
      </c>
      <c r="G52" s="12">
        <f t="shared" si="3"/>
        <v>49.795123955125881</v>
      </c>
    </row>
    <row r="53" spans="1:7">
      <c r="A53" s="12">
        <v>24</v>
      </c>
      <c r="B53" s="73">
        <v>178.98</v>
      </c>
      <c r="C53" s="12">
        <f t="shared" si="0"/>
        <v>0.17898</v>
      </c>
      <c r="D53" s="12">
        <f t="shared" si="1"/>
        <v>1.2564396E-2</v>
      </c>
      <c r="E53" s="12">
        <f t="shared" si="2"/>
        <v>5.6091053571428573E-4</v>
      </c>
      <c r="F53" s="12">
        <f>E53/Calculation!K$18*1000</f>
        <v>6.0099866144758328E-4</v>
      </c>
      <c r="G53" s="12">
        <f t="shared" si="3"/>
        <v>49.814241528420865</v>
      </c>
    </row>
    <row r="54" spans="1:7">
      <c r="A54" s="12">
        <v>24.5</v>
      </c>
      <c r="B54" s="73">
        <v>177.55</v>
      </c>
      <c r="C54" s="12">
        <f t="shared" si="0"/>
        <v>0.17755000000000001</v>
      </c>
      <c r="D54" s="12">
        <f t="shared" si="1"/>
        <v>1.2464010000000001E-2</v>
      </c>
      <c r="E54" s="12">
        <f t="shared" si="2"/>
        <v>5.5642901785714295E-4</v>
      </c>
      <c r="F54" s="12">
        <f>E54/Calculation!K$18*1000</f>
        <v>5.9619685070967947E-4</v>
      </c>
      <c r="G54" s="12">
        <f t="shared" si="3"/>
        <v>49.832199461103222</v>
      </c>
    </row>
    <row r="55" spans="1:7">
      <c r="A55" s="12">
        <v>25</v>
      </c>
      <c r="B55" s="73">
        <v>210</v>
      </c>
      <c r="C55" s="12">
        <f t="shared" si="0"/>
        <v>0.21</v>
      </c>
      <c r="D55" s="12">
        <f t="shared" si="1"/>
        <v>1.4742E-2</v>
      </c>
      <c r="E55" s="12">
        <f t="shared" si="2"/>
        <v>6.5812500000000007E-4</v>
      </c>
      <c r="F55" s="12">
        <f>E55/Calculation!K$18*1000</f>
        <v>7.0516101745442239E-4</v>
      </c>
      <c r="G55" s="12">
        <f t="shared" si="3"/>
        <v>49.851719829125685</v>
      </c>
    </row>
    <row r="56" spans="1:7">
      <c r="A56" s="12">
        <v>25.5</v>
      </c>
      <c r="B56" s="73">
        <v>184.23</v>
      </c>
      <c r="C56" s="12">
        <f t="shared" si="0"/>
        <v>0.18422999999999998</v>
      </c>
      <c r="D56" s="12">
        <f t="shared" si="1"/>
        <v>1.2932945999999999E-2</v>
      </c>
      <c r="E56" s="12">
        <f t="shared" si="2"/>
        <v>5.773636607142857E-4</v>
      </c>
      <c r="F56" s="12">
        <f>E56/Calculation!K$18*1000</f>
        <v>6.1862768688394389E-4</v>
      </c>
      <c r="G56" s="12">
        <f t="shared" si="3"/>
        <v>49.87157665969076</v>
      </c>
    </row>
    <row r="57" spans="1:7">
      <c r="A57" s="12">
        <v>26</v>
      </c>
      <c r="B57" s="73">
        <v>226.71</v>
      </c>
      <c r="C57" s="12">
        <f t="shared" si="0"/>
        <v>0.22670999999999999</v>
      </c>
      <c r="D57" s="12">
        <f t="shared" si="1"/>
        <v>1.5915042000000001E-2</v>
      </c>
      <c r="E57" s="12">
        <f t="shared" si="2"/>
        <v>7.1049294642857154E-4</v>
      </c>
      <c r="F57" s="12">
        <f>E57/Calculation!K$18*1000</f>
        <v>7.6127168698615286E-4</v>
      </c>
      <c r="G57" s="12">
        <f t="shared" si="3"/>
        <v>49.892275150298815</v>
      </c>
    </row>
    <row r="58" spans="1:7">
      <c r="A58" s="12">
        <v>26.5</v>
      </c>
      <c r="B58" s="73">
        <v>191.39</v>
      </c>
      <c r="C58" s="12">
        <f t="shared" si="0"/>
        <v>0.19138999999999998</v>
      </c>
      <c r="D58" s="12">
        <f t="shared" si="1"/>
        <v>1.3435577999999998E-2</v>
      </c>
      <c r="E58" s="12">
        <f t="shared" si="2"/>
        <v>5.9980258928571427E-4</v>
      </c>
      <c r="F58" s="12">
        <f>E58/Calculation!K$18*1000</f>
        <v>6.4267031966953273E-4</v>
      </c>
      <c r="G58" s="12">
        <f t="shared" si="3"/>
        <v>49.913334280398651</v>
      </c>
    </row>
    <row r="59" spans="1:7">
      <c r="A59" s="12">
        <v>27</v>
      </c>
      <c r="B59" s="73">
        <v>242.46</v>
      </c>
      <c r="C59" s="12">
        <f t="shared" si="0"/>
        <v>0.24246000000000001</v>
      </c>
      <c r="D59" s="12">
        <f t="shared" si="1"/>
        <v>1.7020692E-2</v>
      </c>
      <c r="E59" s="12">
        <f t="shared" si="2"/>
        <v>7.5985232142857146E-4</v>
      </c>
      <c r="F59" s="12">
        <f>E59/Calculation!K$18*1000</f>
        <v>8.1415876329523436E-4</v>
      </c>
      <c r="G59" s="12">
        <f t="shared" si="3"/>
        <v>49.935186716643123</v>
      </c>
    </row>
    <row r="60" spans="1:7">
      <c r="A60" s="12">
        <v>27.5</v>
      </c>
      <c r="B60" s="73">
        <v>220.98</v>
      </c>
      <c r="C60" s="12">
        <f t="shared" si="0"/>
        <v>0.22097999999999998</v>
      </c>
      <c r="D60" s="12">
        <f t="shared" si="1"/>
        <v>1.5512796000000001E-2</v>
      </c>
      <c r="E60" s="12">
        <f t="shared" si="2"/>
        <v>6.9253553571428574E-4</v>
      </c>
      <c r="F60" s="12">
        <f>E60/Calculation!K$18*1000</f>
        <v>7.4203086493846782E-4</v>
      </c>
      <c r="G60" s="12">
        <f t="shared" si="3"/>
        <v>49.958529561066626</v>
      </c>
    </row>
    <row r="61" spans="1:7">
      <c r="A61" s="12">
        <v>28</v>
      </c>
      <c r="B61" s="73">
        <v>203.32</v>
      </c>
      <c r="C61" s="12">
        <f t="shared" si="0"/>
        <v>0.20332</v>
      </c>
      <c r="D61" s="12">
        <f t="shared" si="1"/>
        <v>1.4273064E-2</v>
      </c>
      <c r="E61" s="12">
        <f t="shared" si="2"/>
        <v>6.3719035714285722E-4</v>
      </c>
      <c r="F61" s="12">
        <f>E61/Calculation!K$18*1000</f>
        <v>6.8273018128015787E-4</v>
      </c>
      <c r="G61" s="12">
        <f t="shared" si="3"/>
        <v>49.979900976759907</v>
      </c>
    </row>
    <row r="62" spans="1:7">
      <c r="A62" s="12">
        <v>28.5</v>
      </c>
      <c r="B62" s="73">
        <v>210.96</v>
      </c>
      <c r="C62" s="12">
        <f t="shared" si="0"/>
        <v>0.21096000000000001</v>
      </c>
      <c r="D62" s="12">
        <f t="shared" si="1"/>
        <v>1.4809392000000001E-2</v>
      </c>
      <c r="E62" s="12">
        <f t="shared" si="2"/>
        <v>6.6113357142857151E-4</v>
      </c>
      <c r="F62" s="12">
        <f>E62/Calculation!K$18*1000</f>
        <v>7.0838461067707114E-4</v>
      </c>
      <c r="G62" s="12">
        <f t="shared" si="3"/>
        <v>50.000767698639265</v>
      </c>
    </row>
    <row r="63" spans="1:7">
      <c r="A63" s="12">
        <v>29</v>
      </c>
      <c r="B63" s="73">
        <v>192.82</v>
      </c>
      <c r="C63" s="12">
        <f t="shared" si="0"/>
        <v>0.19281999999999999</v>
      </c>
      <c r="D63" s="12">
        <f t="shared" si="1"/>
        <v>1.3535963999999999E-2</v>
      </c>
      <c r="E63" s="12">
        <f t="shared" si="2"/>
        <v>6.0428410714285716E-4</v>
      </c>
      <c r="F63" s="12">
        <f>E63/Calculation!K$18*1000</f>
        <v>6.4747213040743665E-4</v>
      </c>
      <c r="G63" s="12">
        <f t="shared" si="3"/>
        <v>50.021105549755532</v>
      </c>
    </row>
    <row r="64" spans="1:7">
      <c r="A64" s="12">
        <v>29.5</v>
      </c>
      <c r="B64" s="73">
        <v>220.98</v>
      </c>
      <c r="C64" s="12">
        <f t="shared" si="0"/>
        <v>0.22097999999999998</v>
      </c>
      <c r="D64" s="12">
        <f t="shared" si="1"/>
        <v>1.5512796000000001E-2</v>
      </c>
      <c r="E64" s="12">
        <f t="shared" si="2"/>
        <v>6.9253553571428574E-4</v>
      </c>
      <c r="F64" s="12">
        <f>E64/Calculation!K$18*1000</f>
        <v>7.4203086493846782E-4</v>
      </c>
      <c r="G64" s="12">
        <f t="shared" si="3"/>
        <v>50.041948094685722</v>
      </c>
    </row>
    <row r="65" spans="1:7">
      <c r="A65" s="12">
        <v>30</v>
      </c>
      <c r="B65" s="73">
        <v>217.16</v>
      </c>
      <c r="C65" s="12">
        <f t="shared" si="0"/>
        <v>0.21715999999999999</v>
      </c>
      <c r="D65" s="12">
        <f t="shared" si="1"/>
        <v>1.5244631999999999E-2</v>
      </c>
      <c r="E65" s="12">
        <f t="shared" si="2"/>
        <v>6.8056392857142854E-4</v>
      </c>
      <c r="F65" s="12">
        <f>E65/Calculation!K$19*1000</f>
        <v>7.6920216270043361E-4</v>
      </c>
      <c r="G65" s="12">
        <f t="shared" si="3"/>
        <v>50.064616590100307</v>
      </c>
    </row>
    <row r="66" spans="1:7">
      <c r="A66" s="12">
        <v>30.5</v>
      </c>
      <c r="B66" s="73">
        <v>250.57</v>
      </c>
      <c r="C66" s="12">
        <f t="shared" si="0"/>
        <v>0.25057000000000001</v>
      </c>
      <c r="D66" s="12">
        <f t="shared" si="1"/>
        <v>1.7590014000000005E-2</v>
      </c>
      <c r="E66" s="12">
        <f t="shared" si="2"/>
        <v>7.8526848214285742E-4</v>
      </c>
      <c r="F66" s="12">
        <f>E66/Calculation!K$19*1000</f>
        <v>8.8754368165337879E-4</v>
      </c>
      <c r="G66" s="12">
        <f t="shared" si="3"/>
        <v>50.089467777765613</v>
      </c>
    </row>
    <row r="67" spans="1:7">
      <c r="A67" s="12">
        <v>31</v>
      </c>
      <c r="B67" s="73">
        <v>235.3</v>
      </c>
      <c r="C67" s="12">
        <f t="shared" si="0"/>
        <v>0.23530000000000001</v>
      </c>
      <c r="D67" s="12">
        <f t="shared" si="1"/>
        <v>1.6518060000000001E-2</v>
      </c>
      <c r="E67" s="12">
        <f t="shared" si="2"/>
        <v>7.37413392857143E-4</v>
      </c>
      <c r="F67" s="12">
        <f>E67/Calculation!K$19*1000</f>
        <v>8.3345583387093431E-4</v>
      </c>
      <c r="G67" s="12">
        <f t="shared" si="3"/>
        <v>50.115282770498474</v>
      </c>
    </row>
    <row r="68" spans="1:7">
      <c r="A68" s="12">
        <v>31.5</v>
      </c>
      <c r="B68" s="73">
        <v>215.73</v>
      </c>
      <c r="C68" s="12">
        <f t="shared" si="0"/>
        <v>0.21572999999999998</v>
      </c>
      <c r="D68" s="12">
        <f t="shared" si="1"/>
        <v>1.5144245999999998E-2</v>
      </c>
      <c r="E68" s="12">
        <f t="shared" si="2"/>
        <v>6.7608241071428566E-4</v>
      </c>
      <c r="F68" s="12">
        <f>E68/Calculation!K$19*1000</f>
        <v>7.6413696150011304E-4</v>
      </c>
      <c r="G68" s="12">
        <f t="shared" si="3"/>
        <v>50.139246662429038</v>
      </c>
    </row>
    <row r="69" spans="1:7">
      <c r="A69" s="12">
        <v>32</v>
      </c>
      <c r="B69" s="73">
        <v>207.14</v>
      </c>
      <c r="C69" s="12">
        <f t="shared" si="0"/>
        <v>0.20713999999999999</v>
      </c>
      <c r="D69" s="12">
        <f t="shared" si="1"/>
        <v>1.4541228E-2</v>
      </c>
      <c r="E69" s="12">
        <f t="shared" si="2"/>
        <v>6.4916196428571431E-4</v>
      </c>
      <c r="F69" s="12">
        <f>E69/Calculation!K$19*1000</f>
        <v>7.3371033331077475E-4</v>
      </c>
      <c r="G69" s="12">
        <f t="shared" si="3"/>
        <v>50.161714371851204</v>
      </c>
    </row>
    <row r="70" spans="1:7">
      <c r="A70" s="12">
        <v>32.5</v>
      </c>
      <c r="B70" s="73">
        <v>241.5</v>
      </c>
      <c r="C70" s="12">
        <f t="shared" ref="C70:C101" si="4">B70/1000</f>
        <v>0.24149999999999999</v>
      </c>
      <c r="D70" s="12">
        <f t="shared" ref="D70:D101" si="5">C70/1000*$B$1</f>
        <v>1.6953300000000001E-2</v>
      </c>
      <c r="E70" s="12">
        <f t="shared" ref="E70:E101" si="6">D70/22.4</f>
        <v>7.5684375000000014E-4</v>
      </c>
      <c r="F70" s="12">
        <f>E70/Calculation!K$19*1000</f>
        <v>8.5541684606812844E-4</v>
      </c>
      <c r="G70" s="12">
        <f t="shared" si="3"/>
        <v>50.18555127954189</v>
      </c>
    </row>
    <row r="71" spans="1:7">
      <c r="A71" s="12">
        <v>33</v>
      </c>
      <c r="B71" s="73">
        <v>231</v>
      </c>
      <c r="C71" s="12">
        <f t="shared" si="4"/>
        <v>0.23100000000000001</v>
      </c>
      <c r="D71" s="12">
        <f t="shared" si="5"/>
        <v>1.62162E-2</v>
      </c>
      <c r="E71" s="12">
        <f t="shared" si="6"/>
        <v>7.2393750000000008E-4</v>
      </c>
      <c r="F71" s="12">
        <f>E71/Calculation!K$19*1000</f>
        <v>8.1822480928255763E-4</v>
      </c>
      <c r="G71" s="12">
        <f t="shared" ref="G71:G101" si="7">G70+(F71+F70)/2*30</f>
        <v>50.210655904372153</v>
      </c>
    </row>
    <row r="72" spans="1:7">
      <c r="A72" s="12">
        <v>33.5</v>
      </c>
      <c r="B72" s="73">
        <v>210.48</v>
      </c>
      <c r="C72" s="12">
        <f t="shared" si="4"/>
        <v>0.21048</v>
      </c>
      <c r="D72" s="12">
        <f t="shared" si="5"/>
        <v>1.4775696000000001E-2</v>
      </c>
      <c r="E72" s="12">
        <f t="shared" si="6"/>
        <v>6.5962928571428579E-4</v>
      </c>
      <c r="F72" s="12">
        <f>E72/Calculation!K$19*1000</f>
        <v>7.4554094310732785E-4</v>
      </c>
      <c r="G72" s="12">
        <f t="shared" si="7"/>
        <v>50.234112390657998</v>
      </c>
    </row>
    <row r="73" spans="1:7">
      <c r="A73" s="12">
        <v>34</v>
      </c>
      <c r="B73" s="73">
        <v>213.34</v>
      </c>
      <c r="C73" s="12">
        <f t="shared" si="4"/>
        <v>0.21334</v>
      </c>
      <c r="D73" s="12">
        <f t="shared" si="5"/>
        <v>1.4976468000000001E-2</v>
      </c>
      <c r="E73" s="12">
        <f t="shared" si="6"/>
        <v>6.6859232142857156E-4</v>
      </c>
      <c r="F73" s="12">
        <f>E73/Calculation!K$19*1000</f>
        <v>7.556713455079691E-4</v>
      </c>
      <c r="G73" s="12">
        <f t="shared" si="7"/>
        <v>50.256630574987227</v>
      </c>
    </row>
    <row r="74" spans="1:7">
      <c r="A74" s="12">
        <v>34.5</v>
      </c>
      <c r="B74" s="73">
        <v>220.5</v>
      </c>
      <c r="C74" s="12">
        <f t="shared" si="4"/>
        <v>0.2205</v>
      </c>
      <c r="D74" s="12">
        <f t="shared" si="5"/>
        <v>1.5479100000000001E-2</v>
      </c>
      <c r="E74" s="12">
        <f t="shared" si="6"/>
        <v>6.9103125000000013E-4</v>
      </c>
      <c r="F74" s="12">
        <f>E74/Calculation!K$19*1000</f>
        <v>7.8103277249698681E-4</v>
      </c>
      <c r="G74" s="12">
        <f t="shared" si="7"/>
        <v>50.279681136757304</v>
      </c>
    </row>
    <row r="75" spans="1:7">
      <c r="A75" s="12">
        <v>35</v>
      </c>
      <c r="B75" s="73">
        <v>220.5</v>
      </c>
      <c r="C75" s="12">
        <f t="shared" si="4"/>
        <v>0.2205</v>
      </c>
      <c r="D75" s="12">
        <f t="shared" si="5"/>
        <v>1.5479100000000001E-2</v>
      </c>
      <c r="E75" s="12">
        <f t="shared" si="6"/>
        <v>6.9103125000000013E-4</v>
      </c>
      <c r="F75" s="12">
        <f>E75/Calculation!K$19*1000</f>
        <v>7.8103277249698681E-4</v>
      </c>
      <c r="G75" s="12">
        <f t="shared" si="7"/>
        <v>50.303112119932216</v>
      </c>
    </row>
    <row r="76" spans="1:7">
      <c r="A76" s="12">
        <v>35.5</v>
      </c>
      <c r="B76" s="73">
        <v>239.59</v>
      </c>
      <c r="C76" s="12">
        <f t="shared" si="4"/>
        <v>0.23959</v>
      </c>
      <c r="D76" s="12">
        <f t="shared" si="5"/>
        <v>1.6819218E-2</v>
      </c>
      <c r="E76" s="12">
        <f t="shared" si="6"/>
        <v>7.5085794642857154E-4</v>
      </c>
      <c r="F76" s="12">
        <f>E76/Calculation!K$19*1000</f>
        <v>8.4865143747189613E-4</v>
      </c>
      <c r="G76" s="12">
        <f t="shared" si="7"/>
        <v>50.327557383081746</v>
      </c>
    </row>
    <row r="77" spans="1:7">
      <c r="A77" s="12">
        <v>36</v>
      </c>
      <c r="B77" s="73">
        <v>219.55</v>
      </c>
      <c r="C77" s="12">
        <f t="shared" si="4"/>
        <v>0.21955000000000002</v>
      </c>
      <c r="D77" s="12">
        <f t="shared" si="5"/>
        <v>1.5412410000000003E-2</v>
      </c>
      <c r="E77" s="12">
        <f t="shared" si="6"/>
        <v>6.8805401785714307E-4</v>
      </c>
      <c r="F77" s="12">
        <f>E77/Calculation!K$19*1000</f>
        <v>7.776677786925782E-4</v>
      </c>
      <c r="G77" s="12">
        <f t="shared" si="7"/>
        <v>50.351952171324214</v>
      </c>
    </row>
    <row r="78" spans="1:7">
      <c r="A78" s="12">
        <v>36.5</v>
      </c>
      <c r="B78" s="73">
        <v>231.48</v>
      </c>
      <c r="C78" s="12">
        <f t="shared" si="4"/>
        <v>0.23147999999999999</v>
      </c>
      <c r="D78" s="12">
        <f t="shared" si="5"/>
        <v>1.6249896E-2</v>
      </c>
      <c r="E78" s="12">
        <f t="shared" si="6"/>
        <v>7.254417857142858E-4</v>
      </c>
      <c r="F78" s="12">
        <f>E78/Calculation!K$19*1000</f>
        <v>8.1992501667846947E-4</v>
      </c>
      <c r="G78" s="12">
        <f t="shared" si="7"/>
        <v>50.375916063254778</v>
      </c>
    </row>
    <row r="79" spans="1:7">
      <c r="A79" s="12">
        <v>37</v>
      </c>
      <c r="B79" s="73">
        <v>272.52999999999997</v>
      </c>
      <c r="C79" s="12">
        <f t="shared" si="4"/>
        <v>0.27252999999999999</v>
      </c>
      <c r="D79" s="12">
        <f t="shared" si="5"/>
        <v>1.9131605999999999E-2</v>
      </c>
      <c r="E79" s="12">
        <f t="shared" si="6"/>
        <v>8.5408955357142854E-4</v>
      </c>
      <c r="F79" s="12">
        <f>E79/Calculation!K$19*1000</f>
        <v>9.6532817001634377E-4</v>
      </c>
      <c r="G79" s="12">
        <f t="shared" si="7"/>
        <v>50.402694861055203</v>
      </c>
    </row>
    <row r="80" spans="1:7">
      <c r="A80" s="12">
        <v>37.5</v>
      </c>
      <c r="B80" s="73">
        <v>223.37</v>
      </c>
      <c r="C80" s="12">
        <f t="shared" si="4"/>
        <v>0.22337000000000001</v>
      </c>
      <c r="D80" s="12">
        <f t="shared" si="5"/>
        <v>1.5680574000000003E-2</v>
      </c>
      <c r="E80" s="12">
        <f t="shared" si="6"/>
        <v>7.0002562500000017E-4</v>
      </c>
      <c r="F80" s="12">
        <f>E80/Calculation!K$19*1000</f>
        <v>7.9119859588504292E-4</v>
      </c>
      <c r="G80" s="12">
        <f t="shared" si="7"/>
        <v>50.429042762543723</v>
      </c>
    </row>
    <row r="81" spans="1:7">
      <c r="A81" s="12">
        <v>38</v>
      </c>
      <c r="B81" s="73">
        <v>224.8</v>
      </c>
      <c r="C81" s="12">
        <f t="shared" si="4"/>
        <v>0.2248</v>
      </c>
      <c r="D81" s="12">
        <f t="shared" si="5"/>
        <v>1.578096E-2</v>
      </c>
      <c r="E81" s="12">
        <f t="shared" si="6"/>
        <v>7.0450714285714294E-4</v>
      </c>
      <c r="F81" s="12">
        <f>E81/Calculation!K$19*1000</f>
        <v>7.9626379708536339E-4</v>
      </c>
      <c r="G81" s="12">
        <f t="shared" si="7"/>
        <v>50.45285469843828</v>
      </c>
    </row>
    <row r="82" spans="1:7">
      <c r="A82" s="12">
        <v>38.5</v>
      </c>
      <c r="B82" s="73">
        <v>189</v>
      </c>
      <c r="C82" s="12">
        <f t="shared" si="4"/>
        <v>0.189</v>
      </c>
      <c r="D82" s="12">
        <f t="shared" si="5"/>
        <v>1.3267800000000001E-2</v>
      </c>
      <c r="E82" s="12">
        <f t="shared" si="6"/>
        <v>5.9231250000000007E-4</v>
      </c>
      <c r="F82" s="12">
        <f>E82/Calculation!K$19*1000</f>
        <v>6.6945666214027438E-4</v>
      </c>
      <c r="G82" s="12">
        <f t="shared" si="7"/>
        <v>50.474840505326668</v>
      </c>
    </row>
    <row r="83" spans="1:7">
      <c r="A83" s="12">
        <v>39</v>
      </c>
      <c r="B83" s="73">
        <v>210.48</v>
      </c>
      <c r="C83" s="12">
        <f t="shared" si="4"/>
        <v>0.21048</v>
      </c>
      <c r="D83" s="12">
        <f t="shared" si="5"/>
        <v>1.4775696000000001E-2</v>
      </c>
      <c r="E83" s="12">
        <f t="shared" si="6"/>
        <v>6.5962928571428579E-4</v>
      </c>
      <c r="F83" s="12">
        <f>E83/Calculation!K$19*1000</f>
        <v>7.4554094310732785E-4</v>
      </c>
      <c r="G83" s="12">
        <f t="shared" si="7"/>
        <v>50.49606546940538</v>
      </c>
    </row>
    <row r="84" spans="1:7">
      <c r="A84" s="12">
        <v>39.5</v>
      </c>
      <c r="B84" s="73">
        <v>243.89</v>
      </c>
      <c r="C84" s="12">
        <f t="shared" si="4"/>
        <v>0.24389</v>
      </c>
      <c r="D84" s="12">
        <f t="shared" si="5"/>
        <v>1.7121078000000001E-2</v>
      </c>
      <c r="E84" s="12">
        <f t="shared" si="6"/>
        <v>7.6433383928571435E-4</v>
      </c>
      <c r="F84" s="12">
        <f>E84/Calculation!K$19*1000</f>
        <v>8.6388246206027259E-4</v>
      </c>
      <c r="G84" s="12">
        <f t="shared" si="7"/>
        <v>50.520206820482898</v>
      </c>
    </row>
    <row r="85" spans="1:7">
      <c r="A85" s="12">
        <v>40</v>
      </c>
      <c r="B85" s="73">
        <v>213.34</v>
      </c>
      <c r="C85" s="12">
        <f t="shared" si="4"/>
        <v>0.21334</v>
      </c>
      <c r="D85" s="12">
        <f t="shared" si="5"/>
        <v>1.4976468000000001E-2</v>
      </c>
      <c r="E85" s="12">
        <f t="shared" si="6"/>
        <v>6.6859232142857156E-4</v>
      </c>
      <c r="F85" s="12">
        <f>E85/Calculation!K$19*1000</f>
        <v>7.556713455079691E-4</v>
      </c>
      <c r="G85" s="12">
        <f t="shared" si="7"/>
        <v>50.544500127596422</v>
      </c>
    </row>
    <row r="86" spans="1:7">
      <c r="A86" s="12">
        <v>40.5</v>
      </c>
      <c r="B86" s="73">
        <v>204.28</v>
      </c>
      <c r="C86" s="12">
        <f t="shared" si="4"/>
        <v>0.20427999999999999</v>
      </c>
      <c r="D86" s="12">
        <f t="shared" si="5"/>
        <v>1.4340456E-2</v>
      </c>
      <c r="E86" s="12">
        <f t="shared" si="6"/>
        <v>6.4019892857142865E-4</v>
      </c>
      <c r="F86" s="12">
        <f>E86/Calculation!K$19*1000</f>
        <v>7.2357993091013361E-4</v>
      </c>
      <c r="G86" s="12">
        <f t="shared" si="7"/>
        <v>50.56668889674269</v>
      </c>
    </row>
    <row r="87" spans="1:7">
      <c r="A87" s="12">
        <v>41</v>
      </c>
      <c r="B87" s="73">
        <v>193.3</v>
      </c>
      <c r="C87" s="12">
        <f t="shared" si="4"/>
        <v>0.1933</v>
      </c>
      <c r="D87" s="12">
        <f t="shared" si="5"/>
        <v>1.3569660000000001E-2</v>
      </c>
      <c r="E87" s="12">
        <f t="shared" si="6"/>
        <v>6.0578839285714288E-4</v>
      </c>
      <c r="F87" s="12">
        <f>E87/Calculation!K$19*1000</f>
        <v>6.8468768672865095E-4</v>
      </c>
      <c r="G87" s="12">
        <f t="shared" si="7"/>
        <v>50.587812911007269</v>
      </c>
    </row>
    <row r="88" spans="1:7">
      <c r="A88" s="12">
        <v>41.5</v>
      </c>
      <c r="B88" s="73">
        <v>163.22999999999999</v>
      </c>
      <c r="C88" s="12">
        <f t="shared" si="4"/>
        <v>0.16322999999999999</v>
      </c>
      <c r="D88" s="12">
        <f t="shared" si="5"/>
        <v>1.1458746000000001E-2</v>
      </c>
      <c r="E88" s="12">
        <f t="shared" si="6"/>
        <v>5.115511607142858E-4</v>
      </c>
      <c r="F88" s="12">
        <f>E88/Calculation!K$19*1000</f>
        <v>5.781767775722592E-4</v>
      </c>
      <c r="G88" s="12">
        <f t="shared" si="7"/>
        <v>50.606755877971786</v>
      </c>
    </row>
    <row r="89" spans="1:7">
      <c r="A89" s="12">
        <v>42</v>
      </c>
      <c r="B89" s="73">
        <v>145.57</v>
      </c>
      <c r="C89" s="12">
        <f t="shared" si="4"/>
        <v>0.14557</v>
      </c>
      <c r="D89" s="12">
        <f t="shared" si="5"/>
        <v>1.0219014E-2</v>
      </c>
      <c r="E89" s="12">
        <f t="shared" si="6"/>
        <v>4.5620598214285717E-4</v>
      </c>
      <c r="F89" s="12">
        <f>E89/Calculation!K$19*1000</f>
        <v>5.1562331379767057E-4</v>
      </c>
      <c r="G89" s="12">
        <f t="shared" si="7"/>
        <v>50.623162879342331</v>
      </c>
    </row>
    <row r="90" spans="1:7">
      <c r="A90" s="12">
        <v>42.5</v>
      </c>
      <c r="B90" s="73">
        <v>157.97999999999999</v>
      </c>
      <c r="C90" s="12">
        <f t="shared" si="4"/>
        <v>0.15797999999999998</v>
      </c>
      <c r="D90" s="12">
        <f t="shared" si="5"/>
        <v>1.1090195999999998E-2</v>
      </c>
      <c r="E90" s="12">
        <f t="shared" si="6"/>
        <v>4.9509803571428572E-4</v>
      </c>
      <c r="F90" s="12">
        <f>E90/Calculation!K$19*1000</f>
        <v>5.5958075917947379E-4</v>
      </c>
      <c r="G90" s="12">
        <f t="shared" si="7"/>
        <v>50.639290940436986</v>
      </c>
    </row>
    <row r="91" spans="1:7">
      <c r="A91" s="12">
        <v>43</v>
      </c>
      <c r="B91" s="73">
        <v>151.30000000000001</v>
      </c>
      <c r="C91" s="12">
        <f t="shared" si="4"/>
        <v>0.15130000000000002</v>
      </c>
      <c r="D91" s="12">
        <f t="shared" si="5"/>
        <v>1.0621260000000002E-2</v>
      </c>
      <c r="E91" s="12">
        <f t="shared" si="6"/>
        <v>4.7416339285714297E-4</v>
      </c>
      <c r="F91" s="12">
        <f>E91/Calculation!K$19*1000</f>
        <v>5.3591953958636782E-4</v>
      </c>
      <c r="G91" s="12">
        <f t="shared" si="7"/>
        <v>50.655723444918472</v>
      </c>
    </row>
    <row r="92" spans="1:7">
      <c r="A92" s="12">
        <v>43.5</v>
      </c>
      <c r="B92" s="73">
        <v>158.93</v>
      </c>
      <c r="C92" s="12">
        <f t="shared" si="4"/>
        <v>0.15893000000000002</v>
      </c>
      <c r="D92" s="12">
        <f t="shared" si="5"/>
        <v>1.1156886000000003E-2</v>
      </c>
      <c r="E92" s="12">
        <f t="shared" si="6"/>
        <v>4.9807526785714299E-4</v>
      </c>
      <c r="F92" s="12">
        <f>E92/Calculation!K$19*1000</f>
        <v>5.6294575298388263E-4</v>
      </c>
      <c r="G92" s="12">
        <f t="shared" si="7"/>
        <v>50.672206424307028</v>
      </c>
    </row>
    <row r="93" spans="1:7">
      <c r="A93" s="12">
        <v>44</v>
      </c>
      <c r="B93" s="73">
        <v>189.48</v>
      </c>
      <c r="C93" s="12">
        <f t="shared" si="4"/>
        <v>0.18947999999999998</v>
      </c>
      <c r="D93" s="12">
        <f t="shared" si="5"/>
        <v>1.3301495999999999E-2</v>
      </c>
      <c r="E93" s="12">
        <f t="shared" si="6"/>
        <v>5.9381678571428567E-4</v>
      </c>
      <c r="F93" s="12">
        <f>E93/Calculation!K$19*1000</f>
        <v>6.7115686953618612E-4</v>
      </c>
      <c r="G93" s="12">
        <f t="shared" si="7"/>
        <v>50.690717963644829</v>
      </c>
    </row>
    <row r="94" spans="1:7">
      <c r="A94" s="12">
        <v>44.5</v>
      </c>
      <c r="B94" s="73">
        <v>157.5</v>
      </c>
      <c r="C94" s="12">
        <f t="shared" si="4"/>
        <v>0.1575</v>
      </c>
      <c r="D94" s="12">
        <f t="shared" si="5"/>
        <v>1.10565E-2</v>
      </c>
      <c r="E94" s="12">
        <f t="shared" si="6"/>
        <v>4.9359375E-4</v>
      </c>
      <c r="F94" s="12">
        <f>E94/Calculation!K$19*1000</f>
        <v>5.5788055178356195E-4</v>
      </c>
      <c r="G94" s="12">
        <f t="shared" si="7"/>
        <v>50.709153524964627</v>
      </c>
    </row>
    <row r="95" spans="1:7">
      <c r="A95" s="12">
        <v>45</v>
      </c>
      <c r="B95" s="73">
        <v>0.48</v>
      </c>
      <c r="C95" s="12">
        <f t="shared" si="4"/>
        <v>4.7999999999999996E-4</v>
      </c>
      <c r="D95" s="12">
        <f t="shared" si="5"/>
        <v>3.3695999999999997E-5</v>
      </c>
      <c r="E95" s="12">
        <f t="shared" si="6"/>
        <v>1.5042857142857142E-6</v>
      </c>
      <c r="F95" s="12">
        <f>E95/Calculation!K$19*1000</f>
        <v>1.7002073959118078E-6</v>
      </c>
      <c r="G95" s="12">
        <f t="shared" si="7"/>
        <v>50.717547236352317</v>
      </c>
    </row>
    <row r="96" spans="1:7">
      <c r="A96" s="12">
        <v>45.5</v>
      </c>
      <c r="B96" s="73">
        <v>193.3</v>
      </c>
      <c r="C96" s="12">
        <f t="shared" si="4"/>
        <v>0.1933</v>
      </c>
      <c r="D96" s="12">
        <f t="shared" si="5"/>
        <v>1.3569660000000001E-2</v>
      </c>
      <c r="E96" s="12">
        <f t="shared" si="6"/>
        <v>6.0578839285714288E-4</v>
      </c>
      <c r="F96" s="12">
        <f>E96/Calculation!K$19*1000</f>
        <v>6.8468768672865095E-4</v>
      </c>
      <c r="G96" s="12">
        <f t="shared" si="7"/>
        <v>50.727843054764186</v>
      </c>
    </row>
    <row r="97" spans="1:7">
      <c r="A97" s="12">
        <v>46</v>
      </c>
      <c r="B97" s="73">
        <v>187.57</v>
      </c>
      <c r="C97" s="12">
        <f t="shared" si="4"/>
        <v>0.18756999999999999</v>
      </c>
      <c r="D97" s="12">
        <f t="shared" si="5"/>
        <v>1.3167414000000001E-2</v>
      </c>
      <c r="E97" s="12">
        <f t="shared" si="6"/>
        <v>5.8783098214285718E-4</v>
      </c>
      <c r="F97" s="12">
        <f>E97/Calculation!K$19*1000</f>
        <v>6.6439146093995381E-4</v>
      </c>
      <c r="G97" s="12">
        <f t="shared" si="7"/>
        <v>50.748079241979212</v>
      </c>
    </row>
    <row r="98" spans="1:7">
      <c r="A98" s="12">
        <v>46.5</v>
      </c>
      <c r="B98" s="73">
        <v>167.53</v>
      </c>
      <c r="C98" s="12">
        <f t="shared" si="4"/>
        <v>0.16753000000000001</v>
      </c>
      <c r="D98" s="12">
        <f t="shared" si="5"/>
        <v>1.1760606000000002E-2</v>
      </c>
      <c r="E98" s="12">
        <f t="shared" si="6"/>
        <v>5.2502705357142872E-4</v>
      </c>
      <c r="F98" s="12">
        <f>E98/Calculation!K$19*1000</f>
        <v>5.9340780216063588E-4</v>
      </c>
      <c r="G98" s="12">
        <f t="shared" si="7"/>
        <v>50.766946230925718</v>
      </c>
    </row>
    <row r="99" spans="1:7">
      <c r="A99" s="12">
        <v>47</v>
      </c>
      <c r="B99" s="73">
        <v>212.87</v>
      </c>
      <c r="C99" s="12">
        <f t="shared" si="4"/>
        <v>0.21287</v>
      </c>
      <c r="D99" s="12">
        <f t="shared" si="5"/>
        <v>1.4943474000000002E-2</v>
      </c>
      <c r="E99" s="12">
        <f t="shared" si="6"/>
        <v>6.6711937500000011E-4</v>
      </c>
      <c r="F99" s="12">
        <f>E99/Calculation!K$19*1000</f>
        <v>7.5400655909947201E-4</v>
      </c>
      <c r="G99" s="12">
        <f t="shared" si="7"/>
        <v>50.787157446344622</v>
      </c>
    </row>
    <row r="100" spans="1:7">
      <c r="A100" s="12">
        <v>47.5</v>
      </c>
      <c r="B100" s="73">
        <v>178.98</v>
      </c>
      <c r="C100" s="12">
        <f t="shared" si="4"/>
        <v>0.17898</v>
      </c>
      <c r="D100" s="12">
        <f t="shared" si="5"/>
        <v>1.2564396E-2</v>
      </c>
      <c r="E100" s="12">
        <f t="shared" si="6"/>
        <v>5.6091053571428573E-4</v>
      </c>
      <c r="F100" s="12">
        <f>E100/Calculation!K$19*1000</f>
        <v>6.3396483275061542E-4</v>
      </c>
      <c r="G100" s="12">
        <f t="shared" si="7"/>
        <v>50.80797701722237</v>
      </c>
    </row>
    <row r="101" spans="1:7">
      <c r="A101" s="12">
        <v>48</v>
      </c>
      <c r="B101" s="73">
        <v>153.68</v>
      </c>
      <c r="C101" s="12">
        <f t="shared" si="4"/>
        <v>0.15368000000000001</v>
      </c>
      <c r="D101" s="12">
        <f t="shared" si="5"/>
        <v>1.0788336000000001E-2</v>
      </c>
      <c r="E101" s="12">
        <f t="shared" si="6"/>
        <v>4.8162214285714291E-4</v>
      </c>
      <c r="F101" s="12">
        <f>E101/Calculation!K$20*1000</f>
        <v>5.8636537812366762E-4</v>
      </c>
      <c r="G101" s="12">
        <f t="shared" si="7"/>
        <v>50.826281970385487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zoomScale="98" zoomScaleNormal="98" zoomScalePageLayoutView="98" workbookViewId="0">
      <selection activeCell="H10" sqref="H10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70.2</v>
      </c>
      <c r="C1" s="9" t="s">
        <v>51</v>
      </c>
    </row>
    <row r="3" spans="1:12">
      <c r="A3" s="132" t="s">
        <v>5</v>
      </c>
      <c r="B3" s="132" t="s">
        <v>36</v>
      </c>
      <c r="C3" s="132"/>
      <c r="D3" s="132" t="s">
        <v>52</v>
      </c>
      <c r="E3" s="132"/>
      <c r="F3" s="132"/>
      <c r="G3" s="8" t="s">
        <v>53</v>
      </c>
    </row>
    <row r="4" spans="1:12">
      <c r="A4" s="132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4">
        <v>0</v>
      </c>
      <c r="B5" s="73">
        <v>2523.94</v>
      </c>
      <c r="C5" s="35">
        <f>B5/1000</f>
        <v>2.5239400000000001</v>
      </c>
      <c r="D5" s="12">
        <f>C5/1000*$B$1</f>
        <v>0.17718058800000003</v>
      </c>
      <c r="E5" s="12">
        <f>D5/22.4</f>
        <v>7.909847678571431E-3</v>
      </c>
      <c r="F5" s="12">
        <f>E5/Calculation!K$4*1000</f>
        <v>5.1494089199586954E-3</v>
      </c>
      <c r="G5" s="12">
        <f>(0+F5)/2*30</f>
        <v>7.7241133799380426E-2</v>
      </c>
    </row>
    <row r="6" spans="1:12">
      <c r="A6" s="34">
        <v>0.5</v>
      </c>
      <c r="B6" s="73">
        <v>3940.11</v>
      </c>
      <c r="C6" s="35">
        <f t="shared" ref="C6:C69" si="0">B6/1000</f>
        <v>3.9401100000000002</v>
      </c>
      <c r="D6" s="12">
        <f>C6/1000*$B$1</f>
        <v>0.27659572200000004</v>
      </c>
      <c r="E6" s="12">
        <f t="shared" ref="E6:E69" si="1">D6/22.4</f>
        <v>1.2348023303571432E-2</v>
      </c>
      <c r="F6" s="12">
        <f>E6/Calculation!K$4*1000</f>
        <v>8.0387162847050473E-3</v>
      </c>
      <c r="G6" s="12">
        <f>G5+(F6+F5)/2*30</f>
        <v>0.27506301186933657</v>
      </c>
    </row>
    <row r="7" spans="1:12">
      <c r="A7" s="34">
        <v>1</v>
      </c>
      <c r="B7" s="73">
        <v>5129.01</v>
      </c>
      <c r="C7" s="35">
        <f t="shared" si="0"/>
        <v>5.1290100000000001</v>
      </c>
      <c r="D7" s="12">
        <f t="shared" ref="D7:D69" si="2">C7/1000*$B$1</f>
        <v>0.360056502</v>
      </c>
      <c r="E7" s="12">
        <f t="shared" si="1"/>
        <v>1.6073950982142857E-2</v>
      </c>
      <c r="F7" s="12">
        <f>E7/Calculation!K$4*1000</f>
        <v>1.0464341404533128E-2</v>
      </c>
      <c r="G7" s="12">
        <f>G6+(F7+F6)/2*30</f>
        <v>0.55260887720790919</v>
      </c>
    </row>
    <row r="8" spans="1:12">
      <c r="A8" s="34">
        <v>1.5</v>
      </c>
      <c r="B8" s="73">
        <v>6847.6</v>
      </c>
      <c r="C8" s="35">
        <f t="shared" si="0"/>
        <v>6.8476000000000008</v>
      </c>
      <c r="D8" s="12">
        <f t="shared" si="2"/>
        <v>0.48070152000000005</v>
      </c>
      <c r="E8" s="12">
        <f t="shared" si="1"/>
        <v>2.1459889285714288E-2</v>
      </c>
      <c r="F8" s="12">
        <f>E8/Calculation!K$4*1000</f>
        <v>1.3970654025178553E-2</v>
      </c>
      <c r="G8" s="12">
        <f t="shared" ref="G8:G70" si="3">G7+(F8+F7)/2*30</f>
        <v>0.91913380865358441</v>
      </c>
      <c r="K8" s="2">
        <f>0.001977/44.01</f>
        <v>4.492160872528971E-5</v>
      </c>
      <c r="L8" s="2">
        <f>1/K8</f>
        <v>22261.001517450681</v>
      </c>
    </row>
    <row r="9" spans="1:12">
      <c r="A9" s="34">
        <v>2</v>
      </c>
      <c r="B9" s="73">
        <v>8719.31</v>
      </c>
      <c r="C9" s="35">
        <f t="shared" si="0"/>
        <v>8.7193100000000001</v>
      </c>
      <c r="D9" s="12">
        <f t="shared" si="2"/>
        <v>0.61209556200000004</v>
      </c>
      <c r="E9" s="12">
        <f t="shared" si="1"/>
        <v>2.7325694732142861E-2</v>
      </c>
      <c r="F9" s="12">
        <f>E9/Calculation!K$5*1000</f>
        <v>1.8360912005113663E-2</v>
      </c>
      <c r="G9" s="12">
        <f t="shared" si="3"/>
        <v>1.4041072991079677</v>
      </c>
    </row>
    <row r="10" spans="1:12">
      <c r="A10" s="34">
        <v>2.5</v>
      </c>
      <c r="B10" s="73">
        <v>12578.79</v>
      </c>
      <c r="C10" s="35">
        <f t="shared" si="0"/>
        <v>12.578790000000001</v>
      </c>
      <c r="D10" s="12">
        <f t="shared" si="2"/>
        <v>0.88303105800000015</v>
      </c>
      <c r="E10" s="12">
        <f t="shared" si="1"/>
        <v>3.9421029375000007E-2</v>
      </c>
      <c r="F10" s="12">
        <f>E10/Calculation!K$5*1000</f>
        <v>2.6488111596078553E-2</v>
      </c>
      <c r="G10" s="12">
        <f t="shared" si="3"/>
        <v>2.0768426531258508</v>
      </c>
    </row>
    <row r="11" spans="1:12">
      <c r="A11" s="34">
        <v>3</v>
      </c>
      <c r="B11" s="73">
        <v>18031.830000000002</v>
      </c>
      <c r="C11" s="35">
        <f t="shared" si="0"/>
        <v>18.031830000000003</v>
      </c>
      <c r="D11" s="12">
        <f t="shared" si="2"/>
        <v>1.2658344660000003</v>
      </c>
      <c r="E11" s="12">
        <f t="shared" si="1"/>
        <v>5.6510467232142876E-2</v>
      </c>
      <c r="F11" s="12">
        <f>E11/Calculation!K$5*1000</f>
        <v>3.7970991273526093E-2</v>
      </c>
      <c r="G11" s="12">
        <f t="shared" si="3"/>
        <v>3.0437291961699202</v>
      </c>
    </row>
    <row r="12" spans="1:12">
      <c r="A12" s="34">
        <v>3.5</v>
      </c>
      <c r="B12" s="73">
        <v>25309.03</v>
      </c>
      <c r="C12" s="35">
        <f t="shared" si="0"/>
        <v>25.30903</v>
      </c>
      <c r="D12" s="12">
        <f t="shared" si="2"/>
        <v>1.776693906</v>
      </c>
      <c r="E12" s="12">
        <f t="shared" si="1"/>
        <v>7.9316692232142869E-2</v>
      </c>
      <c r="F12" s="12">
        <f>E12/Calculation!K$6*1000</f>
        <v>5.4826193555215813E-2</v>
      </c>
      <c r="G12" s="12">
        <f t="shared" si="3"/>
        <v>4.4356869686010487</v>
      </c>
    </row>
    <row r="13" spans="1:12">
      <c r="A13" s="34">
        <v>4</v>
      </c>
      <c r="B13" s="73">
        <v>35842.699999999997</v>
      </c>
      <c r="C13" s="35">
        <f t="shared" si="0"/>
        <v>35.842699999999994</v>
      </c>
      <c r="D13" s="12">
        <f t="shared" si="2"/>
        <v>2.5161575399999996</v>
      </c>
      <c r="E13" s="12">
        <f t="shared" si="1"/>
        <v>0.11232846160714284</v>
      </c>
      <c r="F13" s="12">
        <f>E13/Calculation!K$6*1000</f>
        <v>7.7644967339385709E-2</v>
      </c>
      <c r="G13" s="12">
        <f t="shared" si="3"/>
        <v>6.4227543820200719</v>
      </c>
    </row>
    <row r="14" spans="1:12">
      <c r="A14" s="34">
        <v>4.5</v>
      </c>
      <c r="B14" s="73">
        <v>47141.32</v>
      </c>
      <c r="C14" s="35">
        <f t="shared" si="0"/>
        <v>47.14132</v>
      </c>
      <c r="D14" s="12">
        <f t="shared" si="2"/>
        <v>3.3093206640000004</v>
      </c>
      <c r="E14" s="12">
        <f t="shared" si="1"/>
        <v>0.14773752964285716</v>
      </c>
      <c r="F14" s="12">
        <f>E14/Calculation!K$6*1000</f>
        <v>0.1021208293944243</v>
      </c>
      <c r="G14" s="12">
        <f t="shared" si="3"/>
        <v>9.1192413330272224</v>
      </c>
    </row>
    <row r="15" spans="1:12">
      <c r="A15" s="34">
        <v>5</v>
      </c>
      <c r="B15" s="73">
        <v>58862.89</v>
      </c>
      <c r="C15" s="35">
        <f t="shared" si="0"/>
        <v>58.86289</v>
      </c>
      <c r="D15" s="12">
        <f t="shared" si="2"/>
        <v>4.1321748779999998</v>
      </c>
      <c r="E15" s="12">
        <f t="shared" si="1"/>
        <v>0.18447209276785714</v>
      </c>
      <c r="F15" s="12">
        <f>E15/Calculation!K$7*1000</f>
        <v>0.13150323608222814</v>
      </c>
      <c r="G15" s="12">
        <f t="shared" si="3"/>
        <v>12.62360231517701</v>
      </c>
    </row>
    <row r="16" spans="1:12">
      <c r="A16" s="34">
        <v>5.5</v>
      </c>
      <c r="B16" s="73">
        <v>73802.350000000006</v>
      </c>
      <c r="C16" s="35">
        <f t="shared" si="0"/>
        <v>73.802350000000004</v>
      </c>
      <c r="D16" s="12">
        <f t="shared" si="2"/>
        <v>5.1809249700000004</v>
      </c>
      <c r="E16" s="12">
        <f t="shared" si="1"/>
        <v>0.23129129330357145</v>
      </c>
      <c r="F16" s="12">
        <f>E16/Calculation!K$7*1000</f>
        <v>0.16487888813262874</v>
      </c>
      <c r="G16" s="12">
        <f t="shared" si="3"/>
        <v>17.069334178399863</v>
      </c>
    </row>
    <row r="17" spans="1:7">
      <c r="A17" s="34">
        <v>6</v>
      </c>
      <c r="B17" s="73">
        <v>86110.63</v>
      </c>
      <c r="C17" s="35">
        <f t="shared" si="0"/>
        <v>86.11063</v>
      </c>
      <c r="D17" s="12">
        <f t="shared" si="2"/>
        <v>6.0449662259999997</v>
      </c>
      <c r="E17" s="12">
        <f t="shared" si="1"/>
        <v>0.26986456366071426</v>
      </c>
      <c r="F17" s="12">
        <f>E17/Calculation!K$8*1000</f>
        <v>0.1978804635568909</v>
      </c>
      <c r="G17" s="12">
        <f t="shared" si="3"/>
        <v>22.510724453742657</v>
      </c>
    </row>
    <row r="18" spans="1:7">
      <c r="A18" s="34">
        <v>6.5</v>
      </c>
      <c r="B18" s="73">
        <v>82160.05</v>
      </c>
      <c r="C18" s="35">
        <f t="shared" si="0"/>
        <v>82.160049999999998</v>
      </c>
      <c r="D18" s="12">
        <f t="shared" si="2"/>
        <v>5.7676355099999999</v>
      </c>
      <c r="E18" s="12">
        <f t="shared" si="1"/>
        <v>0.25748372812500003</v>
      </c>
      <c r="F18" s="12">
        <f>E18/Calculation!K$8*1000</f>
        <v>0.18880211165401228</v>
      </c>
      <c r="G18" s="12">
        <f t="shared" si="3"/>
        <v>28.310963081906205</v>
      </c>
    </row>
    <row r="19" spans="1:7">
      <c r="A19" s="34">
        <v>7</v>
      </c>
      <c r="B19" s="73">
        <v>72190.320000000007</v>
      </c>
      <c r="C19" s="35">
        <f t="shared" si="0"/>
        <v>72.190320000000014</v>
      </c>
      <c r="D19" s="12">
        <f t="shared" si="2"/>
        <v>5.0677604640000009</v>
      </c>
      <c r="E19" s="12">
        <f t="shared" si="1"/>
        <v>0.22623930642857148</v>
      </c>
      <c r="F19" s="12">
        <f>E19/Calculation!K$8*1000</f>
        <v>0.16589187636788047</v>
      </c>
      <c r="G19" s="12">
        <f t="shared" si="3"/>
        <v>33.631372902234595</v>
      </c>
    </row>
    <row r="20" spans="1:7">
      <c r="A20" s="34">
        <v>7.5</v>
      </c>
      <c r="B20" s="73">
        <v>66806.61</v>
      </c>
      <c r="C20" s="35">
        <f t="shared" si="0"/>
        <v>66.806610000000006</v>
      </c>
      <c r="D20" s="12">
        <f t="shared" si="2"/>
        <v>4.6898240220000007</v>
      </c>
      <c r="E20" s="12">
        <f t="shared" si="1"/>
        <v>0.20936714383928576</v>
      </c>
      <c r="F20" s="12">
        <f>E20/Calculation!K$9*1000</f>
        <v>0.15856445692179899</v>
      </c>
      <c r="G20" s="12">
        <f t="shared" si="3"/>
        <v>38.498217901579785</v>
      </c>
    </row>
    <row r="21" spans="1:7">
      <c r="A21" s="34">
        <v>8</v>
      </c>
      <c r="B21" s="73">
        <v>59652.44</v>
      </c>
      <c r="C21" s="35">
        <f t="shared" si="0"/>
        <v>59.652440000000006</v>
      </c>
      <c r="D21" s="12">
        <f t="shared" si="2"/>
        <v>4.1876012880000006</v>
      </c>
      <c r="E21" s="12">
        <f t="shared" si="1"/>
        <v>0.18694648607142861</v>
      </c>
      <c r="F21" s="12">
        <f>E21/Calculation!K$9*1000</f>
        <v>0.14158414493206883</v>
      </c>
      <c r="G21" s="12">
        <f t="shared" si="3"/>
        <v>43.000446929387806</v>
      </c>
    </row>
    <row r="22" spans="1:7">
      <c r="A22" s="34">
        <v>8.5</v>
      </c>
      <c r="B22" s="73">
        <v>53245.08</v>
      </c>
      <c r="C22" s="35">
        <f t="shared" si="0"/>
        <v>53.245080000000002</v>
      </c>
      <c r="D22" s="12">
        <f t="shared" si="2"/>
        <v>3.737804616</v>
      </c>
      <c r="E22" s="12">
        <f t="shared" si="1"/>
        <v>0.16686627750000002</v>
      </c>
      <c r="F22" s="12">
        <f>E22/Calculation!K$9*1000</f>
        <v>0.12637637494190679</v>
      </c>
      <c r="G22" s="12">
        <f t="shared" si="3"/>
        <v>47.019854727497439</v>
      </c>
    </row>
    <row r="23" spans="1:7">
      <c r="A23" s="34">
        <v>9</v>
      </c>
      <c r="B23" s="73">
        <v>47381.06</v>
      </c>
      <c r="C23" s="35">
        <f t="shared" si="0"/>
        <v>47.381059999999998</v>
      </c>
      <c r="D23" s="12">
        <f t="shared" si="2"/>
        <v>3.3261504119999996</v>
      </c>
      <c r="E23" s="12">
        <f t="shared" si="1"/>
        <v>0.14848885767857142</v>
      </c>
      <c r="F23" s="12">
        <f>E23/Calculation!K$10*1000</f>
        <v>0.11626474668070538</v>
      </c>
      <c r="G23" s="12">
        <f t="shared" si="3"/>
        <v>50.659471551836624</v>
      </c>
    </row>
    <row r="24" spans="1:7">
      <c r="A24" s="34">
        <v>9.5</v>
      </c>
      <c r="B24" s="73">
        <v>41006.620000000003</v>
      </c>
      <c r="C24" s="35">
        <f t="shared" si="0"/>
        <v>41.006620000000005</v>
      </c>
      <c r="D24" s="12">
        <f t="shared" si="2"/>
        <v>2.8786647240000005</v>
      </c>
      <c r="E24" s="12">
        <f t="shared" si="1"/>
        <v>0.12851181803571432</v>
      </c>
      <c r="F24" s="12">
        <f>E24/Calculation!K$10*1000</f>
        <v>0.10062299759718225</v>
      </c>
      <c r="G24" s="12">
        <f t="shared" si="3"/>
        <v>53.912787716004942</v>
      </c>
    </row>
    <row r="25" spans="1:7">
      <c r="A25" s="34">
        <v>10</v>
      </c>
      <c r="B25" s="73">
        <v>35618.089999999997</v>
      </c>
      <c r="C25" s="35">
        <f t="shared" si="0"/>
        <v>35.618089999999995</v>
      </c>
      <c r="D25" s="12">
        <f t="shared" si="2"/>
        <v>2.5003899179999998</v>
      </c>
      <c r="E25" s="12">
        <f t="shared" si="1"/>
        <v>0.11162454991071429</v>
      </c>
      <c r="F25" s="12">
        <f>E25/Calculation!K$11*1000</f>
        <v>9.0318268172943139E-2</v>
      </c>
      <c r="G25" s="12">
        <f t="shared" si="3"/>
        <v>56.776906702556822</v>
      </c>
    </row>
    <row r="26" spans="1:7">
      <c r="A26" s="34">
        <v>10.5</v>
      </c>
      <c r="B26" s="73">
        <v>30906.880000000001</v>
      </c>
      <c r="C26" s="35">
        <f t="shared" si="0"/>
        <v>30.906880000000001</v>
      </c>
      <c r="D26" s="12">
        <f t="shared" si="2"/>
        <v>2.1696629760000001</v>
      </c>
      <c r="E26" s="12">
        <f t="shared" si="1"/>
        <v>9.6859954285714298E-2</v>
      </c>
      <c r="F26" s="12">
        <f>E26/Calculation!K$11*1000</f>
        <v>7.8371857565326303E-2</v>
      </c>
      <c r="G26" s="12">
        <f t="shared" si="3"/>
        <v>59.307258588630866</v>
      </c>
    </row>
    <row r="27" spans="1:7">
      <c r="A27" s="34">
        <v>11</v>
      </c>
      <c r="B27" s="73">
        <v>26528.03</v>
      </c>
      <c r="C27" s="35">
        <f t="shared" si="0"/>
        <v>26.528029999999998</v>
      </c>
      <c r="D27" s="12">
        <f t="shared" si="2"/>
        <v>1.8622677059999999</v>
      </c>
      <c r="E27" s="12">
        <f t="shared" si="1"/>
        <v>8.313695116071429E-2</v>
      </c>
      <c r="F27" s="12">
        <f>E27/Calculation!K$11*1000</f>
        <v>6.7268225995270395E-2</v>
      </c>
      <c r="G27" s="12">
        <f t="shared" si="3"/>
        <v>61.491859842039815</v>
      </c>
    </row>
    <row r="28" spans="1:7">
      <c r="A28" s="34">
        <v>11.5</v>
      </c>
      <c r="B28" s="73">
        <v>22175.599999999999</v>
      </c>
      <c r="C28" s="35">
        <f t="shared" si="0"/>
        <v>22.175599999999999</v>
      </c>
      <c r="D28" s="12">
        <f t="shared" si="2"/>
        <v>1.5567271200000001</v>
      </c>
      <c r="E28" s="12">
        <f t="shared" si="1"/>
        <v>6.949674642857144E-2</v>
      </c>
      <c r="F28" s="12">
        <f>E28/Calculation!K$12*1000</f>
        <v>5.8306066477701354E-2</v>
      </c>
      <c r="G28" s="12">
        <f t="shared" si="3"/>
        <v>63.37547422913439</v>
      </c>
    </row>
    <row r="29" spans="1:7">
      <c r="A29" s="34">
        <v>12</v>
      </c>
      <c r="B29" s="73">
        <v>18692.53</v>
      </c>
      <c r="C29" s="35">
        <f t="shared" si="0"/>
        <v>18.692529999999998</v>
      </c>
      <c r="D29" s="12">
        <f t="shared" si="2"/>
        <v>1.3122156059999999</v>
      </c>
      <c r="E29" s="12">
        <f t="shared" si="1"/>
        <v>5.8581053839285711E-2</v>
      </c>
      <c r="F29" s="12">
        <f>E29/Calculation!K$12*1000</f>
        <v>4.9148068003410358E-2</v>
      </c>
      <c r="G29" s="12">
        <f t="shared" si="3"/>
        <v>64.987286246351061</v>
      </c>
    </row>
    <row r="30" spans="1:7">
      <c r="A30" s="34">
        <v>12.5</v>
      </c>
      <c r="B30" s="73">
        <v>15710.89</v>
      </c>
      <c r="C30" s="35">
        <f t="shared" si="0"/>
        <v>15.710889999999999</v>
      </c>
      <c r="D30" s="12">
        <f t="shared" si="2"/>
        <v>1.1029044779999999</v>
      </c>
      <c r="E30" s="12">
        <f t="shared" si="1"/>
        <v>4.9236807053571426E-2</v>
      </c>
      <c r="F30" s="12">
        <f>E30/Calculation!K$12*1000</f>
        <v>4.1308474032894414E-2</v>
      </c>
      <c r="G30" s="12">
        <f t="shared" si="3"/>
        <v>66.344134376895639</v>
      </c>
    </row>
    <row r="31" spans="1:7">
      <c r="A31" s="34">
        <v>13</v>
      </c>
      <c r="B31" s="73">
        <v>13271.91</v>
      </c>
      <c r="C31" s="35">
        <f t="shared" si="0"/>
        <v>13.27191</v>
      </c>
      <c r="D31" s="12">
        <f t="shared" si="2"/>
        <v>0.93168808199999997</v>
      </c>
      <c r="E31" s="12">
        <f t="shared" si="1"/>
        <v>4.1593217946428576E-2</v>
      </c>
      <c r="F31" s="12">
        <f>E31/Calculation!K$13*1000</f>
        <v>3.6260802735088284E-2</v>
      </c>
      <c r="G31" s="12">
        <f t="shared" si="3"/>
        <v>67.507673528415381</v>
      </c>
    </row>
    <row r="32" spans="1:7">
      <c r="A32" s="34">
        <v>13.5</v>
      </c>
      <c r="B32" s="73">
        <v>11205.34</v>
      </c>
      <c r="C32" s="35">
        <f t="shared" si="0"/>
        <v>11.20534</v>
      </c>
      <c r="D32" s="12">
        <f t="shared" si="2"/>
        <v>0.78661486800000002</v>
      </c>
      <c r="E32" s="12">
        <f t="shared" si="1"/>
        <v>3.5116735178571432E-2</v>
      </c>
      <c r="F32" s="12">
        <f>E32/Calculation!K$13*1000</f>
        <v>3.0614630698941915E-2</v>
      </c>
      <c r="G32" s="12">
        <f t="shared" si="3"/>
        <v>68.510805029925834</v>
      </c>
    </row>
    <row r="33" spans="1:7">
      <c r="A33" s="34">
        <v>14</v>
      </c>
      <c r="B33" s="73">
        <v>9407.61</v>
      </c>
      <c r="C33" s="35">
        <f t="shared" si="0"/>
        <v>9.40761</v>
      </c>
      <c r="D33" s="12">
        <f t="shared" si="2"/>
        <v>0.660414222</v>
      </c>
      <c r="E33" s="12">
        <f t="shared" si="1"/>
        <v>2.9482777767857144E-2</v>
      </c>
      <c r="F33" s="12">
        <f>E33/Calculation!K$14*1000</f>
        <v>2.6658146833089803E-2</v>
      </c>
      <c r="G33" s="12">
        <f t="shared" si="3"/>
        <v>69.369896692906309</v>
      </c>
    </row>
    <row r="34" spans="1:7">
      <c r="A34" s="34">
        <v>14.5</v>
      </c>
      <c r="B34" s="73">
        <v>7917.62</v>
      </c>
      <c r="C34" s="35">
        <f t="shared" si="0"/>
        <v>7.9176200000000003</v>
      </c>
      <c r="D34" s="12">
        <f t="shared" si="2"/>
        <v>0.55581692400000005</v>
      </c>
      <c r="E34" s="12">
        <f t="shared" si="1"/>
        <v>2.4813255535714288E-2</v>
      </c>
      <c r="F34" s="12">
        <f>E34/Calculation!K$14*1000</f>
        <v>2.2435993470032081E-2</v>
      </c>
      <c r="G34" s="12">
        <f t="shared" si="3"/>
        <v>70.106308797453138</v>
      </c>
    </row>
    <row r="35" spans="1:7">
      <c r="A35" s="34">
        <v>15</v>
      </c>
      <c r="B35" s="73">
        <v>6613.01</v>
      </c>
      <c r="C35" s="35">
        <f t="shared" si="0"/>
        <v>6.6130100000000001</v>
      </c>
      <c r="D35" s="12">
        <f t="shared" si="2"/>
        <v>0.46423330200000001</v>
      </c>
      <c r="E35" s="12">
        <f t="shared" si="1"/>
        <v>2.0724700982142859E-2</v>
      </c>
      <c r="F35" s="12">
        <f>E35/Calculation!K$14*1000</f>
        <v>1.873914751873124E-2</v>
      </c>
      <c r="G35" s="12">
        <f t="shared" si="3"/>
        <v>70.723935912284588</v>
      </c>
    </row>
    <row r="36" spans="1:7">
      <c r="A36" s="34">
        <v>15.5</v>
      </c>
      <c r="B36" s="73">
        <v>5423.78</v>
      </c>
      <c r="C36" s="35">
        <f t="shared" si="0"/>
        <v>5.4237799999999998</v>
      </c>
      <c r="D36" s="12">
        <f t="shared" si="2"/>
        <v>0.38074935599999998</v>
      </c>
      <c r="E36" s="12">
        <f t="shared" si="1"/>
        <v>1.6997739107142858E-2</v>
      </c>
      <c r="F36" s="12">
        <f>E36/Calculation!K$15*1000</f>
        <v>1.598995870750845E-2</v>
      </c>
      <c r="G36" s="12">
        <f t="shared" si="3"/>
        <v>71.244872505678188</v>
      </c>
    </row>
    <row r="37" spans="1:7">
      <c r="A37" s="34">
        <v>16</v>
      </c>
      <c r="B37" s="73">
        <v>4638.72</v>
      </c>
      <c r="C37" s="35">
        <f t="shared" si="0"/>
        <v>4.6387200000000002</v>
      </c>
      <c r="D37" s="12">
        <f t="shared" si="2"/>
        <v>0.32563814400000002</v>
      </c>
      <c r="E37" s="12">
        <f t="shared" si="1"/>
        <v>1.4537417142857145E-2</v>
      </c>
      <c r="F37" s="12">
        <f>E37/Calculation!K$15*1000</f>
        <v>1.3675506981421372E-2</v>
      </c>
      <c r="G37" s="12">
        <f t="shared" si="3"/>
        <v>71.689854491012142</v>
      </c>
    </row>
    <row r="38" spans="1:7">
      <c r="A38" s="34">
        <v>16.5</v>
      </c>
      <c r="B38" s="73">
        <v>3882.25</v>
      </c>
      <c r="C38" s="35">
        <f t="shared" si="0"/>
        <v>3.88225</v>
      </c>
      <c r="D38" s="12">
        <f t="shared" si="2"/>
        <v>0.27253395000000002</v>
      </c>
      <c r="E38" s="12">
        <f t="shared" si="1"/>
        <v>1.2166694196428574E-2</v>
      </c>
      <c r="F38" s="12">
        <f>E38/Calculation!K$15*1000</f>
        <v>1.1445342029401026E-2</v>
      </c>
      <c r="G38" s="12">
        <f t="shared" si="3"/>
        <v>72.066667226174474</v>
      </c>
    </row>
    <row r="39" spans="1:7">
      <c r="A39" s="34">
        <v>17</v>
      </c>
      <c r="B39" s="73">
        <v>3362.37</v>
      </c>
      <c r="C39" s="35">
        <f t="shared" si="0"/>
        <v>3.3623699999999999</v>
      </c>
      <c r="D39" s="12">
        <f t="shared" si="2"/>
        <v>0.236038374</v>
      </c>
      <c r="E39" s="12">
        <f t="shared" si="1"/>
        <v>1.0537427410714286E-2</v>
      </c>
      <c r="F39" s="12">
        <f>E39/Calculation!K$16*1000</f>
        <v>1.0320415470785348E-2</v>
      </c>
      <c r="G39" s="12">
        <f>G38+(F39+F38)/2*30</f>
        <v>72.393153588677265</v>
      </c>
    </row>
    <row r="40" spans="1:7">
      <c r="A40" s="34">
        <v>17.5</v>
      </c>
      <c r="B40" s="73">
        <v>2867.59</v>
      </c>
      <c r="C40" s="35">
        <f t="shared" si="0"/>
        <v>2.8675900000000003</v>
      </c>
      <c r="D40" s="12">
        <f t="shared" si="2"/>
        <v>0.20130481800000002</v>
      </c>
      <c r="E40" s="12">
        <f t="shared" si="1"/>
        <v>8.986822232142859E-3</v>
      </c>
      <c r="F40" s="12">
        <f>E40/Calculation!K$16*1000</f>
        <v>8.8017440673897746E-3</v>
      </c>
      <c r="G40" s="12">
        <f t="shared" si="3"/>
        <v>72.679985981749894</v>
      </c>
    </row>
    <row r="41" spans="1:7">
      <c r="A41" s="34">
        <v>18</v>
      </c>
      <c r="B41" s="73">
        <v>2483.87</v>
      </c>
      <c r="C41" s="35">
        <f t="shared" si="0"/>
        <v>2.48387</v>
      </c>
      <c r="D41" s="12">
        <f t="shared" si="2"/>
        <v>0.174367674</v>
      </c>
      <c r="E41" s="12">
        <f t="shared" si="1"/>
        <v>7.7842711607142862E-3</v>
      </c>
      <c r="F41" s="12">
        <f>E41/Calculation!K$17*1000</f>
        <v>7.9661995562128329E-3</v>
      </c>
      <c r="G41" s="12">
        <f t="shared" si="3"/>
        <v>72.931505136103937</v>
      </c>
    </row>
    <row r="42" spans="1:7">
      <c r="A42" s="34">
        <v>18.5</v>
      </c>
      <c r="B42" s="73">
        <v>2199.9</v>
      </c>
      <c r="C42" s="35">
        <f t="shared" si="0"/>
        <v>2.1999</v>
      </c>
      <c r="D42" s="12">
        <f t="shared" si="2"/>
        <v>0.15443298</v>
      </c>
      <c r="E42" s="12">
        <f t="shared" si="1"/>
        <v>6.8943294642857143E-3</v>
      </c>
      <c r="F42" s="12">
        <f>E42/Calculation!K$17*1000</f>
        <v>7.0554587815435648E-3</v>
      </c>
      <c r="G42" s="12">
        <f t="shared" si="3"/>
        <v>73.156830011170285</v>
      </c>
    </row>
    <row r="43" spans="1:7">
      <c r="A43" s="34">
        <v>19</v>
      </c>
      <c r="B43" s="73">
        <v>1925.75</v>
      </c>
      <c r="C43" s="35">
        <f t="shared" si="0"/>
        <v>1.9257500000000001</v>
      </c>
      <c r="D43" s="12">
        <f t="shared" si="2"/>
        <v>0.13518765000000002</v>
      </c>
      <c r="E43" s="12">
        <f t="shared" si="1"/>
        <v>6.0351629464285728E-3</v>
      </c>
      <c r="F43" s="12">
        <f>E43/Calculation!K$17*1000</f>
        <v>6.1762124408189113E-3</v>
      </c>
      <c r="G43" s="12">
        <f t="shared" si="3"/>
        <v>73.355305079505726</v>
      </c>
    </row>
    <row r="44" spans="1:7">
      <c r="A44" s="34">
        <v>19.5</v>
      </c>
      <c r="B44" s="73">
        <v>1662.23</v>
      </c>
      <c r="C44" s="35">
        <f t="shared" si="0"/>
        <v>1.6622300000000001</v>
      </c>
      <c r="D44" s="12">
        <f t="shared" si="2"/>
        <v>0.116688546</v>
      </c>
      <c r="E44" s="12">
        <f t="shared" si="1"/>
        <v>5.2093100892857151E-3</v>
      </c>
      <c r="F44" s="12">
        <f>E44/Calculation!K$17*1000</f>
        <v>5.3310583437634253E-3</v>
      </c>
      <c r="G44" s="12">
        <f t="shared" si="3"/>
        <v>73.527914141274465</v>
      </c>
    </row>
    <row r="45" spans="1:7">
      <c r="A45" s="34">
        <v>20</v>
      </c>
      <c r="B45" s="73">
        <v>1496.81</v>
      </c>
      <c r="C45" s="35">
        <f t="shared" si="0"/>
        <v>1.49681</v>
      </c>
      <c r="D45" s="12">
        <f t="shared" si="2"/>
        <v>0.105076062</v>
      </c>
      <c r="E45" s="12">
        <f t="shared" si="1"/>
        <v>4.6908956250000002E-3</v>
      </c>
      <c r="F45" s="12">
        <f>E45/Calculation!K$17*1000</f>
        <v>4.800527868904142E-3</v>
      </c>
      <c r="G45" s="12">
        <f t="shared" si="3"/>
        <v>73.679887934464475</v>
      </c>
    </row>
    <row r="46" spans="1:7">
      <c r="A46" s="34">
        <v>20.5</v>
      </c>
      <c r="B46" s="73">
        <v>1336.7</v>
      </c>
      <c r="C46" s="35">
        <f t="shared" si="0"/>
        <v>1.3367</v>
      </c>
      <c r="D46" s="12">
        <f t="shared" si="2"/>
        <v>9.3836340000000004E-2</v>
      </c>
      <c r="E46" s="12">
        <f t="shared" si="1"/>
        <v>4.1891223214285721E-3</v>
      </c>
      <c r="F46" s="12">
        <f>E46/Calculation!K$17*1000</f>
        <v>4.2870274800169477E-3</v>
      </c>
      <c r="G46" s="12">
        <f t="shared" si="3"/>
        <v>73.816201264698293</v>
      </c>
    </row>
    <row r="47" spans="1:7">
      <c r="A47" s="34">
        <v>21</v>
      </c>
      <c r="B47" s="73">
        <v>1244.0999999999999</v>
      </c>
      <c r="C47" s="35">
        <f t="shared" si="0"/>
        <v>1.2441</v>
      </c>
      <c r="D47" s="12">
        <f t="shared" si="2"/>
        <v>8.7335819999999995E-2</v>
      </c>
      <c r="E47" s="12">
        <f t="shared" si="1"/>
        <v>3.8989205357142856E-3</v>
      </c>
      <c r="F47" s="12">
        <f>E47/Calculation!K$17*1000</f>
        <v>3.9900433065677299E-3</v>
      </c>
      <c r="G47" s="12">
        <f t="shared" si="3"/>
        <v>73.940357326497065</v>
      </c>
    </row>
    <row r="48" spans="1:7">
      <c r="A48" s="34">
        <v>21.5</v>
      </c>
      <c r="B48" s="73">
        <v>1175.93</v>
      </c>
      <c r="C48" s="35">
        <f t="shared" si="0"/>
        <v>1.1759300000000001</v>
      </c>
      <c r="D48" s="12">
        <f t="shared" si="2"/>
        <v>8.2550286000000014E-2</v>
      </c>
      <c r="E48" s="12">
        <f t="shared" si="1"/>
        <v>3.685280625000001E-3</v>
      </c>
      <c r="F48" s="12">
        <f>E48/Calculation!K$17*1000</f>
        <v>3.7714103572801154E-3</v>
      </c>
      <c r="G48" s="12">
        <f t="shared" si="3"/>
        <v>74.056779131454789</v>
      </c>
    </row>
    <row r="49" spans="1:7">
      <c r="A49" s="34">
        <v>22</v>
      </c>
      <c r="B49" s="73">
        <v>1104.94</v>
      </c>
      <c r="C49" s="35">
        <f t="shared" si="0"/>
        <v>1.10494</v>
      </c>
      <c r="D49" s="12">
        <f t="shared" si="2"/>
        <v>7.7566787999999998E-2</v>
      </c>
      <c r="E49" s="12">
        <f t="shared" si="1"/>
        <v>3.4628030357142857E-3</v>
      </c>
      <c r="F49" s="12">
        <f>E49/Calculation!K$17*1000</f>
        <v>3.5437331815440453E-3</v>
      </c>
      <c r="G49" s="12">
        <f t="shared" si="3"/>
        <v>74.166506284537149</v>
      </c>
    </row>
    <row r="50" spans="1:7">
      <c r="A50" s="34">
        <v>22.5</v>
      </c>
      <c r="B50" s="73">
        <v>1046.08</v>
      </c>
      <c r="C50" s="35">
        <f t="shared" si="0"/>
        <v>1.0460799999999999</v>
      </c>
      <c r="D50" s="12">
        <f t="shared" si="2"/>
        <v>7.3434815999999986E-2</v>
      </c>
      <c r="E50" s="12">
        <f t="shared" si="1"/>
        <v>3.2783399999999994E-3</v>
      </c>
      <c r="F50" s="12">
        <f>E50/Calculation!K$17*1000</f>
        <v>3.3549590082263244E-3</v>
      </c>
      <c r="G50" s="12">
        <f t="shared" si="3"/>
        <v>74.269986667383705</v>
      </c>
    </row>
    <row r="51" spans="1:7">
      <c r="A51" s="34">
        <v>23</v>
      </c>
      <c r="B51" s="73">
        <v>969.27</v>
      </c>
      <c r="C51" s="35">
        <f t="shared" si="0"/>
        <v>0.96926999999999996</v>
      </c>
      <c r="D51" s="12">
        <f t="shared" si="2"/>
        <v>6.8042753999999997E-2</v>
      </c>
      <c r="E51" s="12">
        <f t="shared" si="1"/>
        <v>3.0376229464285716E-3</v>
      </c>
      <c r="F51" s="12">
        <f>E51/Calculation!K$17*1000</f>
        <v>3.108616088543448E-3</v>
      </c>
      <c r="G51" s="12">
        <f t="shared" si="3"/>
        <v>74.366940293835256</v>
      </c>
    </row>
    <row r="52" spans="1:7">
      <c r="A52" s="34">
        <v>23.5</v>
      </c>
      <c r="B52" s="73">
        <v>889.47</v>
      </c>
      <c r="C52" s="35">
        <f t="shared" si="0"/>
        <v>0.88946999999999998</v>
      </c>
      <c r="D52" s="12">
        <f t="shared" si="2"/>
        <v>6.2440794000000001E-2</v>
      </c>
      <c r="E52" s="12">
        <f t="shared" si="1"/>
        <v>2.7875354464285715E-3</v>
      </c>
      <c r="F52" s="12">
        <f>E52/Calculation!K$17*1000</f>
        <v>2.8526837230872103E-3</v>
      </c>
      <c r="G52" s="12">
        <f t="shared" si="3"/>
        <v>74.456359791009717</v>
      </c>
    </row>
    <row r="53" spans="1:7">
      <c r="A53" s="34">
        <v>24</v>
      </c>
      <c r="B53" s="73">
        <v>844.42</v>
      </c>
      <c r="C53" s="35">
        <f t="shared" si="0"/>
        <v>0.84441999999999995</v>
      </c>
      <c r="D53" s="12">
        <f t="shared" si="2"/>
        <v>5.9278283999999994E-2</v>
      </c>
      <c r="E53" s="12">
        <f t="shared" si="1"/>
        <v>2.6463519642857141E-3</v>
      </c>
      <c r="F53" s="12">
        <f>E53/Calculation!K$18*1000</f>
        <v>2.8354860302803012E-3</v>
      </c>
      <c r="G53" s="12">
        <f t="shared" si="3"/>
        <v>74.541682337310235</v>
      </c>
    </row>
    <row r="54" spans="1:7">
      <c r="A54" s="34">
        <v>24.5</v>
      </c>
      <c r="B54" s="73">
        <v>831.12</v>
      </c>
      <c r="C54" s="35">
        <f t="shared" si="0"/>
        <v>0.83111999999999997</v>
      </c>
      <c r="D54" s="12">
        <f t="shared" si="2"/>
        <v>5.8344623999999998E-2</v>
      </c>
      <c r="E54" s="12">
        <f t="shared" si="1"/>
        <v>2.6046707142857142E-3</v>
      </c>
      <c r="F54" s="12">
        <f>E54/Calculation!K$18*1000</f>
        <v>2.7908258325081876E-3</v>
      </c>
      <c r="G54" s="12">
        <f t="shared" si="3"/>
        <v>74.626077015252065</v>
      </c>
    </row>
    <row r="55" spans="1:7">
      <c r="A55" s="34">
        <v>25</v>
      </c>
      <c r="B55" s="73">
        <v>797.86</v>
      </c>
      <c r="C55" s="35">
        <f t="shared" si="0"/>
        <v>0.79786000000000001</v>
      </c>
      <c r="D55" s="12">
        <f t="shared" si="2"/>
        <v>5.6009772000000006E-2</v>
      </c>
      <c r="E55" s="12">
        <f t="shared" si="1"/>
        <v>2.5004362500000003E-3</v>
      </c>
      <c r="F55" s="12">
        <f>E55/Calculation!K$18*1000</f>
        <v>2.6791417589818352E-3</v>
      </c>
      <c r="G55" s="12">
        <f t="shared" si="3"/>
        <v>74.708126529124414</v>
      </c>
    </row>
    <row r="56" spans="1:7">
      <c r="A56" s="34">
        <v>25.5</v>
      </c>
      <c r="B56" s="73">
        <v>781.07</v>
      </c>
      <c r="C56" s="35">
        <f t="shared" si="0"/>
        <v>0.78107000000000004</v>
      </c>
      <c r="D56" s="12">
        <f t="shared" si="2"/>
        <v>5.4831114000000007E-2</v>
      </c>
      <c r="E56" s="12">
        <f t="shared" si="1"/>
        <v>2.447817589285715E-3</v>
      </c>
      <c r="F56" s="12">
        <f>E56/Calculation!K$18*1000</f>
        <v>2.6227624566815514E-3</v>
      </c>
      <c r="G56" s="12">
        <f t="shared" si="3"/>
        <v>74.787655092359358</v>
      </c>
    </row>
    <row r="57" spans="1:7">
      <c r="A57" s="34">
        <v>26</v>
      </c>
      <c r="B57" s="73">
        <v>748.15</v>
      </c>
      <c r="C57" s="35">
        <f t="shared" si="0"/>
        <v>0.74814999999999998</v>
      </c>
      <c r="D57" s="12">
        <f t="shared" si="2"/>
        <v>5.2520129999999998E-2</v>
      </c>
      <c r="E57" s="12">
        <f t="shared" si="1"/>
        <v>2.3446486607142858E-3</v>
      </c>
      <c r="F57" s="12">
        <f>E57/Calculation!K$18*1000</f>
        <v>2.5122200724215526E-3</v>
      </c>
      <c r="G57" s="12">
        <f t="shared" si="3"/>
        <v>74.864679830295898</v>
      </c>
    </row>
    <row r="58" spans="1:7">
      <c r="A58" s="34">
        <v>26.5</v>
      </c>
      <c r="B58" s="73">
        <v>735.19</v>
      </c>
      <c r="C58" s="35">
        <f t="shared" si="0"/>
        <v>0.73519000000000001</v>
      </c>
      <c r="D58" s="12">
        <f t="shared" si="2"/>
        <v>5.1610338000000006E-2</v>
      </c>
      <c r="E58" s="12">
        <f t="shared" si="1"/>
        <v>2.3040329464285719E-3</v>
      </c>
      <c r="F58" s="12">
        <f>E58/Calculation!K$18*1000</f>
        <v>2.4687015639157941E-3</v>
      </c>
      <c r="G58" s="12">
        <f t="shared" si="3"/>
        <v>74.939393654840956</v>
      </c>
    </row>
    <row r="59" spans="1:7">
      <c r="A59" s="34">
        <v>27</v>
      </c>
      <c r="B59" s="73">
        <v>706.42</v>
      </c>
      <c r="C59" s="35">
        <f t="shared" si="0"/>
        <v>0.70641999999999994</v>
      </c>
      <c r="D59" s="12">
        <f t="shared" si="2"/>
        <v>4.9590683999999996E-2</v>
      </c>
      <c r="E59" s="12">
        <f t="shared" si="1"/>
        <v>2.2138698214285712E-3</v>
      </c>
      <c r="F59" s="12">
        <f>E59/Calculation!K$18*1000</f>
        <v>2.372094504524538E-3</v>
      </c>
      <c r="G59" s="12">
        <f t="shared" si="3"/>
        <v>75.012005595867564</v>
      </c>
    </row>
    <row r="60" spans="1:7">
      <c r="A60" s="34">
        <v>27.5</v>
      </c>
      <c r="B60" s="73">
        <v>668.85</v>
      </c>
      <c r="C60" s="35">
        <f t="shared" si="0"/>
        <v>0.66885000000000006</v>
      </c>
      <c r="D60" s="12">
        <f t="shared" si="2"/>
        <v>4.6953270000000005E-2</v>
      </c>
      <c r="E60" s="12">
        <f t="shared" si="1"/>
        <v>2.0961281250000004E-3</v>
      </c>
      <c r="F60" s="12">
        <f>E60/Calculation!K$18*1000</f>
        <v>2.2459378405923353E-3</v>
      </c>
      <c r="G60" s="12">
        <f t="shared" si="3"/>
        <v>75.081276081044322</v>
      </c>
    </row>
    <row r="61" spans="1:7">
      <c r="A61" s="34">
        <v>28</v>
      </c>
      <c r="B61" s="73">
        <v>667.02</v>
      </c>
      <c r="C61" s="35">
        <f t="shared" si="0"/>
        <v>0.66701999999999995</v>
      </c>
      <c r="D61" s="12">
        <f t="shared" si="2"/>
        <v>4.6824803999999998E-2</v>
      </c>
      <c r="E61" s="12">
        <f t="shared" si="1"/>
        <v>2.0903930357142855E-3</v>
      </c>
      <c r="F61" s="12">
        <f>E61/Calculation!K$18*1000</f>
        <v>2.2397928660116604E-3</v>
      </c>
      <c r="G61" s="12">
        <f t="shared" si="3"/>
        <v>75.148562041643387</v>
      </c>
    </row>
    <row r="62" spans="1:7">
      <c r="A62" s="34">
        <v>28.5</v>
      </c>
      <c r="B62" s="73">
        <v>636.1</v>
      </c>
      <c r="C62" s="35">
        <f t="shared" si="0"/>
        <v>0.6361</v>
      </c>
      <c r="D62" s="12">
        <f t="shared" si="2"/>
        <v>4.4654220000000001E-2</v>
      </c>
      <c r="E62" s="12">
        <f t="shared" si="1"/>
        <v>1.9934919642857147E-3</v>
      </c>
      <c r="F62" s="12">
        <f>E62/Calculation!K$18*1000</f>
        <v>2.1359663009655147E-3</v>
      </c>
      <c r="G62" s="12">
        <f t="shared" si="3"/>
        <v>75.214198429148041</v>
      </c>
    </row>
    <row r="63" spans="1:7">
      <c r="A63" s="34">
        <v>29</v>
      </c>
      <c r="B63" s="73">
        <v>642.25</v>
      </c>
      <c r="C63" s="35">
        <f t="shared" si="0"/>
        <v>0.64224999999999999</v>
      </c>
      <c r="D63" s="12">
        <f t="shared" si="2"/>
        <v>4.5085950000000007E-2</v>
      </c>
      <c r="E63" s="12">
        <f t="shared" si="1"/>
        <v>2.0127656250000002E-3</v>
      </c>
      <c r="F63" s="12">
        <f>E63/Calculation!K$18*1000</f>
        <v>2.1566174450481086E-3</v>
      </c>
      <c r="G63" s="12">
        <f t="shared" si="3"/>
        <v>75.278587185338239</v>
      </c>
    </row>
    <row r="64" spans="1:7">
      <c r="A64" s="34">
        <v>29.5</v>
      </c>
      <c r="B64" s="73">
        <v>623.13</v>
      </c>
      <c r="C64" s="35">
        <f t="shared" si="0"/>
        <v>0.62312999999999996</v>
      </c>
      <c r="D64" s="12">
        <f t="shared" si="2"/>
        <v>4.3743725999999997E-2</v>
      </c>
      <c r="E64" s="12">
        <f t="shared" si="1"/>
        <v>1.9528449107142857E-3</v>
      </c>
      <c r="F64" s="12">
        <f>E64/Calculation!K$18*1000</f>
        <v>2.0924142133636864E-3</v>
      </c>
      <c r="G64" s="12">
        <f t="shared" si="3"/>
        <v>75.342322660214421</v>
      </c>
    </row>
    <row r="65" spans="1:7">
      <c r="A65" s="34">
        <v>30</v>
      </c>
      <c r="B65" s="73">
        <v>592.21</v>
      </c>
      <c r="C65" s="35">
        <f t="shared" si="0"/>
        <v>0.59221000000000001</v>
      </c>
      <c r="D65" s="12">
        <f t="shared" si="2"/>
        <v>4.1573142E-2</v>
      </c>
      <c r="E65" s="12">
        <f t="shared" si="1"/>
        <v>1.8559438392857144E-3</v>
      </c>
      <c r="F65" s="12">
        <f>E65/Calculation!K$19*1000</f>
        <v>2.0976662956936078E-3</v>
      </c>
      <c r="G65" s="12">
        <f t="shared" si="3"/>
        <v>75.40517386785028</v>
      </c>
    </row>
    <row r="66" spans="1:7">
      <c r="A66" s="34">
        <v>30.5</v>
      </c>
      <c r="B66" s="73">
        <v>613.15</v>
      </c>
      <c r="C66" s="35">
        <f t="shared" si="0"/>
        <v>0.61314999999999997</v>
      </c>
      <c r="D66" s="12">
        <f t="shared" si="2"/>
        <v>4.3043130000000006E-2</v>
      </c>
      <c r="E66" s="12">
        <f t="shared" si="1"/>
        <v>1.9215683035714289E-3</v>
      </c>
      <c r="F66" s="12">
        <f>E66/Calculation!K$19*1000</f>
        <v>2.1718378433402607E-3</v>
      </c>
      <c r="G66" s="12">
        <f t="shared" si="3"/>
        <v>75.469216429935784</v>
      </c>
    </row>
    <row r="67" spans="1:7">
      <c r="A67" s="34">
        <v>31</v>
      </c>
      <c r="B67" s="73">
        <v>588.04999999999995</v>
      </c>
      <c r="C67" s="35">
        <f t="shared" si="0"/>
        <v>0.58804999999999996</v>
      </c>
      <c r="D67" s="12">
        <f t="shared" si="2"/>
        <v>4.1281110000000003E-2</v>
      </c>
      <c r="E67" s="12">
        <f t="shared" si="1"/>
        <v>1.8429066964285718E-3</v>
      </c>
      <c r="F67" s="12">
        <f>E67/Calculation!K$19*1000</f>
        <v>2.0829311649290393E-3</v>
      </c>
      <c r="G67" s="12">
        <f t="shared" si="3"/>
        <v>75.533037965059819</v>
      </c>
    </row>
    <row r="68" spans="1:7">
      <c r="A68" s="34">
        <v>31.5</v>
      </c>
      <c r="B68" s="73">
        <v>583.89</v>
      </c>
      <c r="C68" s="35">
        <f t="shared" si="0"/>
        <v>0.58389000000000002</v>
      </c>
      <c r="D68" s="12">
        <f t="shared" si="2"/>
        <v>4.0989077999999998E-2</v>
      </c>
      <c r="E68" s="12">
        <f t="shared" si="1"/>
        <v>1.8298695535714285E-3</v>
      </c>
      <c r="F68" s="12">
        <f>E68/Calculation!K$19*1000</f>
        <v>2.0681960341644699E-3</v>
      </c>
      <c r="G68" s="12">
        <f t="shared" si="3"/>
        <v>75.595304873046217</v>
      </c>
    </row>
    <row r="69" spans="1:7">
      <c r="A69" s="34">
        <v>32</v>
      </c>
      <c r="B69" s="73">
        <v>571.59</v>
      </c>
      <c r="C69" s="35">
        <f t="shared" si="0"/>
        <v>0.57159000000000004</v>
      </c>
      <c r="D69" s="12">
        <f t="shared" si="2"/>
        <v>4.0125618000000009E-2</v>
      </c>
      <c r="E69" s="12">
        <f t="shared" si="1"/>
        <v>1.7913222321428576E-3</v>
      </c>
      <c r="F69" s="12">
        <f>E69/Calculation!K$19*1000</f>
        <v>2.02462821964423E-3</v>
      </c>
      <c r="G69" s="12">
        <f t="shared" si="3"/>
        <v>75.656697236853347</v>
      </c>
    </row>
    <row r="70" spans="1:7">
      <c r="A70" s="34">
        <v>32.5</v>
      </c>
      <c r="B70" s="73">
        <v>571.91999999999996</v>
      </c>
      <c r="C70" s="35">
        <f t="shared" ref="C70:C101" si="4">B70/1000</f>
        <v>0.57191999999999998</v>
      </c>
      <c r="D70" s="12">
        <f t="shared" ref="D70:D101" si="5">C70/1000*$B$1</f>
        <v>4.0148784E-2</v>
      </c>
      <c r="E70" s="12">
        <f t="shared" ref="E70:E101" si="6">D70/22.4</f>
        <v>1.7923564285714287E-3</v>
      </c>
      <c r="F70" s="12">
        <f>E70/Calculation!K$19*1000</f>
        <v>2.0257971122289195E-3</v>
      </c>
      <c r="G70" s="12">
        <f t="shared" si="3"/>
        <v>75.717453616831449</v>
      </c>
    </row>
    <row r="71" spans="1:7">
      <c r="A71" s="34">
        <v>33</v>
      </c>
      <c r="B71" s="73">
        <v>561.28</v>
      </c>
      <c r="C71" s="35">
        <f t="shared" si="4"/>
        <v>0.56128</v>
      </c>
      <c r="D71" s="12">
        <f t="shared" si="5"/>
        <v>3.9401856000000006E-2</v>
      </c>
      <c r="E71" s="12">
        <f t="shared" si="6"/>
        <v>1.759011428571429E-3</v>
      </c>
      <c r="F71" s="12">
        <f>E71/Calculation!K$19*1000</f>
        <v>1.9881091816195415E-3</v>
      </c>
      <c r="G71" s="12">
        <f t="shared" ref="G71:G101" si="7">G70+(F71+F70)/2*30</f>
        <v>75.777662211239175</v>
      </c>
    </row>
    <row r="72" spans="1:7">
      <c r="A72" s="34">
        <v>33.5</v>
      </c>
      <c r="B72" s="73">
        <v>580.23</v>
      </c>
      <c r="C72" s="35">
        <f t="shared" si="4"/>
        <v>0.58023000000000002</v>
      </c>
      <c r="D72" s="12">
        <f t="shared" si="5"/>
        <v>4.0732146000000004E-2</v>
      </c>
      <c r="E72" s="12">
        <f t="shared" si="6"/>
        <v>1.8183993750000003E-3</v>
      </c>
      <c r="F72" s="12">
        <f>E72/Calculation!K$19*1000</f>
        <v>2.0552319527706426E-3</v>
      </c>
      <c r="G72" s="12">
        <f t="shared" si="7"/>
        <v>75.838312328255029</v>
      </c>
    </row>
    <row r="73" spans="1:7">
      <c r="A73" s="34">
        <v>34</v>
      </c>
      <c r="B73" s="73">
        <v>596.53</v>
      </c>
      <c r="C73" s="35">
        <f t="shared" si="4"/>
        <v>0.59653</v>
      </c>
      <c r="D73" s="12">
        <f t="shared" si="5"/>
        <v>4.1876405999999998E-2</v>
      </c>
      <c r="E73" s="12">
        <f t="shared" si="6"/>
        <v>1.8694824107142857E-3</v>
      </c>
      <c r="F73" s="12">
        <f>E73/Calculation!K$19*1000</f>
        <v>2.1129681622568137E-3</v>
      </c>
      <c r="G73" s="12">
        <f t="shared" si="7"/>
        <v>75.900835329980438</v>
      </c>
    </row>
    <row r="74" spans="1:7">
      <c r="A74" s="34">
        <v>34.5</v>
      </c>
      <c r="B74" s="73">
        <v>600.67999999999995</v>
      </c>
      <c r="C74" s="35">
        <f t="shared" si="4"/>
        <v>0.60067999999999999</v>
      </c>
      <c r="D74" s="12">
        <f t="shared" si="5"/>
        <v>4.2167736000000004E-2</v>
      </c>
      <c r="E74" s="12">
        <f t="shared" si="6"/>
        <v>1.8824882142857147E-3</v>
      </c>
      <c r="F74" s="12">
        <f>E74/Calculation!K$19*1000</f>
        <v>2.1276678720339687E-3</v>
      </c>
      <c r="G74" s="12">
        <f t="shared" si="7"/>
        <v>75.964444870494802</v>
      </c>
    </row>
    <row r="75" spans="1:7">
      <c r="A75" s="34">
        <v>35</v>
      </c>
      <c r="B75" s="73">
        <v>610.99</v>
      </c>
      <c r="C75" s="35">
        <f t="shared" si="4"/>
        <v>0.61099000000000003</v>
      </c>
      <c r="D75" s="12">
        <f t="shared" si="5"/>
        <v>4.2891498000000007E-2</v>
      </c>
      <c r="E75" s="12">
        <f t="shared" si="6"/>
        <v>1.9147990178571433E-3</v>
      </c>
      <c r="F75" s="12">
        <f>E75/Calculation!K$19*1000</f>
        <v>2.1641869100586576E-3</v>
      </c>
      <c r="G75" s="12">
        <f t="shared" si="7"/>
        <v>76.028822692226186</v>
      </c>
    </row>
    <row r="76" spans="1:7">
      <c r="A76" s="34">
        <v>35.5</v>
      </c>
      <c r="B76" s="73">
        <v>644.24</v>
      </c>
      <c r="C76" s="35">
        <f t="shared" si="4"/>
        <v>0.64424000000000003</v>
      </c>
      <c r="D76" s="12">
        <f t="shared" si="5"/>
        <v>4.5225648E-2</v>
      </c>
      <c r="E76" s="12">
        <f t="shared" si="6"/>
        <v>2.019002142857143E-3</v>
      </c>
      <c r="F76" s="12">
        <f>E76/Calculation!K$19*1000</f>
        <v>2.2819616932129652E-3</v>
      </c>
      <c r="G76" s="12">
        <f t="shared" si="7"/>
        <v>76.095514921275253</v>
      </c>
    </row>
    <row r="77" spans="1:7">
      <c r="A77" s="34">
        <v>36</v>
      </c>
      <c r="B77" s="73">
        <v>643.25</v>
      </c>
      <c r="C77" s="35">
        <f t="shared" si="4"/>
        <v>0.64324999999999999</v>
      </c>
      <c r="D77" s="12">
        <f t="shared" si="5"/>
        <v>4.5156149999999999E-2</v>
      </c>
      <c r="E77" s="12">
        <f t="shared" si="6"/>
        <v>2.0158995535714285E-3</v>
      </c>
      <c r="F77" s="12">
        <f>E77/Calculation!K$19*1000</f>
        <v>2.2784550154588963E-3</v>
      </c>
      <c r="G77" s="12">
        <f t="shared" si="7"/>
        <v>76.163921171905329</v>
      </c>
    </row>
    <row r="78" spans="1:7">
      <c r="A78" s="34">
        <v>36.5</v>
      </c>
      <c r="B78" s="73">
        <v>670.68</v>
      </c>
      <c r="C78" s="35">
        <f t="shared" si="4"/>
        <v>0.67067999999999994</v>
      </c>
      <c r="D78" s="12">
        <f t="shared" si="5"/>
        <v>4.7081735999999999E-2</v>
      </c>
      <c r="E78" s="12">
        <f t="shared" si="6"/>
        <v>2.1018632142857144E-3</v>
      </c>
      <c r="F78" s="12">
        <f>E78/Calculation!K$19*1000</f>
        <v>2.3756147839377735E-3</v>
      </c>
      <c r="G78" s="12">
        <f t="shared" si="7"/>
        <v>76.233732218896279</v>
      </c>
    </row>
    <row r="79" spans="1:7">
      <c r="A79" s="34">
        <v>37</v>
      </c>
      <c r="B79" s="73">
        <v>690.63</v>
      </c>
      <c r="C79" s="35">
        <f t="shared" si="4"/>
        <v>0.69062999999999997</v>
      </c>
      <c r="D79" s="12">
        <f t="shared" si="5"/>
        <v>4.8482226000000003E-2</v>
      </c>
      <c r="E79" s="12">
        <f t="shared" si="6"/>
        <v>2.1643850892857147E-3</v>
      </c>
      <c r="F79" s="12">
        <f>E79/Calculation!K$19*1000</f>
        <v>2.4462796538303588E-3</v>
      </c>
      <c r="G79" s="12">
        <f t="shared" si="7"/>
        <v>76.306060635462799</v>
      </c>
    </row>
    <row r="80" spans="1:7">
      <c r="A80" s="34">
        <v>37.5</v>
      </c>
      <c r="B80" s="73">
        <v>703.6</v>
      </c>
      <c r="C80" s="35">
        <f t="shared" si="4"/>
        <v>0.7036</v>
      </c>
      <c r="D80" s="12">
        <f t="shared" si="5"/>
        <v>4.9392720000000001E-2</v>
      </c>
      <c r="E80" s="12">
        <f t="shared" si="6"/>
        <v>2.2050321428571432E-3</v>
      </c>
      <c r="F80" s="12">
        <f>E80/Calculation!K$19*1000</f>
        <v>2.4922206745073921E-3</v>
      </c>
      <c r="G80" s="12">
        <f t="shared" si="7"/>
        <v>76.380138140387871</v>
      </c>
    </row>
    <row r="81" spans="1:7">
      <c r="A81" s="34">
        <v>38</v>
      </c>
      <c r="B81" s="73">
        <v>744.99</v>
      </c>
      <c r="C81" s="35">
        <f t="shared" si="4"/>
        <v>0.74499000000000004</v>
      </c>
      <c r="D81" s="12">
        <f t="shared" si="5"/>
        <v>5.2298298000000007E-2</v>
      </c>
      <c r="E81" s="12">
        <f t="shared" si="6"/>
        <v>2.3347454464285717E-3</v>
      </c>
      <c r="F81" s="12">
        <f>E81/Calculation!K$19*1000</f>
        <v>2.6388281414173702E-3</v>
      </c>
      <c r="G81" s="12">
        <f t="shared" si="7"/>
        <v>76.457103872626746</v>
      </c>
    </row>
    <row r="82" spans="1:7">
      <c r="A82" s="34">
        <v>38.5</v>
      </c>
      <c r="B82" s="73">
        <v>779.74</v>
      </c>
      <c r="C82" s="35">
        <f t="shared" si="4"/>
        <v>0.77973999999999999</v>
      </c>
      <c r="D82" s="12">
        <f t="shared" si="5"/>
        <v>5.4737748000000003E-2</v>
      </c>
      <c r="E82" s="12">
        <f t="shared" si="6"/>
        <v>2.4436494642857145E-3</v>
      </c>
      <c r="F82" s="12">
        <f>E82/Calculation!K$19*1000</f>
        <v>2.7619160726839024E-3</v>
      </c>
      <c r="G82" s="12">
        <f t="shared" si="7"/>
        <v>76.53811503583826</v>
      </c>
    </row>
    <row r="83" spans="1:7">
      <c r="A83" s="34">
        <v>39</v>
      </c>
      <c r="B83" s="73">
        <v>820.81</v>
      </c>
      <c r="C83" s="35">
        <f t="shared" si="4"/>
        <v>0.82080999999999993</v>
      </c>
      <c r="D83" s="12">
        <f t="shared" si="5"/>
        <v>5.7620861999999995E-2</v>
      </c>
      <c r="E83" s="12">
        <f t="shared" si="6"/>
        <v>2.5723599107142859E-3</v>
      </c>
      <c r="F83" s="12">
        <f>E83/Calculation!K$19*1000</f>
        <v>2.9073900679966063E-3</v>
      </c>
      <c r="G83" s="12">
        <f t="shared" si="7"/>
        <v>76.623154627948466</v>
      </c>
    </row>
    <row r="84" spans="1:7">
      <c r="A84" s="34">
        <v>39.5</v>
      </c>
      <c r="B84" s="73">
        <v>863.2</v>
      </c>
      <c r="C84" s="35">
        <f t="shared" si="4"/>
        <v>0.86320000000000008</v>
      </c>
      <c r="D84" s="12">
        <f t="shared" si="5"/>
        <v>6.0596640000000007E-2</v>
      </c>
      <c r="E84" s="12">
        <f t="shared" si="6"/>
        <v>2.7052071428571435E-3</v>
      </c>
      <c r="F84" s="12">
        <f>E84/Calculation!K$19*1000</f>
        <v>3.0575396336480682E-3</v>
      </c>
      <c r="G84" s="12">
        <f t="shared" si="7"/>
        <v>76.71262857347314</v>
      </c>
    </row>
    <row r="85" spans="1:7">
      <c r="A85" s="34">
        <v>40</v>
      </c>
      <c r="B85" s="73">
        <v>912.75</v>
      </c>
      <c r="C85" s="35">
        <f t="shared" si="4"/>
        <v>0.91274999999999995</v>
      </c>
      <c r="D85" s="12">
        <f t="shared" si="5"/>
        <v>6.4075049999999995E-2</v>
      </c>
      <c r="E85" s="12">
        <f t="shared" si="6"/>
        <v>2.8604933035714284E-3</v>
      </c>
      <c r="F85" s="12">
        <f>E85/Calculation!K$19*1000</f>
        <v>3.2330506262885465E-3</v>
      </c>
      <c r="G85" s="12">
        <f t="shared" si="7"/>
        <v>76.806987427372192</v>
      </c>
    </row>
    <row r="86" spans="1:7">
      <c r="A86" s="34">
        <v>40.5</v>
      </c>
      <c r="B86" s="73">
        <v>974.76</v>
      </c>
      <c r="C86" s="35">
        <f t="shared" si="4"/>
        <v>0.97475999999999996</v>
      </c>
      <c r="D86" s="12">
        <f t="shared" si="5"/>
        <v>6.8428152000000006E-2</v>
      </c>
      <c r="E86" s="12">
        <f t="shared" si="6"/>
        <v>3.0548282142857149E-3</v>
      </c>
      <c r="F86" s="12">
        <f>E86/Calculation!K$19*1000</f>
        <v>3.4526961692479046E-3</v>
      </c>
      <c r="G86" s="12">
        <f t="shared" si="7"/>
        <v>76.907273629305237</v>
      </c>
    </row>
    <row r="87" spans="1:7">
      <c r="A87" s="34">
        <v>41</v>
      </c>
      <c r="B87" s="73">
        <v>1046.75</v>
      </c>
      <c r="C87" s="35">
        <f t="shared" si="4"/>
        <v>1.0467500000000001</v>
      </c>
      <c r="D87" s="12">
        <f t="shared" si="5"/>
        <v>7.3481850000000015E-2</v>
      </c>
      <c r="E87" s="12">
        <f t="shared" si="6"/>
        <v>3.2804397321428581E-3</v>
      </c>
      <c r="F87" s="12">
        <f>E87/Calculation!K$19*1000</f>
        <v>3.7076918576472613E-3</v>
      </c>
      <c r="G87" s="12">
        <f t="shared" si="7"/>
        <v>77.014679449708666</v>
      </c>
    </row>
    <row r="88" spans="1:7">
      <c r="A88" s="34">
        <v>41.5</v>
      </c>
      <c r="B88" s="73">
        <v>1046.58</v>
      </c>
      <c r="C88" s="35">
        <f t="shared" si="4"/>
        <v>1.0465799999999998</v>
      </c>
      <c r="D88" s="12">
        <f t="shared" si="5"/>
        <v>7.3469915999999996E-2</v>
      </c>
      <c r="E88" s="12">
        <f t="shared" si="6"/>
        <v>3.2799069642857142E-3</v>
      </c>
      <c r="F88" s="12">
        <f>E88/Calculation!K$19*1000</f>
        <v>3.7070897008612078E-3</v>
      </c>
      <c r="G88" s="12">
        <f t="shared" si="7"/>
        <v>77.125901173086291</v>
      </c>
    </row>
    <row r="89" spans="1:7">
      <c r="A89" s="34">
        <v>42</v>
      </c>
      <c r="B89" s="73">
        <v>932.7</v>
      </c>
      <c r="C89" s="35">
        <f t="shared" si="4"/>
        <v>0.93270000000000008</v>
      </c>
      <c r="D89" s="12">
        <f t="shared" si="5"/>
        <v>6.5475540000000013E-2</v>
      </c>
      <c r="E89" s="12">
        <f t="shared" si="6"/>
        <v>2.9230151785714295E-3</v>
      </c>
      <c r="F89" s="12">
        <f>E89/Calculation!K$19*1000</f>
        <v>3.3037154961811327E-3</v>
      </c>
      <c r="G89" s="12">
        <f t="shared" si="7"/>
        <v>77.231063251041931</v>
      </c>
    </row>
    <row r="90" spans="1:7">
      <c r="A90" s="34">
        <v>42.5</v>
      </c>
      <c r="B90" s="73">
        <v>800.19</v>
      </c>
      <c r="C90" s="35">
        <f t="shared" si="4"/>
        <v>0.80019000000000007</v>
      </c>
      <c r="D90" s="12">
        <f t="shared" si="5"/>
        <v>5.617333800000001E-2</v>
      </c>
      <c r="E90" s="12">
        <f t="shared" si="6"/>
        <v>2.5077383035714291E-3</v>
      </c>
      <c r="F90" s="12">
        <f>E90/Calculation!K$19*1000</f>
        <v>2.8343519919472289E-3</v>
      </c>
      <c r="G90" s="12">
        <f t="shared" si="7"/>
        <v>77.323134263363855</v>
      </c>
    </row>
    <row r="91" spans="1:7">
      <c r="A91" s="34">
        <v>43</v>
      </c>
      <c r="B91" s="73">
        <v>682.32</v>
      </c>
      <c r="C91" s="35">
        <f t="shared" si="4"/>
        <v>0.68232000000000004</v>
      </c>
      <c r="D91" s="12">
        <f t="shared" si="5"/>
        <v>4.7898864000000006E-2</v>
      </c>
      <c r="E91" s="12">
        <f t="shared" si="6"/>
        <v>2.1383421428571433E-3</v>
      </c>
      <c r="F91" s="12">
        <f>E91/Calculation!K$19*1000</f>
        <v>2.4168448132886357E-3</v>
      </c>
      <c r="G91" s="12">
        <f t="shared" si="7"/>
        <v>77.401902215442391</v>
      </c>
    </row>
    <row r="92" spans="1:7">
      <c r="A92" s="34">
        <v>43.5</v>
      </c>
      <c r="B92" s="73">
        <v>597.86</v>
      </c>
      <c r="C92" s="35">
        <f t="shared" si="4"/>
        <v>0.59786000000000006</v>
      </c>
      <c r="D92" s="12">
        <f t="shared" si="5"/>
        <v>4.1969772000000009E-2</v>
      </c>
      <c r="E92" s="12">
        <f t="shared" si="6"/>
        <v>1.8736505357142862E-3</v>
      </c>
      <c r="F92" s="12">
        <f>E92/Calculation!K$19*1000</f>
        <v>2.117679153582987E-3</v>
      </c>
      <c r="G92" s="12">
        <f t="shared" si="7"/>
        <v>77.469920074945463</v>
      </c>
    </row>
    <row r="93" spans="1:7">
      <c r="A93" s="34">
        <v>44</v>
      </c>
      <c r="B93" s="73">
        <v>535.67999999999995</v>
      </c>
      <c r="C93" s="35">
        <f t="shared" si="4"/>
        <v>0.53567999999999993</v>
      </c>
      <c r="D93" s="12">
        <f t="shared" si="5"/>
        <v>3.7604736E-2</v>
      </c>
      <c r="E93" s="12">
        <f t="shared" si="6"/>
        <v>1.6787828571428573E-3</v>
      </c>
      <c r="F93" s="12">
        <f>E93/Calculation!K$19*1000</f>
        <v>1.8974314538375777E-3</v>
      </c>
      <c r="G93" s="12">
        <f t="shared" si="7"/>
        <v>77.530146734056771</v>
      </c>
    </row>
    <row r="94" spans="1:7">
      <c r="A94" s="34">
        <v>44.5</v>
      </c>
      <c r="B94" s="73">
        <v>469.67</v>
      </c>
      <c r="C94" s="35">
        <f t="shared" si="4"/>
        <v>0.46967000000000003</v>
      </c>
      <c r="D94" s="12">
        <f t="shared" si="5"/>
        <v>3.2970834000000004E-2</v>
      </c>
      <c r="E94" s="12">
        <f t="shared" si="6"/>
        <v>1.4719122321428574E-3</v>
      </c>
      <c r="F94" s="12">
        <f>E94/Calculation!K$19*1000</f>
        <v>1.6636175159122893E-3</v>
      </c>
      <c r="G94" s="12">
        <f t="shared" si="7"/>
        <v>77.58356246860302</v>
      </c>
    </row>
    <row r="95" spans="1:7">
      <c r="A95" s="34">
        <v>45</v>
      </c>
      <c r="B95" s="73">
        <v>431.77</v>
      </c>
      <c r="C95" s="35">
        <f t="shared" si="4"/>
        <v>0.43176999999999999</v>
      </c>
      <c r="D95" s="12">
        <f t="shared" si="5"/>
        <v>3.0310254000000002E-2</v>
      </c>
      <c r="E95" s="12">
        <f t="shared" si="6"/>
        <v>1.3531363392857145E-3</v>
      </c>
      <c r="F95" s="12">
        <f>E95/Calculation!K$19*1000</f>
        <v>1.5293719736100863E-3</v>
      </c>
      <c r="G95" s="12">
        <f t="shared" si="7"/>
        <v>77.631457310945862</v>
      </c>
    </row>
    <row r="96" spans="1:7">
      <c r="A96" s="34">
        <v>45.5</v>
      </c>
      <c r="B96" s="73">
        <v>409.16</v>
      </c>
      <c r="C96" s="35">
        <f t="shared" si="4"/>
        <v>0.40916000000000002</v>
      </c>
      <c r="D96" s="12">
        <f t="shared" si="5"/>
        <v>2.8723032000000006E-2</v>
      </c>
      <c r="E96" s="12">
        <f t="shared" si="6"/>
        <v>1.2822782142857146E-3</v>
      </c>
      <c r="F96" s="12">
        <f>E96/Calculation!K$19*1000</f>
        <v>1.4492851210651571E-3</v>
      </c>
      <c r="G96" s="12">
        <f t="shared" si="7"/>
        <v>77.676137167365994</v>
      </c>
    </row>
    <row r="97" spans="1:7">
      <c r="A97" s="34">
        <v>46</v>
      </c>
      <c r="B97" s="73">
        <v>379.73</v>
      </c>
      <c r="C97" s="35">
        <f t="shared" si="4"/>
        <v>0.37973000000000001</v>
      </c>
      <c r="D97" s="12">
        <f t="shared" si="5"/>
        <v>2.6657046E-2</v>
      </c>
      <c r="E97" s="12">
        <f t="shared" si="6"/>
        <v>1.1900466964285714E-3</v>
      </c>
      <c r="F97" s="12">
        <f>E97/Calculation!K$19*1000</f>
        <v>1.3450411551033143E-3</v>
      </c>
      <c r="G97" s="12">
        <f t="shared" si="7"/>
        <v>77.718052061508516</v>
      </c>
    </row>
    <row r="98" spans="1:7">
      <c r="A98" s="34">
        <v>46.5</v>
      </c>
      <c r="B98" s="73">
        <v>354.96</v>
      </c>
      <c r="C98" s="35">
        <f t="shared" si="4"/>
        <v>0.35496</v>
      </c>
      <c r="D98" s="12">
        <f t="shared" si="5"/>
        <v>2.4918191999999999E-2</v>
      </c>
      <c r="E98" s="12">
        <f t="shared" si="6"/>
        <v>1.1124192857142857E-3</v>
      </c>
      <c r="F98" s="12">
        <f>E98/Calculation!K$19*1000</f>
        <v>1.2573033692767819E-3</v>
      </c>
      <c r="G98" s="12">
        <f t="shared" si="7"/>
        <v>77.757087229374221</v>
      </c>
    </row>
    <row r="99" spans="1:7">
      <c r="A99" s="34">
        <v>47</v>
      </c>
      <c r="B99" s="73">
        <v>341.32</v>
      </c>
      <c r="C99" s="35">
        <f t="shared" si="4"/>
        <v>0.34132000000000001</v>
      </c>
      <c r="D99" s="12">
        <f t="shared" si="5"/>
        <v>2.3960664E-2</v>
      </c>
      <c r="E99" s="12">
        <f t="shared" si="6"/>
        <v>1.0696725E-3</v>
      </c>
      <c r="F99" s="12">
        <f>E99/Calculation!K$19*1000</f>
        <v>1.2089891424429545E-3</v>
      </c>
      <c r="G99" s="12">
        <f t="shared" si="7"/>
        <v>77.794081617050011</v>
      </c>
    </row>
    <row r="100" spans="1:7">
      <c r="A100" s="34">
        <v>47.5</v>
      </c>
      <c r="B100" s="73">
        <v>314.72000000000003</v>
      </c>
      <c r="C100" s="35">
        <f t="shared" si="4"/>
        <v>0.31472</v>
      </c>
      <c r="D100" s="12">
        <f t="shared" si="5"/>
        <v>2.2093344000000001E-2</v>
      </c>
      <c r="E100" s="12">
        <f t="shared" si="6"/>
        <v>9.8631000000000001E-4</v>
      </c>
      <c r="F100" s="12">
        <f>E100/Calculation!K$19*1000</f>
        <v>1.1147693159195087E-3</v>
      </c>
      <c r="G100" s="12">
        <f t="shared" si="7"/>
        <v>77.82893799392545</v>
      </c>
    </row>
    <row r="101" spans="1:7">
      <c r="A101" s="34">
        <v>48</v>
      </c>
      <c r="B101" s="73">
        <v>318.70999999999998</v>
      </c>
      <c r="C101" s="35">
        <f t="shared" si="4"/>
        <v>0.31870999999999999</v>
      </c>
      <c r="D101" s="12">
        <f t="shared" si="5"/>
        <v>2.2373442E-2</v>
      </c>
      <c r="E101" s="12">
        <f t="shared" si="6"/>
        <v>9.9881437500000001E-4</v>
      </c>
      <c r="F101" s="12">
        <f>E101/Calculation!K$20*1000</f>
        <v>1.2160366323646155E-3</v>
      </c>
      <c r="G101" s="12">
        <f t="shared" si="7"/>
        <v>77.863900083149716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J3" sqref="J3:K20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32" t="s">
        <v>41</v>
      </c>
      <c r="B1" s="132"/>
      <c r="D1" s="163" t="s">
        <v>4</v>
      </c>
      <c r="E1" s="163" t="s">
        <v>5</v>
      </c>
      <c r="F1" s="132" t="s">
        <v>140</v>
      </c>
      <c r="G1" s="132"/>
      <c r="H1" s="132"/>
      <c r="I1" s="132"/>
      <c r="J1" s="132" t="s">
        <v>42</v>
      </c>
      <c r="K1" s="132"/>
      <c r="L1" s="132"/>
      <c r="M1" s="132"/>
      <c r="N1" s="164" t="s">
        <v>43</v>
      </c>
      <c r="O1" s="130"/>
      <c r="P1" s="130"/>
      <c r="Q1" s="165"/>
      <c r="R1" s="132" t="s">
        <v>65</v>
      </c>
      <c r="S1" s="132"/>
      <c r="T1" s="132"/>
      <c r="U1" s="132"/>
    </row>
    <row r="2" spans="1:21">
      <c r="A2" s="132" t="s">
        <v>34</v>
      </c>
      <c r="B2" s="132"/>
      <c r="D2" s="163"/>
      <c r="E2" s="163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32" t="s">
        <v>35</v>
      </c>
      <c r="B3" s="14" t="s">
        <v>38</v>
      </c>
      <c r="D3" s="16">
        <v>0</v>
      </c>
      <c r="E3" s="61">
        <v>-0.16666666666666666</v>
      </c>
      <c r="F3" s="51">
        <v>48.904677323860277</v>
      </c>
      <c r="G3" s="51">
        <v>0.18048769091558914</v>
      </c>
      <c r="H3" s="13">
        <f>F3*Calculation!I3/Calculation!F22</f>
        <v>48.904677323860284</v>
      </c>
      <c r="I3" s="13">
        <f>G3*Calculation!I3/Calculation!F22</f>
        <v>0.18048769091558917</v>
      </c>
      <c r="J3" s="13">
        <v>0.36264061574896395</v>
      </c>
      <c r="K3" s="13">
        <v>1.2818611660515681E-2</v>
      </c>
      <c r="L3" s="13">
        <f>J3*Calculation!I3/Calculation!F22</f>
        <v>0.36264061574896389</v>
      </c>
      <c r="M3" s="13">
        <f>K3*Calculation!I3/Calculation!F22</f>
        <v>1.2818611660515681E-2</v>
      </c>
      <c r="N3" s="13">
        <v>49.358867610324737</v>
      </c>
      <c r="O3" s="13">
        <v>0.12008497170571371</v>
      </c>
      <c r="P3" s="13">
        <f>N3*Calculation!I3/Calculation!F22</f>
        <v>49.358867610324737</v>
      </c>
      <c r="Q3" s="13">
        <f>O3*Calculation!I3/Calculation!F22</f>
        <v>0.12008497170571371</v>
      </c>
      <c r="R3" s="13">
        <v>0</v>
      </c>
      <c r="S3" s="13">
        <v>0</v>
      </c>
      <c r="T3" s="13">
        <f>R3*Calculation!I3/Calculation!F22</f>
        <v>0</v>
      </c>
      <c r="U3" s="13">
        <f>S3*Calculation!I3/Calculation!F22</f>
        <v>0</v>
      </c>
    </row>
    <row r="4" spans="1:21">
      <c r="A4" s="132"/>
      <c r="B4" s="14" t="s">
        <v>39</v>
      </c>
      <c r="D4" s="16">
        <v>0</v>
      </c>
      <c r="E4" s="63">
        <v>0.16666666666666666</v>
      </c>
      <c r="F4" s="51">
        <v>45.411486086441684</v>
      </c>
      <c r="G4" s="51">
        <v>0.93996354182702668</v>
      </c>
      <c r="H4" s="13">
        <f>F4*Calculation!I4/Calculation!K3</f>
        <v>45.468571549781018</v>
      </c>
      <c r="I4" s="13">
        <f>G4*Calculation!I4/Calculation!K3</f>
        <v>0.94114514275955585</v>
      </c>
      <c r="J4" s="13">
        <v>0.57726465364120783</v>
      </c>
      <c r="K4" s="13">
        <v>3.8455834981546998E-2</v>
      </c>
      <c r="L4" s="13">
        <f>J4*Calculation!I4/Calculation!K3</f>
        <v>0.57799031631077569</v>
      </c>
      <c r="M4" s="13">
        <f>K4*Calculation!I4/Calculation!K3</f>
        <v>3.850417669742575E-2</v>
      </c>
      <c r="N4" s="13">
        <v>43.708021093533169</v>
      </c>
      <c r="O4" s="13">
        <v>0.76699308129518451</v>
      </c>
      <c r="P4" s="13">
        <f>N4*Calculation!I4/Calculation!K3</f>
        <v>43.762965180388647</v>
      </c>
      <c r="Q4" s="13">
        <f>O4*Calculation!I4/Calculation!K3</f>
        <v>0.76795724607368254</v>
      </c>
      <c r="R4" s="13">
        <v>1.0717647910782824</v>
      </c>
      <c r="S4" s="13">
        <v>2.5085825296094995E-2</v>
      </c>
      <c r="T4" s="13">
        <f>R4*Calculation!I4/Calculation!K3</f>
        <v>1.0731120755422401</v>
      </c>
      <c r="U4" s="13">
        <f>S4*Calculation!I4/Calculation!K3</f>
        <v>2.5117359960200706E-2</v>
      </c>
    </row>
    <row r="5" spans="1:21">
      <c r="A5" s="15" t="s">
        <v>37</v>
      </c>
      <c r="B5" s="15">
        <v>180.16</v>
      </c>
      <c r="D5" s="16">
        <v>1</v>
      </c>
      <c r="E5" s="63">
        <v>2</v>
      </c>
      <c r="F5" s="51">
        <v>45.918442865600944</v>
      </c>
      <c r="G5" s="51">
        <v>0.14488433947936361</v>
      </c>
      <c r="H5" s="13">
        <f>F5*Calculation!I5/Calculation!K4</f>
        <v>46.095739512373875</v>
      </c>
      <c r="I5" s="13">
        <f>G5*Calculation!I5/Calculation!K4</f>
        <v>0.14544375539063017</v>
      </c>
      <c r="J5" s="13">
        <v>0.60686796921255182</v>
      </c>
      <c r="K5" s="13">
        <v>1.2818611660515681E-2</v>
      </c>
      <c r="L5" s="13">
        <f>J5*Calculation!I5/Calculation!K4</f>
        <v>0.60921115964455763</v>
      </c>
      <c r="M5" s="13">
        <f>K5*Calculation!I5/Calculation!K4</f>
        <v>1.2868105866369869E-2</v>
      </c>
      <c r="N5" s="13">
        <v>44.418540105467663</v>
      </c>
      <c r="O5" s="13">
        <v>0.25218577167028716</v>
      </c>
      <c r="P5" s="13">
        <f>N5*Calculation!I5/Calculation!K4</f>
        <v>44.590045446759362</v>
      </c>
      <c r="Q5" s="13">
        <f>O5*Calculation!I5/Calculation!K4</f>
        <v>0.25315949135437693</v>
      </c>
      <c r="R5" s="13">
        <v>0.97038163516547171</v>
      </c>
      <c r="S5" s="13">
        <v>2.5085825296094988E-2</v>
      </c>
      <c r="T5" s="13">
        <f>R5*Calculation!I5/Calculation!K4</f>
        <v>0.97412839571021481</v>
      </c>
      <c r="U5" s="13">
        <f>S5*Calculation!I5/Calculation!K4</f>
        <v>2.518268469351722E-2</v>
      </c>
    </row>
    <row r="6" spans="1:21">
      <c r="A6" s="15" t="s">
        <v>40</v>
      </c>
      <c r="B6" s="15">
        <v>180.16</v>
      </c>
      <c r="D6" s="16">
        <v>2</v>
      </c>
      <c r="E6" s="63">
        <v>3.3333333333333335</v>
      </c>
      <c r="F6" s="51">
        <v>41.148608644168149</v>
      </c>
      <c r="G6" s="51">
        <v>0.12177681077489848</v>
      </c>
      <c r="H6" s="13">
        <f>F6*Calculation!I6/Calculation!K5</f>
        <v>41.583977598410769</v>
      </c>
      <c r="I6" s="13">
        <f>G6*Calculation!I6/Calculation!K5</f>
        <v>0.12306525878091831</v>
      </c>
      <c r="J6" s="13">
        <v>0.60686796921255182</v>
      </c>
      <c r="K6" s="13">
        <v>1.2818611660515679E-2</v>
      </c>
      <c r="L6" s="13">
        <f>J6*Calculation!I6/Calculation!K5</f>
        <v>0.61328887824994294</v>
      </c>
      <c r="M6" s="13">
        <f>K6*Calculation!I6/Calculation!K5</f>
        <v>1.2954237766412505E-2</v>
      </c>
      <c r="N6" s="13">
        <v>43.152928115459346</v>
      </c>
      <c r="O6" s="13">
        <v>0.12609288583514486</v>
      </c>
      <c r="P6" s="13">
        <f>N6*Calculation!I6/Calculation!K5</f>
        <v>43.60950358192526</v>
      </c>
      <c r="Q6" s="13">
        <f>O6*Calculation!I6/Calculation!K5</f>
        <v>0.12742699966431953</v>
      </c>
      <c r="R6" s="13">
        <v>0.78209863132739521</v>
      </c>
      <c r="S6" s="13">
        <v>0</v>
      </c>
      <c r="T6" s="13">
        <f>R6*Calculation!I6/Calculation!K5</f>
        <v>0.79037355177926449</v>
      </c>
      <c r="U6" s="13">
        <f>S6*Calculation!I6/Calculation!K5</f>
        <v>0</v>
      </c>
    </row>
    <row r="7" spans="1:21">
      <c r="A7" s="31" t="s">
        <v>116</v>
      </c>
      <c r="B7" s="31">
        <v>46.03</v>
      </c>
      <c r="D7" s="16">
        <v>3</v>
      </c>
      <c r="E7" s="63">
        <v>4.666666666666667</v>
      </c>
      <c r="F7" s="51">
        <v>29.25177619893428</v>
      </c>
      <c r="G7" s="51">
        <v>0.13909818035237162</v>
      </c>
      <c r="H7" s="13">
        <f>F7*Calculation!I7/Calculation!K6</f>
        <v>29.985886556776052</v>
      </c>
      <c r="I7" s="13">
        <f>G7*Calculation!I7/Calculation!K6</f>
        <v>0.14258902529317691</v>
      </c>
      <c r="J7" s="13">
        <v>0.69567791592658379</v>
      </c>
      <c r="K7" s="13">
        <v>2.5637223321031358E-2</v>
      </c>
      <c r="L7" s="13">
        <f>J7*Calculation!I7/Calculation!K6</f>
        <v>0.71313683398784278</v>
      </c>
      <c r="M7" s="13">
        <f>K7*Calculation!I7/Calculation!K6</f>
        <v>2.6280621898207582E-2</v>
      </c>
      <c r="N7" s="13">
        <v>41.876214265889544</v>
      </c>
      <c r="O7" s="13">
        <v>0.19515288183455068</v>
      </c>
      <c r="P7" s="13">
        <f>N7*Calculation!I7/Calculation!K6</f>
        <v>42.927150880156091</v>
      </c>
      <c r="Q7" s="13">
        <f>O7*Calculation!I7/Calculation!K6</f>
        <v>0.20005049047694942</v>
      </c>
      <c r="R7" s="13">
        <v>0.7241653993772178</v>
      </c>
      <c r="S7" s="13">
        <v>2.5085825296094988E-2</v>
      </c>
      <c r="T7" s="13">
        <f>R7*Calculation!I7/Calculation!K6</f>
        <v>0.74233924690216935</v>
      </c>
      <c r="U7" s="13">
        <f>S7*Calculation!I7/Calculation!K6</f>
        <v>2.5715385841739505E-2</v>
      </c>
    </row>
    <row r="8" spans="1:21">
      <c r="A8" s="15" t="s">
        <v>43</v>
      </c>
      <c r="B8" s="15">
        <v>60.05</v>
      </c>
      <c r="D8" s="16">
        <v>4</v>
      </c>
      <c r="E8" s="63">
        <v>6</v>
      </c>
      <c r="F8" s="51">
        <v>5.4285079928952049</v>
      </c>
      <c r="G8" s="51">
        <v>6.9327242433374819E-2</v>
      </c>
      <c r="H8" s="13">
        <f>F8*Calculation!I8/Calculation!K7</f>
        <v>5.7040553445546571</v>
      </c>
      <c r="I8" s="13">
        <f>G8*Calculation!I8/Calculation!K7</f>
        <v>7.2846245827193346E-2</v>
      </c>
      <c r="J8" s="13">
        <v>1.7984014209591475</v>
      </c>
      <c r="K8" s="13">
        <v>2.2202486678508014E-2</v>
      </c>
      <c r="L8" s="13">
        <f>J8*Calculation!I8/Calculation!K7</f>
        <v>1.8896870466622788</v>
      </c>
      <c r="M8" s="13">
        <f>K8*Calculation!I8/Calculation!K7</f>
        <v>2.3329469711880005E-2</v>
      </c>
      <c r="N8" s="13">
        <v>36.036636136552872</v>
      </c>
      <c r="O8" s="13">
        <v>0.26435483541028548</v>
      </c>
      <c r="P8" s="13">
        <f>N8*Calculation!I8/Calculation!K7</f>
        <v>37.865831131409379</v>
      </c>
      <c r="Q8" s="13">
        <f>O8*Calculation!I8/Calculation!K7</f>
        <v>0.27777330599023303</v>
      </c>
      <c r="R8" s="13">
        <v>7.2416539937721777E-2</v>
      </c>
      <c r="S8" s="13">
        <v>2.5085825296094974E-2</v>
      </c>
      <c r="T8" s="13">
        <f>R8*Calculation!I8/Calculation!K7</f>
        <v>7.6092353959234874E-2</v>
      </c>
      <c r="U8" s="13">
        <f>S8*Calculation!I8/Calculation!K7</f>
        <v>2.6359164624981932E-2</v>
      </c>
    </row>
    <row r="9" spans="1:21">
      <c r="A9" s="31" t="s">
        <v>67</v>
      </c>
      <c r="B9" s="31">
        <v>74.08</v>
      </c>
      <c r="D9" s="16">
        <v>5</v>
      </c>
      <c r="E9" s="63">
        <v>7.333333333333333</v>
      </c>
      <c r="F9" s="51">
        <v>0</v>
      </c>
      <c r="G9" s="51">
        <v>0</v>
      </c>
      <c r="H9" s="13">
        <f>F9*Calculation!I9/Calculation!K8</f>
        <v>0</v>
      </c>
      <c r="I9" s="13">
        <f>G9*Calculation!I9/Calculation!K8</f>
        <v>0</v>
      </c>
      <c r="J9" s="13">
        <v>2.3460627590290115</v>
      </c>
      <c r="K9" s="13">
        <v>8.9730281623609756E-2</v>
      </c>
      <c r="L9" s="13">
        <f>J9*Calculation!I9/Calculation!K8</f>
        <v>2.4875108130893167</v>
      </c>
      <c r="M9" s="13">
        <f>K9*Calculation!I9/Calculation!K8</f>
        <v>9.51402706262892E-2</v>
      </c>
      <c r="N9" s="13">
        <v>35.292811545933951</v>
      </c>
      <c r="O9" s="13">
        <v>0.83618451546602579</v>
      </c>
      <c r="P9" s="13">
        <f>N9*Calculation!I9/Calculation!K8</f>
        <v>37.420674279476323</v>
      </c>
      <c r="Q9" s="13">
        <f>O9*Calculation!I9/Calculation!K8</f>
        <v>0.88659948074895834</v>
      </c>
      <c r="R9" s="13">
        <v>0</v>
      </c>
      <c r="S9" s="13">
        <v>0</v>
      </c>
      <c r="T9" s="13">
        <f>R9*Calculation!I9/Calculation!K8</f>
        <v>0</v>
      </c>
      <c r="U9" s="13">
        <f>S9*Calculation!I9/Calculation!K8</f>
        <v>0</v>
      </c>
    </row>
    <row r="10" spans="1:21">
      <c r="A10" s="31" t="s">
        <v>66</v>
      </c>
      <c r="B10" s="31">
        <v>88.11</v>
      </c>
      <c r="D10" s="16">
        <v>6</v>
      </c>
      <c r="E10" s="63">
        <v>8.6666666666666661</v>
      </c>
      <c r="F10" s="51">
        <v>0</v>
      </c>
      <c r="G10" s="51">
        <v>0</v>
      </c>
      <c r="H10" s="13">
        <f>F10*Calculation!I10/Calculation!K9</f>
        <v>0</v>
      </c>
      <c r="I10" s="13">
        <f>G10*Calculation!I10/Calculation!K9</f>
        <v>0</v>
      </c>
      <c r="J10" s="13">
        <v>2.3534635879218473</v>
      </c>
      <c r="K10" s="13">
        <v>6.6607460035524035E-2</v>
      </c>
      <c r="L10" s="13">
        <f>J10*Calculation!I10/Calculation!K9</f>
        <v>2.5042698426772776</v>
      </c>
      <c r="M10" s="13">
        <f>K10*Calculation!I10/Calculation!K9</f>
        <v>7.0875561585206026E-2</v>
      </c>
      <c r="N10" s="13">
        <v>35.170691090757693</v>
      </c>
      <c r="O10" s="13">
        <v>0.41731770478407104</v>
      </c>
      <c r="P10" s="13">
        <f>N10*Calculation!I10/Calculation!K9</f>
        <v>37.42437380239074</v>
      </c>
      <c r="Q10" s="13">
        <f>O10*Calculation!I10/Calculation!K9</f>
        <v>0.44405876864611704</v>
      </c>
      <c r="R10" s="13">
        <v>0</v>
      </c>
      <c r="S10" s="13">
        <v>0</v>
      </c>
      <c r="T10" s="13">
        <f>R10*Calculation!I10/Calculation!K9</f>
        <v>0</v>
      </c>
      <c r="U10" s="13">
        <f>S10*Calculation!I10/Calculation!K9</f>
        <v>0</v>
      </c>
    </row>
    <row r="11" spans="1:21">
      <c r="A11" s="15" t="s">
        <v>42</v>
      </c>
      <c r="B11" s="15">
        <v>90.08</v>
      </c>
      <c r="D11" s="16">
        <v>7</v>
      </c>
      <c r="E11" s="63">
        <v>10</v>
      </c>
      <c r="F11" s="51">
        <v>0</v>
      </c>
      <c r="G11" s="51">
        <v>0</v>
      </c>
      <c r="H11" s="13">
        <f>F11*Calculation!I11/Calculation!K10</f>
        <v>0</v>
      </c>
      <c r="I11" s="13">
        <f>G11*Calculation!I11/Calculation!K10</f>
        <v>0</v>
      </c>
      <c r="J11" s="13">
        <v>2.5532859680284195</v>
      </c>
      <c r="K11" s="13">
        <v>0</v>
      </c>
      <c r="L11" s="13">
        <f>J11*Calculation!I11/Calculation!K10</f>
        <v>2.7228940915111139</v>
      </c>
      <c r="M11" s="13">
        <f>K11*Calculation!I11/Calculation!K10</f>
        <v>0</v>
      </c>
      <c r="N11" s="13">
        <v>36.269775187343882</v>
      </c>
      <c r="O11" s="13">
        <v>0.2331390507910098</v>
      </c>
      <c r="P11" s="13">
        <f>N11*Calculation!I11/Calculation!K10</f>
        <v>38.679081698911297</v>
      </c>
      <c r="Q11" s="13">
        <f>O11*Calculation!I11/Calculation!K10</f>
        <v>0.24862586950631935</v>
      </c>
      <c r="R11" s="13">
        <v>0</v>
      </c>
      <c r="S11" s="13">
        <v>0</v>
      </c>
      <c r="T11" s="13">
        <f>R11*Calculation!I11/Calculation!K10</f>
        <v>0</v>
      </c>
      <c r="U11" s="13">
        <f>S11*Calculation!I11/Calculation!K10</f>
        <v>0</v>
      </c>
    </row>
    <row r="12" spans="1:21">
      <c r="A12" s="15" t="s">
        <v>44</v>
      </c>
      <c r="B12" s="15">
        <v>46.07</v>
      </c>
      <c r="D12" s="16">
        <v>8</v>
      </c>
      <c r="E12" s="63">
        <v>11.333333333333334</v>
      </c>
      <c r="F12" s="51">
        <v>0</v>
      </c>
      <c r="G12" s="51">
        <v>0</v>
      </c>
      <c r="H12" s="13">
        <f>F12*Calculation!I12/Calculation!K11</f>
        <v>0</v>
      </c>
      <c r="I12" s="13">
        <f>G12*Calculation!I12/Calculation!K11</f>
        <v>0</v>
      </c>
      <c r="J12" s="13">
        <v>2.612492599171107</v>
      </c>
      <c r="K12" s="13">
        <v>5.5875032824679802E-2</v>
      </c>
      <c r="L12" s="13">
        <f>J12*Calculation!I12/Calculation!K11</f>
        <v>2.7923751676779087</v>
      </c>
      <c r="M12" s="13">
        <f>K12*Calculation!I12/Calculation!K11</f>
        <v>5.9722295176004449E-2</v>
      </c>
      <c r="N12" s="13">
        <v>35.037468776019978</v>
      </c>
      <c r="O12" s="13">
        <v>0.48379147531503447</v>
      </c>
      <c r="P12" s="13">
        <f>N12*Calculation!I12/Calculation!K11</f>
        <v>37.449965515496693</v>
      </c>
      <c r="Q12" s="13">
        <f>O12*Calculation!I12/Calculation!K11</f>
        <v>0.51710282449511447</v>
      </c>
      <c r="R12" s="13">
        <v>0</v>
      </c>
      <c r="S12" s="13">
        <v>0</v>
      </c>
      <c r="T12" s="13">
        <f>R12*Calculation!I12/Calculation!K11</f>
        <v>0</v>
      </c>
      <c r="U12" s="13">
        <f>S12*Calculation!I12/Calculation!K11</f>
        <v>0</v>
      </c>
    </row>
    <row r="13" spans="1:21">
      <c r="D13" s="16">
        <v>9</v>
      </c>
      <c r="E13" s="63">
        <v>12.666666666666666</v>
      </c>
      <c r="F13" s="51">
        <v>0</v>
      </c>
      <c r="G13" s="51">
        <v>0</v>
      </c>
      <c r="H13" s="13">
        <f>F13*Calculation!I13/Calculation!K12</f>
        <v>0</v>
      </c>
      <c r="I13" s="13">
        <f>G13*Calculation!I13/Calculation!K12</f>
        <v>0</v>
      </c>
      <c r="J13" s="13">
        <v>2.8049141503848429</v>
      </c>
      <c r="K13" s="13">
        <v>8.4057257930732363E-2</v>
      </c>
      <c r="L13" s="13">
        <f>J13*Calculation!I13/Calculation!K12</f>
        <v>3.0003991141219633</v>
      </c>
      <c r="M13" s="13">
        <f>K13*Calculation!I13/Calculation!K12</f>
        <v>8.9915522796406216E-2</v>
      </c>
      <c r="N13" s="13">
        <v>36.291978906466838</v>
      </c>
      <c r="O13" s="13">
        <v>0.99490254580003468</v>
      </c>
      <c r="P13" s="13">
        <f>N13*Calculation!I13/Calculation!K12</f>
        <v>38.821302728910958</v>
      </c>
      <c r="Q13" s="13">
        <f>O13*Calculation!I13/Calculation!K12</f>
        <v>1.0642410273578407</v>
      </c>
      <c r="R13" s="13">
        <v>0</v>
      </c>
      <c r="S13" s="13">
        <v>0</v>
      </c>
      <c r="T13" s="13">
        <f>R13*Calculation!I13/Calculation!K12</f>
        <v>0</v>
      </c>
      <c r="U13" s="13">
        <f>S13*Calculation!I13/Calculation!K12</f>
        <v>0</v>
      </c>
    </row>
    <row r="14" spans="1:21">
      <c r="D14" s="16">
        <v>10</v>
      </c>
      <c r="E14" s="63">
        <v>14</v>
      </c>
      <c r="F14" s="51">
        <v>0</v>
      </c>
      <c r="G14" s="51">
        <v>0</v>
      </c>
      <c r="H14" s="13">
        <f>F14*Calculation!I14/Calculation!K13</f>
        <v>0</v>
      </c>
      <c r="I14" s="13">
        <f>G14*Calculation!I14/Calculation!K13</f>
        <v>0</v>
      </c>
      <c r="J14" s="13">
        <v>2.6865008880994674</v>
      </c>
      <c r="K14" s="13">
        <v>2.2202486678508014E-2</v>
      </c>
      <c r="L14" s="13">
        <f>J14*Calculation!I14/Calculation!K13</f>
        <v>2.8760752692980134</v>
      </c>
      <c r="M14" s="13">
        <f>K14*Calculation!I14/Calculation!K13</f>
        <v>2.3769217101636493E-2</v>
      </c>
      <c r="N14" s="13">
        <v>34.870940882597836</v>
      </c>
      <c r="O14" s="13">
        <v>0.43552695522471291</v>
      </c>
      <c r="P14" s="13">
        <f>N14*Calculation!I14/Calculation!K13</f>
        <v>37.331627595531018</v>
      </c>
      <c r="Q14" s="13">
        <f>O14*Calculation!I14/Calculation!K13</f>
        <v>0.46626014924588494</v>
      </c>
      <c r="R14" s="13">
        <v>0</v>
      </c>
      <c r="S14" s="13">
        <v>0</v>
      </c>
      <c r="T14" s="13">
        <f>R14*Calculation!I14/Calculation!K13</f>
        <v>0</v>
      </c>
      <c r="U14" s="13">
        <f>S14*Calculation!I14/Calculation!K13</f>
        <v>0</v>
      </c>
    </row>
    <row r="15" spans="1:21">
      <c r="D15" s="16">
        <v>11</v>
      </c>
      <c r="E15" s="63">
        <v>15.333333333333334</v>
      </c>
      <c r="F15" s="51">
        <v>0</v>
      </c>
      <c r="G15" s="51">
        <v>0</v>
      </c>
      <c r="H15" s="13">
        <f>F15*Calculation!I15/Calculation!K14</f>
        <v>0</v>
      </c>
      <c r="I15" s="13">
        <f>G15*Calculation!I15/Calculation!K14</f>
        <v>0</v>
      </c>
      <c r="J15" s="13">
        <v>2.8271166370633511</v>
      </c>
      <c r="K15" s="13">
        <v>1.2818611660515681E-2</v>
      </c>
      <c r="L15" s="13">
        <f>J15*Calculation!I15/Calculation!K14</f>
        <v>3.0291699057989248</v>
      </c>
      <c r="M15" s="13">
        <f>K15*Calculation!I15/Calculation!K14</f>
        <v>1.3734754402100452E-2</v>
      </c>
      <c r="N15" s="13">
        <v>36.51401609769637</v>
      </c>
      <c r="O15" s="13">
        <v>0.10175022359047113</v>
      </c>
      <c r="P15" s="13">
        <f>N15*Calculation!I15/Calculation!K14</f>
        <v>39.123663046987616</v>
      </c>
      <c r="Q15" s="13">
        <f>O15*Calculation!I15/Calculation!K14</f>
        <v>0.10902228481408788</v>
      </c>
      <c r="R15" s="13">
        <v>0</v>
      </c>
      <c r="S15" s="13">
        <v>0</v>
      </c>
      <c r="T15" s="13">
        <f>R15*Calculation!I15/Calculation!K14</f>
        <v>0</v>
      </c>
      <c r="U15" s="13">
        <f>S15*Calculation!I15/Calculation!K14</f>
        <v>0</v>
      </c>
    </row>
    <row r="16" spans="1:21">
      <c r="D16" s="16">
        <v>12</v>
      </c>
      <c r="E16" s="63">
        <v>16.666666666666668</v>
      </c>
      <c r="F16" s="51">
        <v>0</v>
      </c>
      <c r="G16" s="51">
        <v>0</v>
      </c>
      <c r="H16" s="13">
        <f>F16*Calculation!I16/Calculation!K15</f>
        <v>0</v>
      </c>
      <c r="I16" s="13">
        <f>G16*Calculation!I16/Calculation!K15</f>
        <v>0</v>
      </c>
      <c r="J16" s="13">
        <v>2.8049141503848429</v>
      </c>
      <c r="K16" s="13">
        <v>4.6218161622249884E-2</v>
      </c>
      <c r="L16" s="13">
        <f>J16*Calculation!I16/Calculation!K15</f>
        <v>3.0053806133450061</v>
      </c>
      <c r="M16" s="13">
        <f>K16*Calculation!I16/Calculation!K15</f>
        <v>4.952136125267792E-2</v>
      </c>
      <c r="N16" s="13">
        <v>36.169858451290594</v>
      </c>
      <c r="O16" s="13">
        <v>0.29602645852841086</v>
      </c>
      <c r="P16" s="13">
        <f>N16*Calculation!I16/Calculation!K15</f>
        <v>38.75490854578463</v>
      </c>
      <c r="Q16" s="13">
        <f>O16*Calculation!I16/Calculation!K15</f>
        <v>0.31718339022119435</v>
      </c>
      <c r="R16" s="13">
        <v>0</v>
      </c>
      <c r="S16" s="13">
        <v>0</v>
      </c>
      <c r="T16" s="13">
        <f>R16*Calculation!I16/Calculation!K15</f>
        <v>0</v>
      </c>
      <c r="U16" s="13">
        <f>S16*Calculation!I16/Calculation!K15</f>
        <v>0</v>
      </c>
    </row>
    <row r="17" spans="4:21">
      <c r="D17" s="16">
        <v>13</v>
      </c>
      <c r="E17" s="63">
        <v>18</v>
      </c>
      <c r="F17" s="51">
        <v>0</v>
      </c>
      <c r="G17" s="51">
        <v>0</v>
      </c>
      <c r="H17" s="13">
        <f>F17*Calculation!I17/Calculation!K16</f>
        <v>0</v>
      </c>
      <c r="I17" s="13">
        <f>G17*Calculation!I17/Calculation!K16</f>
        <v>0</v>
      </c>
      <c r="J17" s="13">
        <v>2.8271166370633511</v>
      </c>
      <c r="K17" s="13">
        <v>5.5875032824679961E-2</v>
      </c>
      <c r="L17" s="13">
        <f>J17*Calculation!I17/Calculation!K16</f>
        <v>3.0291699057989243</v>
      </c>
      <c r="M17" s="13">
        <f>K17*Calculation!I17/Calculation!K16</f>
        <v>5.9868406453106267E-2</v>
      </c>
      <c r="N17" s="13">
        <v>36.314182625589794</v>
      </c>
      <c r="O17" s="13">
        <v>0.16429251831194969</v>
      </c>
      <c r="P17" s="13">
        <f>N17*Calculation!I17/Calculation!K16</f>
        <v>38.909547530160076</v>
      </c>
      <c r="Q17" s="13">
        <f>O17*Calculation!I17/Calculation!K16</f>
        <v>0.17603446058576067</v>
      </c>
      <c r="R17" s="13">
        <v>0</v>
      </c>
      <c r="S17" s="13">
        <v>0</v>
      </c>
      <c r="T17" s="13">
        <f>R17*Calculation!I17/Calculation!K16</f>
        <v>0</v>
      </c>
      <c r="U17" s="13">
        <f>S17*Calculation!I17/Calculation!K16</f>
        <v>0</v>
      </c>
    </row>
    <row r="18" spans="4:21">
      <c r="D18" s="16">
        <v>14</v>
      </c>
      <c r="E18" s="63">
        <v>24</v>
      </c>
      <c r="F18" s="51">
        <v>0</v>
      </c>
      <c r="G18" s="51">
        <v>0</v>
      </c>
      <c r="H18" s="13">
        <f>F18*Calculation!I18/Calculation!K17</f>
        <v>0</v>
      </c>
      <c r="I18" s="13">
        <f>G18*Calculation!I18/Calculation!K17</f>
        <v>0</v>
      </c>
      <c r="J18" s="13">
        <v>2.8641207815275314</v>
      </c>
      <c r="K18" s="13">
        <v>0.11536750494464112</v>
      </c>
      <c r="L18" s="13">
        <f>J18*Calculation!I18/Calculation!K17</f>
        <v>3.0688187265554556</v>
      </c>
      <c r="M18" s="13">
        <f>K18*Calculation!I18/Calculation!K17</f>
        <v>0.12361278961890404</v>
      </c>
      <c r="N18" s="13">
        <v>35.781293366638913</v>
      </c>
      <c r="O18" s="13">
        <v>1.3414887337722399</v>
      </c>
      <c r="P18" s="13">
        <f>N18*Calculation!I18/Calculation!K17</f>
        <v>38.338572818619966</v>
      </c>
      <c r="Q18" s="13">
        <f>O18*Calculation!I18/Calculation!K17</f>
        <v>1.4373645742229473</v>
      </c>
      <c r="R18" s="13">
        <v>0</v>
      </c>
      <c r="S18" s="13">
        <v>0</v>
      </c>
      <c r="T18" s="13">
        <f>R18*Calculation!I18/Calculation!K17</f>
        <v>0</v>
      </c>
      <c r="U18" s="13">
        <f>S18*Calculation!I18/Calculation!K17</f>
        <v>0</v>
      </c>
    </row>
    <row r="19" spans="4:21">
      <c r="D19" s="16">
        <v>15</v>
      </c>
      <c r="E19" s="63">
        <v>30</v>
      </c>
      <c r="F19" s="51">
        <v>0</v>
      </c>
      <c r="G19" s="51">
        <v>0</v>
      </c>
      <c r="H19" s="13">
        <f>F19*Calculation!I19/Calculation!K18</f>
        <v>0</v>
      </c>
      <c r="I19" s="13">
        <f>G19*Calculation!I19/Calculation!K18</f>
        <v>0</v>
      </c>
      <c r="J19" s="13">
        <v>2.8641207815275314</v>
      </c>
      <c r="K19" s="13">
        <v>0</v>
      </c>
      <c r="L19" s="13">
        <f>J19*Calculation!I19/Calculation!K18</f>
        <v>3.0688187265554556</v>
      </c>
      <c r="M19" s="13">
        <f>K19*Calculation!I19/Calculation!K18</f>
        <v>0</v>
      </c>
      <c r="N19" s="13">
        <v>35.603663613655286</v>
      </c>
      <c r="O19" s="13">
        <v>0.17623655694018939</v>
      </c>
      <c r="P19" s="13">
        <f>N19*Calculation!I19/Calculation!K18</f>
        <v>38.148247914773265</v>
      </c>
      <c r="Q19" s="13">
        <f>O19*Calculation!I19/Calculation!K18</f>
        <v>0.18883213645524508</v>
      </c>
      <c r="R19" s="13">
        <v>0</v>
      </c>
      <c r="S19" s="13">
        <v>0</v>
      </c>
      <c r="T19" s="13">
        <f>R19*Calculation!I19/Calculation!K18</f>
        <v>0</v>
      </c>
      <c r="U19" s="13">
        <f>S19*Calculation!I19/Calculation!K18</f>
        <v>0</v>
      </c>
    </row>
    <row r="20" spans="4:21">
      <c r="D20" s="16">
        <v>16</v>
      </c>
      <c r="E20" s="63">
        <v>48</v>
      </c>
      <c r="F20" s="51">
        <v>0</v>
      </c>
      <c r="G20" s="51">
        <v>0</v>
      </c>
      <c r="H20" s="13">
        <f>F20*Calculation!I20/Calculation!K19</f>
        <v>0</v>
      </c>
      <c r="I20" s="13">
        <f>G20*Calculation!I20/Calculation!K19</f>
        <v>0</v>
      </c>
      <c r="J20" s="13">
        <v>2.7457075192421549</v>
      </c>
      <c r="K20" s="13">
        <v>5.1274446642062724E-2</v>
      </c>
      <c r="L20" s="13">
        <f>J20*Calculation!I20/Calculation!K19</f>
        <v>2.9450458150081174</v>
      </c>
      <c r="M20" s="13">
        <f>K20*Calculation!I20/Calculation!K19</f>
        <v>5.4996970158621636E-2</v>
      </c>
      <c r="N20" s="13">
        <v>35.048570635581456</v>
      </c>
      <c r="O20" s="13">
        <v>0.55164066605850226</v>
      </c>
      <c r="P20" s="13">
        <f>N20*Calculation!I20/Calculation!K19</f>
        <v>37.593095968512081</v>
      </c>
      <c r="Q20" s="13">
        <f>O20*Calculation!I20/Calculation!K19</f>
        <v>0.5916897643243122</v>
      </c>
      <c r="R20" s="13">
        <v>0</v>
      </c>
      <c r="S20" s="13">
        <v>0</v>
      </c>
      <c r="T20" s="13">
        <f>R20*Calculation!I20/Calculation!K19</f>
        <v>0</v>
      </c>
      <c r="U20" s="13">
        <f>S20*Calculation!I20/Calculation!K19</f>
        <v>0</v>
      </c>
    </row>
    <row r="22" spans="4:21">
      <c r="D22" s="163" t="s">
        <v>4</v>
      </c>
      <c r="E22" s="163" t="s">
        <v>60</v>
      </c>
      <c r="F22" s="132" t="s">
        <v>44</v>
      </c>
      <c r="G22" s="132"/>
      <c r="H22" s="132"/>
      <c r="I22" s="132"/>
      <c r="J22" s="132" t="s">
        <v>66</v>
      </c>
      <c r="K22" s="132"/>
      <c r="L22" s="132"/>
      <c r="M22" s="132"/>
      <c r="N22" s="164" t="s">
        <v>67</v>
      </c>
      <c r="O22" s="130"/>
      <c r="P22" s="130"/>
      <c r="Q22" s="165"/>
    </row>
    <row r="23" spans="4:21">
      <c r="D23" s="163"/>
      <c r="E23" s="163"/>
      <c r="F23" s="20" t="s">
        <v>48</v>
      </c>
      <c r="G23" s="20" t="s">
        <v>23</v>
      </c>
      <c r="H23" s="20" t="s">
        <v>48</v>
      </c>
      <c r="I23" s="20" t="s">
        <v>23</v>
      </c>
      <c r="J23" s="20" t="s">
        <v>48</v>
      </c>
      <c r="K23" s="20" t="s">
        <v>23</v>
      </c>
      <c r="L23" s="20" t="s">
        <v>48</v>
      </c>
      <c r="M23" s="20" t="s">
        <v>23</v>
      </c>
      <c r="N23" s="20" t="s">
        <v>48</v>
      </c>
      <c r="O23" s="20" t="s">
        <v>23</v>
      </c>
      <c r="P23" s="20" t="s">
        <v>48</v>
      </c>
      <c r="Q23" s="20" t="s">
        <v>23</v>
      </c>
    </row>
    <row r="24" spans="4:21">
      <c r="D24" s="16">
        <v>0</v>
      </c>
      <c r="E24" s="61">
        <v>-0.16666666666666666</v>
      </c>
      <c r="F24" s="13">
        <v>0</v>
      </c>
      <c r="G24" s="13">
        <v>0</v>
      </c>
      <c r="H24" s="13">
        <f>F24*Calculation!I3/Calculation!F22</f>
        <v>0</v>
      </c>
      <c r="I24" s="13">
        <f>G24*Calculation!I3/Calculation!F22</f>
        <v>0</v>
      </c>
      <c r="J24" s="13">
        <v>0.18915749252827907</v>
      </c>
      <c r="K24" s="13">
        <v>0.11424862006235761</v>
      </c>
      <c r="L24" s="13">
        <f>J24*Calculation!I3/Calculation!F22</f>
        <v>0.18915749252827907</v>
      </c>
      <c r="M24" s="13">
        <f>K24*Calculation!I3/Calculation!F22</f>
        <v>0.1142486200623576</v>
      </c>
      <c r="N24" s="13">
        <v>0</v>
      </c>
      <c r="O24" s="13">
        <v>0</v>
      </c>
      <c r="P24" s="13">
        <f>N24*Calculation!I3/Calculation!F22</f>
        <v>0</v>
      </c>
      <c r="Q24" s="13">
        <f>O24*Calculation!I3/Calculation!F22</f>
        <v>0</v>
      </c>
    </row>
    <row r="25" spans="4:21">
      <c r="D25" s="16">
        <v>0</v>
      </c>
      <c r="E25" s="63">
        <v>0.16666666666666666</v>
      </c>
      <c r="F25" s="13">
        <v>0</v>
      </c>
      <c r="G25" s="13">
        <v>0</v>
      </c>
      <c r="H25" s="13">
        <f>F25*Calculation!I4/Calculation!K3</f>
        <v>0</v>
      </c>
      <c r="I25" s="13">
        <f>G25*Calculation!I4/Calculation!K3</f>
        <v>0</v>
      </c>
      <c r="J25" s="13">
        <v>2.0126357205008891</v>
      </c>
      <c r="K25" s="13">
        <v>9.1736508553566631E-2</v>
      </c>
      <c r="L25" s="13">
        <f>J25*Calculation!I4/Calculation!K3</f>
        <v>2.0151657465480306</v>
      </c>
      <c r="M25" s="13">
        <f>K25*Calculation!I4/Calculation!K3</f>
        <v>9.1851827860359295E-2</v>
      </c>
      <c r="N25" s="13">
        <v>0</v>
      </c>
      <c r="O25" s="13">
        <v>0</v>
      </c>
      <c r="P25" s="13">
        <f>N25*Calculation!I4/Calculation!K3</f>
        <v>0</v>
      </c>
      <c r="Q25" s="13">
        <f>O25*Calculation!I4/Calculation!K3</f>
        <v>0</v>
      </c>
    </row>
    <row r="26" spans="4:21">
      <c r="D26" s="16">
        <v>1</v>
      </c>
      <c r="E26" s="63">
        <v>2</v>
      </c>
      <c r="F26" s="13">
        <v>0</v>
      </c>
      <c r="G26" s="13">
        <v>0</v>
      </c>
      <c r="H26" s="13">
        <f>F26*Calculation!I5/Calculation!K4</f>
        <v>0</v>
      </c>
      <c r="I26" s="13">
        <f>G26*Calculation!I5/Calculation!K4</f>
        <v>0</v>
      </c>
      <c r="J26" s="13">
        <v>4.4565505239662544</v>
      </c>
      <c r="K26" s="13">
        <v>5.7124310031178877E-2</v>
      </c>
      <c r="L26" s="13">
        <f>J26*Calculation!I5/Calculation!K4</f>
        <v>4.4737578031064906</v>
      </c>
      <c r="M26" s="13">
        <f>K26*Calculation!I5/Calculation!K4</f>
        <v>5.7344873882775267E-2</v>
      </c>
      <c r="N26" s="13">
        <v>0</v>
      </c>
      <c r="O26" s="13">
        <v>0</v>
      </c>
      <c r="P26" s="13">
        <f>N26*Calculation!I5/Calculation!K4</f>
        <v>0</v>
      </c>
      <c r="Q26" s="13">
        <f>O26*Calculation!I5/Calculation!K4</f>
        <v>0</v>
      </c>
    </row>
    <row r="27" spans="4:21">
      <c r="D27" s="16">
        <v>2</v>
      </c>
      <c r="E27" s="63">
        <v>3.3333333333333335</v>
      </c>
      <c r="F27" s="13">
        <v>0</v>
      </c>
      <c r="G27" s="13">
        <v>0</v>
      </c>
      <c r="H27" s="13">
        <f>F27*Calculation!I6/Calculation!K5</f>
        <v>0</v>
      </c>
      <c r="I27" s="13">
        <f>G27*Calculation!I6/Calculation!K5</f>
        <v>0</v>
      </c>
      <c r="J27" s="13">
        <v>9.556236522528657</v>
      </c>
      <c r="K27" s="13">
        <v>4.5397798206787014E-2</v>
      </c>
      <c r="L27" s="13">
        <f>J27*Calculation!I6/Calculation!K5</f>
        <v>9.6573453774424696</v>
      </c>
      <c r="M27" s="13">
        <f>K27*Calculation!I6/Calculation!K5</f>
        <v>4.5878125308515337E-2</v>
      </c>
      <c r="N27" s="13">
        <v>0</v>
      </c>
      <c r="O27" s="13">
        <v>0</v>
      </c>
      <c r="P27" s="13">
        <f>N27*Calculation!I6/Calculation!K5</f>
        <v>0</v>
      </c>
      <c r="Q27" s="13">
        <f>O27*Calculation!I6/Calculation!K5</f>
        <v>0</v>
      </c>
    </row>
    <row r="28" spans="4:21">
      <c r="D28" s="16">
        <v>3</v>
      </c>
      <c r="E28" s="63">
        <v>4.666666666666667</v>
      </c>
      <c r="F28" s="13">
        <v>0</v>
      </c>
      <c r="G28" s="13">
        <v>0</v>
      </c>
      <c r="H28" s="13">
        <f>F28*Calculation!I7/Calculation!K6</f>
        <v>0</v>
      </c>
      <c r="I28" s="13">
        <f>G28*Calculation!I7/Calculation!K6</f>
        <v>0</v>
      </c>
      <c r="J28" s="13">
        <v>20.254984299928118</v>
      </c>
      <c r="K28" s="13">
        <v>0.13300341112432915</v>
      </c>
      <c r="L28" s="13">
        <f>J28*Calculation!I7/Calculation!K6</f>
        <v>20.763308774701084</v>
      </c>
      <c r="M28" s="13">
        <f>K28*Calculation!I7/Calculation!K6</f>
        <v>0.13634130011509116</v>
      </c>
      <c r="N28" s="13">
        <v>0</v>
      </c>
      <c r="O28" s="13">
        <v>0</v>
      </c>
      <c r="P28" s="13">
        <f>N28*Calculation!I7/Calculation!K6</f>
        <v>0</v>
      </c>
      <c r="Q28" s="13">
        <f>O28*Calculation!I7/Calculation!K6</f>
        <v>0</v>
      </c>
    </row>
    <row r="29" spans="4:21">
      <c r="D29" s="16">
        <v>4</v>
      </c>
      <c r="E29" s="63">
        <v>6</v>
      </c>
      <c r="F29" s="13">
        <v>0</v>
      </c>
      <c r="G29" s="13">
        <v>0</v>
      </c>
      <c r="H29" s="13">
        <f>F29*Calculation!I8/Calculation!K7</f>
        <v>0</v>
      </c>
      <c r="I29" s="13">
        <f>G29*Calculation!I8/Calculation!K7</f>
        <v>0</v>
      </c>
      <c r="J29" s="13">
        <v>40.865584685809402</v>
      </c>
      <c r="K29" s="13">
        <v>0.26308536527392001</v>
      </c>
      <c r="L29" s="13">
        <f>J29*Calculation!I8/Calculation!K7</f>
        <v>42.939893805170996</v>
      </c>
      <c r="M29" s="13">
        <f>K29*Calculation!I8/Calculation!K7</f>
        <v>0.27643939841828785</v>
      </c>
      <c r="N29" s="13">
        <v>0</v>
      </c>
      <c r="O29" s="13">
        <v>0</v>
      </c>
      <c r="P29" s="13">
        <f>N29*Calculation!I8/Calculation!K7</f>
        <v>0</v>
      </c>
      <c r="Q29" s="13">
        <f>O29*Calculation!I8/Calculation!K7</f>
        <v>0</v>
      </c>
    </row>
    <row r="30" spans="4:21">
      <c r="D30" s="16">
        <v>5</v>
      </c>
      <c r="E30" s="63">
        <v>7.333333333333333</v>
      </c>
      <c r="F30" s="13">
        <v>0</v>
      </c>
      <c r="G30" s="13">
        <v>0</v>
      </c>
      <c r="H30" s="13">
        <f>F30*Calculation!I9/Calculation!K8</f>
        <v>0</v>
      </c>
      <c r="I30" s="13">
        <f>G30*Calculation!I9/Calculation!K8</f>
        <v>0</v>
      </c>
      <c r="J30" s="13">
        <v>44.875723527408923</v>
      </c>
      <c r="K30" s="13">
        <v>1.2158221986918243</v>
      </c>
      <c r="L30" s="13">
        <f>J30*Calculation!I9/Calculation!K8</f>
        <v>47.581356078401456</v>
      </c>
      <c r="M30" s="13">
        <f>K30*Calculation!I9/Calculation!K8</f>
        <v>1.2891261558968983</v>
      </c>
      <c r="N30" s="13">
        <v>0</v>
      </c>
      <c r="O30" s="13">
        <v>0</v>
      </c>
      <c r="P30" s="13">
        <f>N30*Calculation!I9/Calculation!K8</f>
        <v>0</v>
      </c>
      <c r="Q30" s="13">
        <f>O30*Calculation!I9/Calculation!K8</f>
        <v>0</v>
      </c>
    </row>
    <row r="31" spans="4:21">
      <c r="D31" s="16">
        <v>6</v>
      </c>
      <c r="E31" s="63">
        <v>8.6666666666666661</v>
      </c>
      <c r="F31" s="13">
        <v>0</v>
      </c>
      <c r="G31" s="13">
        <v>0</v>
      </c>
      <c r="H31" s="13">
        <f>F31*Calculation!I10/Calculation!K9</f>
        <v>0</v>
      </c>
      <c r="I31" s="13">
        <f>G31*Calculation!I10/Calculation!K9</f>
        <v>0</v>
      </c>
      <c r="J31" s="13">
        <v>45.208640714258692</v>
      </c>
      <c r="K31" s="13">
        <v>0.8977790032880838</v>
      </c>
      <c r="L31" s="13">
        <f>J31*Calculation!I10/Calculation!K9</f>
        <v>48.105539490891736</v>
      </c>
      <c r="M31" s="13">
        <f>K31*Calculation!I10/Calculation!K9</f>
        <v>0.95530727344224053</v>
      </c>
      <c r="N31" s="13">
        <v>0</v>
      </c>
      <c r="O31" s="13">
        <v>0</v>
      </c>
      <c r="P31" s="13">
        <f>N31*Calculation!I10/Calculation!K9</f>
        <v>0</v>
      </c>
      <c r="Q31" s="13">
        <f>O31*Calculation!I10/Calculation!K9</f>
        <v>0</v>
      </c>
    </row>
    <row r="32" spans="4:21">
      <c r="D32" s="16">
        <v>7</v>
      </c>
      <c r="E32" s="63">
        <v>10</v>
      </c>
      <c r="F32" s="13">
        <v>0</v>
      </c>
      <c r="G32" s="13">
        <v>0</v>
      </c>
      <c r="H32" s="13">
        <f>F32*Calculation!I11/Calculation!K10</f>
        <v>0</v>
      </c>
      <c r="I32" s="13">
        <f>G32*Calculation!I11/Calculation!K10</f>
        <v>0</v>
      </c>
      <c r="J32" s="13">
        <v>46.75973215299058</v>
      </c>
      <c r="K32" s="13">
        <v>0.18159119282714806</v>
      </c>
      <c r="L32" s="13">
        <f>J32*Calculation!I11/Calculation!K10</f>
        <v>49.865859129886211</v>
      </c>
      <c r="M32" s="13">
        <f>K32*Calculation!I11/Calculation!K10</f>
        <v>0.19365382186363597</v>
      </c>
      <c r="N32" s="13">
        <v>0</v>
      </c>
      <c r="O32" s="13">
        <v>0</v>
      </c>
      <c r="P32" s="13">
        <f>N32*Calculation!I11/Calculation!K10</f>
        <v>0</v>
      </c>
      <c r="Q32" s="13">
        <f>O32*Calculation!I11/Calculation!K10</f>
        <v>0</v>
      </c>
    </row>
    <row r="33" spans="4:17">
      <c r="D33" s="16">
        <v>8</v>
      </c>
      <c r="E33" s="63">
        <v>11.333333333333334</v>
      </c>
      <c r="F33" s="13">
        <v>0</v>
      </c>
      <c r="G33" s="13">
        <v>0</v>
      </c>
      <c r="H33" s="13">
        <f>F33*Calculation!I12/Calculation!K11</f>
        <v>0</v>
      </c>
      <c r="I33" s="13">
        <f>G33*Calculation!I12/Calculation!K11</f>
        <v>0</v>
      </c>
      <c r="J33" s="13">
        <v>45.57182309991299</v>
      </c>
      <c r="K33" s="13">
        <v>0.60241241779179389</v>
      </c>
      <c r="L33" s="13">
        <f>J33*Calculation!I12/Calculation!K11</f>
        <v>48.709660349040846</v>
      </c>
      <c r="M33" s="13">
        <f>K33*Calculation!I12/Calculation!K11</f>
        <v>0.64389138429572279</v>
      </c>
      <c r="N33" s="13">
        <v>0</v>
      </c>
      <c r="O33" s="13">
        <v>0</v>
      </c>
      <c r="P33" s="13">
        <f>N33*Calculation!I12/Calculation!K11</f>
        <v>0</v>
      </c>
      <c r="Q33" s="13">
        <f>O33*Calculation!I12/Calculation!K11</f>
        <v>0</v>
      </c>
    </row>
    <row r="34" spans="4:17">
      <c r="D34" s="16">
        <v>9</v>
      </c>
      <c r="E34" s="63">
        <v>12.666666666666666</v>
      </c>
      <c r="F34" s="13">
        <v>0</v>
      </c>
      <c r="G34" s="13">
        <v>0</v>
      </c>
      <c r="H34" s="13">
        <f>F34*Calculation!I13/Calculation!K12</f>
        <v>0</v>
      </c>
      <c r="I34" s="13">
        <f>G34*Calculation!I13/Calculation!K12</f>
        <v>0</v>
      </c>
      <c r="J34" s="13">
        <v>47.077516740438092</v>
      </c>
      <c r="K34" s="13">
        <v>1.0232144064995714</v>
      </c>
      <c r="L34" s="13">
        <f>J34*Calculation!I13/Calculation!K12</f>
        <v>50.358525056352335</v>
      </c>
      <c r="M34" s="13">
        <f>K34*Calculation!I13/Calculation!K12</f>
        <v>1.094526047578648</v>
      </c>
      <c r="N34" s="13">
        <v>0</v>
      </c>
      <c r="O34" s="13">
        <v>0</v>
      </c>
      <c r="P34" s="13">
        <f>N34*Calculation!I13/Calculation!K12</f>
        <v>0</v>
      </c>
      <c r="Q34" s="13">
        <f>O34*Calculation!I13/Calculation!K12</f>
        <v>0</v>
      </c>
    </row>
    <row r="35" spans="4:17">
      <c r="D35" s="16">
        <v>10</v>
      </c>
      <c r="E35" s="63">
        <v>14</v>
      </c>
      <c r="F35" s="13">
        <v>0</v>
      </c>
      <c r="G35" s="13">
        <v>0</v>
      </c>
      <c r="H35" s="13">
        <f>F35*Calculation!I14/Calculation!K13</f>
        <v>0</v>
      </c>
      <c r="I35" s="13">
        <f>G35*Calculation!I14/Calculation!K13</f>
        <v>0</v>
      </c>
      <c r="J35" s="13">
        <v>45.0875799190406</v>
      </c>
      <c r="K35" s="13">
        <v>0.38275306987301333</v>
      </c>
      <c r="L35" s="13">
        <f>J35*Calculation!I14/Calculation!K13</f>
        <v>48.269209264765067</v>
      </c>
      <c r="M35" s="13">
        <f>K35*Calculation!I14/Calculation!K13</f>
        <v>0.40976224626839214</v>
      </c>
      <c r="N35" s="13">
        <v>0</v>
      </c>
      <c r="O35" s="13">
        <v>0</v>
      </c>
      <c r="P35" s="13">
        <f>N35*Calculation!I14/Calculation!K13</f>
        <v>0</v>
      </c>
      <c r="Q35" s="13">
        <f>O35*Calculation!I14/Calculation!K13</f>
        <v>0</v>
      </c>
    </row>
    <row r="36" spans="4:17">
      <c r="D36" s="16">
        <v>11</v>
      </c>
      <c r="E36" s="63">
        <v>15.333333333333334</v>
      </c>
      <c r="F36" s="13">
        <v>0</v>
      </c>
      <c r="G36" s="13">
        <v>0</v>
      </c>
      <c r="H36" s="13">
        <f>F36*Calculation!I15/Calculation!K14</f>
        <v>0</v>
      </c>
      <c r="I36" s="13">
        <f>G36*Calculation!I15/Calculation!K14</f>
        <v>0</v>
      </c>
      <c r="J36" s="13">
        <v>47.296939431770888</v>
      </c>
      <c r="K36" s="13">
        <v>0.20596462889291986</v>
      </c>
      <c r="L36" s="13">
        <f>J36*Calculation!I15/Calculation!K14</f>
        <v>50.677239023267227</v>
      </c>
      <c r="M36" s="13">
        <f>K36*Calculation!I15/Calculation!K14</f>
        <v>0.22068486574701443</v>
      </c>
      <c r="N36" s="13">
        <v>0</v>
      </c>
      <c r="O36" s="13">
        <v>0</v>
      </c>
      <c r="P36" s="13">
        <f>N36*Calculation!I15/Calculation!K14</f>
        <v>0</v>
      </c>
      <c r="Q36" s="13">
        <f>O36*Calculation!I15/Calculation!K14</f>
        <v>0</v>
      </c>
    </row>
    <row r="37" spans="4:17">
      <c r="D37" s="16">
        <v>12</v>
      </c>
      <c r="E37" s="63">
        <v>16.666666666666668</v>
      </c>
      <c r="F37" s="13">
        <v>0</v>
      </c>
      <c r="G37" s="13">
        <v>0</v>
      </c>
      <c r="H37" s="13">
        <f>F37*Calculation!I16/Calculation!K15</f>
        <v>0</v>
      </c>
      <c r="I37" s="13">
        <f>G37*Calculation!I16/Calculation!K15</f>
        <v>0</v>
      </c>
      <c r="J37" s="13">
        <v>47.357469829379937</v>
      </c>
      <c r="K37" s="13">
        <v>0.54681894495984906</v>
      </c>
      <c r="L37" s="13">
        <f>J37*Calculation!I16/Calculation!K15</f>
        <v>50.742095512178778</v>
      </c>
      <c r="M37" s="13">
        <f>K37*Calculation!I16/Calculation!K15</f>
        <v>0.58589994847671922</v>
      </c>
      <c r="N37" s="13">
        <v>0</v>
      </c>
      <c r="O37" s="13">
        <v>0</v>
      </c>
      <c r="P37" s="13">
        <f>N37*Calculation!I16/Calculation!K15</f>
        <v>0</v>
      </c>
      <c r="Q37" s="13">
        <f>O37*Calculation!I16/Calculation!K15</f>
        <v>0</v>
      </c>
    </row>
    <row r="38" spans="4:17">
      <c r="D38" s="16">
        <v>13</v>
      </c>
      <c r="E38" s="63">
        <v>18</v>
      </c>
      <c r="F38" s="13">
        <v>0</v>
      </c>
      <c r="G38" s="13">
        <v>0</v>
      </c>
      <c r="H38" s="13">
        <f>F38*Calculation!I17/Calculation!K16</f>
        <v>0</v>
      </c>
      <c r="I38" s="13">
        <f>G38*Calculation!I17/Calculation!K16</f>
        <v>0</v>
      </c>
      <c r="J38" s="13">
        <v>48.106533499791922</v>
      </c>
      <c r="K38" s="13">
        <v>1.0187566676948228</v>
      </c>
      <c r="L38" s="13">
        <f>J38*Calculation!I17/Calculation!K16</f>
        <v>51.544694562459291</v>
      </c>
      <c r="M38" s="13">
        <f>K38*Calculation!I17/Calculation!K16</f>
        <v>1.0915669338349978</v>
      </c>
      <c r="N38" s="13">
        <v>0</v>
      </c>
      <c r="O38" s="13">
        <v>0</v>
      </c>
      <c r="P38" s="13">
        <f>N38*Calculation!I17/Calculation!K16</f>
        <v>0</v>
      </c>
      <c r="Q38" s="13">
        <f>O38*Calculation!I17/Calculation!K16</f>
        <v>0</v>
      </c>
    </row>
    <row r="39" spans="4:17">
      <c r="D39" s="16">
        <v>14</v>
      </c>
      <c r="E39" s="63">
        <v>24</v>
      </c>
      <c r="F39" s="13">
        <v>0</v>
      </c>
      <c r="G39" s="13">
        <v>0</v>
      </c>
      <c r="H39" s="13">
        <f>F39*Calculation!I18/Calculation!K17</f>
        <v>0</v>
      </c>
      <c r="I39" s="13">
        <f>G39*Calculation!I18/Calculation!K17</f>
        <v>0</v>
      </c>
      <c r="J39" s="13">
        <v>48.900994968410693</v>
      </c>
      <c r="K39" s="13">
        <v>1.3930418744241815</v>
      </c>
      <c r="L39" s="13">
        <f>J39*Calculation!I18/Calculation!K17</f>
        <v>52.395935979423463</v>
      </c>
      <c r="M39" s="13">
        <f>K39*Calculation!I18/Calculation!K17</f>
        <v>1.4926022040274587</v>
      </c>
      <c r="N39" s="13">
        <v>0</v>
      </c>
      <c r="O39" s="13">
        <v>0</v>
      </c>
      <c r="P39" s="13">
        <f>N39*Calculation!I18/Calculation!K17</f>
        <v>0</v>
      </c>
      <c r="Q39" s="13">
        <f>O39*Calculation!I18/Calculation!K17</f>
        <v>0</v>
      </c>
    </row>
    <row r="40" spans="4:17">
      <c r="D40" s="16">
        <v>15</v>
      </c>
      <c r="E40" s="63">
        <v>30</v>
      </c>
      <c r="F40" s="13">
        <v>0</v>
      </c>
      <c r="G40" s="13">
        <v>0</v>
      </c>
      <c r="H40" s="13">
        <f>F40*Calculation!I19/Calculation!K18</f>
        <v>0</v>
      </c>
      <c r="I40" s="13">
        <f>G40*Calculation!I19/Calculation!K18</f>
        <v>0</v>
      </c>
      <c r="J40" s="13">
        <v>49.249044754662727</v>
      </c>
      <c r="K40" s="13">
        <v>2.6210431015301877E-2</v>
      </c>
      <c r="L40" s="13">
        <f>J40*Calculation!I19/Calculation!K18</f>
        <v>52.76886079066491</v>
      </c>
      <c r="M40" s="13">
        <f>K40*Calculation!I19/Calculation!K18</f>
        <v>2.8083683498832623E-2</v>
      </c>
      <c r="N40" s="13">
        <v>0</v>
      </c>
      <c r="O40" s="13">
        <v>0</v>
      </c>
      <c r="P40" s="13">
        <f>N40*Calculation!I19/Calculation!K18</f>
        <v>0</v>
      </c>
      <c r="Q40" s="13">
        <f>O40*Calculation!I19/Calculation!K18</f>
        <v>0</v>
      </c>
    </row>
    <row r="41" spans="4:17">
      <c r="D41" s="16">
        <v>16</v>
      </c>
      <c r="E41" s="63">
        <v>48</v>
      </c>
      <c r="F41" s="13">
        <v>0</v>
      </c>
      <c r="G41" s="13">
        <v>0</v>
      </c>
      <c r="H41" s="13">
        <f>F41*Calculation!I20/Calculation!K19</f>
        <v>0</v>
      </c>
      <c r="I41" s="13">
        <f>G41*Calculation!I20/Calculation!K19</f>
        <v>0</v>
      </c>
      <c r="J41" s="13">
        <v>48.605909280066584</v>
      </c>
      <c r="K41" s="13">
        <v>0.95019590748438831</v>
      </c>
      <c r="L41" s="13">
        <f>J41*Calculation!I20/Calculation!K19</f>
        <v>52.134697052304517</v>
      </c>
      <c r="M41" s="13">
        <f>K41*Calculation!I20/Calculation!K19</f>
        <v>1.0191801060977967</v>
      </c>
      <c r="N41" s="13">
        <v>0</v>
      </c>
      <c r="O41" s="13">
        <v>0</v>
      </c>
      <c r="P41" s="13">
        <f>N41*Calculation!I20/Calculation!K19</f>
        <v>0</v>
      </c>
      <c r="Q41" s="13">
        <f>O41*Calculation!I20/Calculation!K19</f>
        <v>0</v>
      </c>
    </row>
  </sheetData>
  <mergeCells count="14">
    <mergeCell ref="F22:I22"/>
    <mergeCell ref="J22:M22"/>
    <mergeCell ref="N22:Q22"/>
    <mergeCell ref="N1:Q1"/>
    <mergeCell ref="A1:B1"/>
    <mergeCell ref="A2:B2"/>
    <mergeCell ref="A3:A4"/>
    <mergeCell ref="D22:D23"/>
    <mergeCell ref="E22:E23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4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140</v>
      </c>
      <c r="B2" s="17">
        <v>180.16</v>
      </c>
    </row>
    <row r="4" spans="1:8">
      <c r="A4" s="166" t="s">
        <v>141</v>
      </c>
      <c r="B4" s="167"/>
      <c r="C4" s="167"/>
      <c r="D4" s="167"/>
      <c r="E4" s="167"/>
      <c r="F4" s="167"/>
      <c r="G4" s="167"/>
      <c r="H4" s="168"/>
    </row>
    <row r="5" spans="1:8">
      <c r="A5" s="169" t="s">
        <v>62</v>
      </c>
      <c r="B5" s="167"/>
      <c r="C5" s="168"/>
      <c r="D5" s="170" t="s">
        <v>45</v>
      </c>
      <c r="E5" s="170" t="s">
        <v>46</v>
      </c>
      <c r="F5" s="170" t="s">
        <v>47</v>
      </c>
      <c r="G5" s="172" t="s">
        <v>63</v>
      </c>
      <c r="H5" s="172" t="s">
        <v>64</v>
      </c>
    </row>
    <row r="6" spans="1:8">
      <c r="A6" s="28" t="s">
        <v>4</v>
      </c>
      <c r="B6" s="28" t="s">
        <v>5</v>
      </c>
      <c r="C6" s="28" t="s">
        <v>19</v>
      </c>
      <c r="D6" s="171"/>
      <c r="E6" s="171"/>
      <c r="F6" s="171"/>
      <c r="G6" s="173"/>
      <c r="H6" s="173"/>
    </row>
    <row r="7" spans="1:8">
      <c r="A7" s="16">
        <v>0</v>
      </c>
      <c r="B7" s="61">
        <v>-0.16666666666666666</v>
      </c>
      <c r="C7" s="16">
        <v>2</v>
      </c>
      <c r="D7" s="19">
        <v>4.391</v>
      </c>
      <c r="E7" s="19">
        <v>4.423</v>
      </c>
      <c r="F7" s="19">
        <v>4.4020000000000001</v>
      </c>
      <c r="G7" s="19">
        <f>(C7*1000*AVERAGE(D7:F7)/$B$2)</f>
        <v>48.904677323860277</v>
      </c>
      <c r="H7" s="19">
        <f>(C7*1000*STDEV(D7:F7))/$B$2</f>
        <v>0.18048769091558914</v>
      </c>
    </row>
    <row r="8" spans="1:8">
      <c r="A8" s="16">
        <v>0</v>
      </c>
      <c r="B8" s="63">
        <v>0.16666666666666666</v>
      </c>
      <c r="C8" s="16">
        <v>2</v>
      </c>
      <c r="D8" s="19">
        <v>3.9980000000000002</v>
      </c>
      <c r="E8" s="19">
        <v>4.1639999999999997</v>
      </c>
      <c r="F8" s="19">
        <v>4.1100000000000003</v>
      </c>
      <c r="G8" s="19">
        <f t="shared" ref="G8:G17" si="0">(C8*1000*AVERAGE(D8:F8))/$B$2</f>
        <v>45.411486086441684</v>
      </c>
      <c r="H8" s="19">
        <f t="shared" ref="H8:H17" si="1">(C8*1000*STDEV(D8:F8))/$B$2</f>
        <v>0.93996354182702668</v>
      </c>
    </row>
    <row r="9" spans="1:8">
      <c r="A9" s="16">
        <v>1</v>
      </c>
      <c r="B9" s="63">
        <v>2</v>
      </c>
      <c r="C9" s="16">
        <v>2</v>
      </c>
      <c r="D9" s="19">
        <v>4.1319999999999997</v>
      </c>
      <c r="E9" s="19">
        <v>4.1260000000000003</v>
      </c>
      <c r="F9" s="19">
        <v>4.1509999999999998</v>
      </c>
      <c r="G9" s="19">
        <f t="shared" si="0"/>
        <v>45.918442865600944</v>
      </c>
      <c r="H9" s="19">
        <f t="shared" si="1"/>
        <v>0.14488433947936361</v>
      </c>
    </row>
    <row r="10" spans="1:8">
      <c r="A10" s="16">
        <v>2</v>
      </c>
      <c r="B10" s="63">
        <v>3.3333333333333335</v>
      </c>
      <c r="C10" s="16">
        <v>2</v>
      </c>
      <c r="D10" s="19">
        <v>3.7189999999999999</v>
      </c>
      <c r="E10" s="19">
        <v>3.698</v>
      </c>
      <c r="F10" s="19">
        <v>3.7029999999999998</v>
      </c>
      <c r="G10" s="19">
        <f t="shared" si="0"/>
        <v>41.148608644168149</v>
      </c>
      <c r="H10" s="19">
        <f t="shared" si="1"/>
        <v>0.12177681077489848</v>
      </c>
    </row>
    <row r="11" spans="1:8">
      <c r="A11" s="16">
        <v>3</v>
      </c>
      <c r="B11" s="63">
        <v>4.666666666666667</v>
      </c>
      <c r="C11" s="16">
        <v>2</v>
      </c>
      <c r="D11" s="19">
        <v>2.6469999999999998</v>
      </c>
      <c r="E11" s="19">
        <v>2.6360000000000001</v>
      </c>
      <c r="F11" s="19">
        <v>2.6219999999999999</v>
      </c>
      <c r="G11" s="19">
        <f t="shared" si="0"/>
        <v>29.25177619893428</v>
      </c>
      <c r="H11" s="19">
        <f t="shared" si="1"/>
        <v>0.13909818035237162</v>
      </c>
    </row>
    <row r="12" spans="1:8">
      <c r="A12" s="16">
        <v>4</v>
      </c>
      <c r="B12" s="63">
        <v>6</v>
      </c>
      <c r="C12" s="16">
        <v>2</v>
      </c>
      <c r="D12" s="72">
        <v>0.49399999999999999</v>
      </c>
      <c r="E12" s="72">
        <v>0.49099999999999999</v>
      </c>
      <c r="F12" s="72">
        <v>0.48199999999999998</v>
      </c>
      <c r="G12" s="19">
        <f t="shared" si="0"/>
        <v>5.4285079928952049</v>
      </c>
      <c r="H12" s="19">
        <f t="shared" si="1"/>
        <v>6.9327242433374819E-2</v>
      </c>
    </row>
    <row r="13" spans="1:8">
      <c r="A13" s="16">
        <v>5</v>
      </c>
      <c r="B13" s="63">
        <v>7.333333333333333</v>
      </c>
      <c r="C13" s="16">
        <v>2</v>
      </c>
      <c r="D13" s="19">
        <v>0</v>
      </c>
      <c r="E13" s="19">
        <v>0</v>
      </c>
      <c r="F13" s="19">
        <v>0</v>
      </c>
      <c r="G13" s="19">
        <f t="shared" si="0"/>
        <v>0</v>
      </c>
      <c r="H13" s="19">
        <f t="shared" si="1"/>
        <v>0</v>
      </c>
    </row>
    <row r="14" spans="1:8">
      <c r="A14" s="16">
        <v>6</v>
      </c>
      <c r="B14" s="63">
        <v>8.6666666666666661</v>
      </c>
      <c r="C14" s="16">
        <v>2</v>
      </c>
      <c r="D14" s="19">
        <v>0</v>
      </c>
      <c r="E14" s="19">
        <v>0</v>
      </c>
      <c r="F14" s="19">
        <v>0</v>
      </c>
      <c r="G14" s="19">
        <f t="shared" si="0"/>
        <v>0</v>
      </c>
      <c r="H14" s="19">
        <f t="shared" si="1"/>
        <v>0</v>
      </c>
    </row>
    <row r="15" spans="1:8">
      <c r="A15" s="16">
        <v>7</v>
      </c>
      <c r="B15" s="63">
        <v>10</v>
      </c>
      <c r="C15" s="16">
        <v>2</v>
      </c>
      <c r="D15" s="19">
        <v>0</v>
      </c>
      <c r="E15" s="19">
        <v>0</v>
      </c>
      <c r="F15" s="19">
        <v>0</v>
      </c>
      <c r="G15" s="19">
        <f t="shared" si="0"/>
        <v>0</v>
      </c>
      <c r="H15" s="19">
        <f t="shared" si="1"/>
        <v>0</v>
      </c>
    </row>
    <row r="16" spans="1:8">
      <c r="A16" s="16">
        <v>8</v>
      </c>
      <c r="B16" s="63">
        <v>11.333333333333334</v>
      </c>
      <c r="C16" s="16">
        <v>2</v>
      </c>
      <c r="D16" s="19">
        <v>0</v>
      </c>
      <c r="E16" s="19">
        <v>0</v>
      </c>
      <c r="F16" s="19">
        <v>0</v>
      </c>
      <c r="G16" s="19">
        <f t="shared" si="0"/>
        <v>0</v>
      </c>
      <c r="H16" s="19">
        <f t="shared" si="1"/>
        <v>0</v>
      </c>
    </row>
    <row r="17" spans="1:8">
      <c r="A17" s="16">
        <v>9</v>
      </c>
      <c r="B17" s="63">
        <v>12.666666666666666</v>
      </c>
      <c r="C17" s="16">
        <v>2</v>
      </c>
      <c r="D17" s="19">
        <v>0</v>
      </c>
      <c r="E17" s="19">
        <v>0</v>
      </c>
      <c r="F17" s="19">
        <v>0</v>
      </c>
      <c r="G17" s="19">
        <f t="shared" si="0"/>
        <v>0</v>
      </c>
      <c r="H17" s="19">
        <f t="shared" si="1"/>
        <v>0</v>
      </c>
    </row>
    <row r="18" spans="1:8">
      <c r="A18" s="16">
        <v>10</v>
      </c>
      <c r="B18" s="63">
        <v>14</v>
      </c>
      <c r="C18" s="16">
        <v>2</v>
      </c>
      <c r="D18" s="19">
        <v>0</v>
      </c>
      <c r="E18" s="19">
        <v>0</v>
      </c>
      <c r="F18" s="19">
        <v>0</v>
      </c>
      <c r="G18" s="19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16">
        <v>11</v>
      </c>
      <c r="B19" s="63">
        <v>15.333333333333334</v>
      </c>
      <c r="C19" s="16">
        <v>2</v>
      </c>
      <c r="D19" s="19">
        <v>0</v>
      </c>
      <c r="E19" s="19">
        <v>0</v>
      </c>
      <c r="F19" s="19">
        <v>0</v>
      </c>
      <c r="G19" s="19">
        <f t="shared" si="2"/>
        <v>0</v>
      </c>
      <c r="H19" s="19">
        <f t="shared" si="3"/>
        <v>0</v>
      </c>
    </row>
    <row r="20" spans="1:8">
      <c r="A20" s="16">
        <v>12</v>
      </c>
      <c r="B20" s="63">
        <v>16.666666666666668</v>
      </c>
      <c r="C20" s="16">
        <v>2</v>
      </c>
      <c r="D20" s="19">
        <v>0</v>
      </c>
      <c r="E20" s="19">
        <v>0</v>
      </c>
      <c r="F20" s="19">
        <v>0</v>
      </c>
      <c r="G20" s="19">
        <f t="shared" si="2"/>
        <v>0</v>
      </c>
      <c r="H20" s="19">
        <f t="shared" si="3"/>
        <v>0</v>
      </c>
    </row>
    <row r="21" spans="1:8">
      <c r="A21" s="16">
        <v>13</v>
      </c>
      <c r="B21" s="63">
        <v>18</v>
      </c>
      <c r="C21" s="16">
        <v>2</v>
      </c>
      <c r="D21" s="19">
        <v>0</v>
      </c>
      <c r="E21" s="19">
        <v>0</v>
      </c>
      <c r="F21" s="19">
        <v>0</v>
      </c>
      <c r="G21" s="19">
        <f t="shared" si="2"/>
        <v>0</v>
      </c>
      <c r="H21" s="19">
        <f t="shared" si="3"/>
        <v>0</v>
      </c>
    </row>
    <row r="22" spans="1:8">
      <c r="A22" s="16">
        <v>14</v>
      </c>
      <c r="B22" s="63">
        <v>24</v>
      </c>
      <c r="C22" s="16">
        <v>2</v>
      </c>
      <c r="D22" s="19">
        <v>0</v>
      </c>
      <c r="E22" s="19">
        <v>0</v>
      </c>
      <c r="F22" s="19">
        <v>0</v>
      </c>
      <c r="G22" s="19">
        <f t="shared" si="2"/>
        <v>0</v>
      </c>
      <c r="H22" s="19">
        <f t="shared" si="3"/>
        <v>0</v>
      </c>
    </row>
    <row r="23" spans="1:8">
      <c r="A23" s="16">
        <v>15</v>
      </c>
      <c r="B23" s="63">
        <v>30</v>
      </c>
      <c r="C23" s="16">
        <v>2</v>
      </c>
      <c r="D23" s="19">
        <v>0</v>
      </c>
      <c r="E23" s="19">
        <v>0</v>
      </c>
      <c r="F23" s="19">
        <v>0</v>
      </c>
      <c r="G23" s="19">
        <f t="shared" si="2"/>
        <v>0</v>
      </c>
      <c r="H23" s="19">
        <f t="shared" si="3"/>
        <v>0</v>
      </c>
    </row>
    <row r="24" spans="1:8">
      <c r="A24" s="16">
        <v>16</v>
      </c>
      <c r="B24" s="63">
        <v>48</v>
      </c>
      <c r="C24" s="16">
        <v>2</v>
      </c>
      <c r="D24" s="19">
        <v>0</v>
      </c>
      <c r="E24" s="19">
        <v>0</v>
      </c>
      <c r="F24" s="19">
        <v>0</v>
      </c>
      <c r="G24" s="19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65</v>
      </c>
      <c r="B2" s="17">
        <v>46.03</v>
      </c>
    </row>
    <row r="4" spans="1:8">
      <c r="A4" s="166" t="s">
        <v>65</v>
      </c>
      <c r="B4" s="167"/>
      <c r="C4" s="167"/>
      <c r="D4" s="167"/>
      <c r="E4" s="167"/>
      <c r="F4" s="167"/>
      <c r="G4" s="167"/>
      <c r="H4" s="168"/>
    </row>
    <row r="5" spans="1:8">
      <c r="A5" s="169" t="s">
        <v>62</v>
      </c>
      <c r="B5" s="167"/>
      <c r="C5" s="168"/>
      <c r="D5" s="170" t="s">
        <v>45</v>
      </c>
      <c r="E5" s="170" t="s">
        <v>46</v>
      </c>
      <c r="F5" s="170" t="s">
        <v>47</v>
      </c>
      <c r="G5" s="172" t="s">
        <v>63</v>
      </c>
      <c r="H5" s="172" t="s">
        <v>64</v>
      </c>
    </row>
    <row r="6" spans="1:8">
      <c r="A6" s="28" t="s">
        <v>4</v>
      </c>
      <c r="B6" s="28" t="s">
        <v>60</v>
      </c>
      <c r="C6" s="28" t="s">
        <v>19</v>
      </c>
      <c r="D6" s="171"/>
      <c r="E6" s="171"/>
      <c r="F6" s="171"/>
      <c r="G6" s="173"/>
      <c r="H6" s="173"/>
    </row>
    <row r="7" spans="1:8">
      <c r="A7" s="64">
        <v>0</v>
      </c>
      <c r="B7" s="61">
        <v>-0.16666666666666666</v>
      </c>
      <c r="C7" s="16">
        <v>2</v>
      </c>
      <c r="D7" s="54">
        <v>0</v>
      </c>
      <c r="E7" s="54">
        <v>0</v>
      </c>
      <c r="F7" s="54">
        <v>0</v>
      </c>
      <c r="G7" s="16">
        <f>(C7*1000*AVERAGE(D7:F7))/$B$2</f>
        <v>0</v>
      </c>
      <c r="H7" s="19">
        <f t="shared" ref="H7:H9" si="0">(C7*1000*STDEV(D7:F7))/$B$2</f>
        <v>0</v>
      </c>
    </row>
    <row r="8" spans="1:8">
      <c r="A8" s="65">
        <v>0</v>
      </c>
      <c r="B8" s="63">
        <v>0.16666666666666666</v>
      </c>
      <c r="C8" s="16">
        <v>2</v>
      </c>
      <c r="D8" s="54">
        <v>2.4E-2</v>
      </c>
      <c r="E8" s="54">
        <v>2.5000000000000001E-2</v>
      </c>
      <c r="F8" s="54">
        <v>2.5000000000000001E-2</v>
      </c>
      <c r="G8" s="16">
        <f t="shared" ref="G8:G10" si="1">(C8*1000*AVERAGE(D8:F8))/$B$2</f>
        <v>1.0717647910782824</v>
      </c>
      <c r="H8" s="19">
        <f t="shared" si="0"/>
        <v>2.5085825296094995E-2</v>
      </c>
    </row>
    <row r="9" spans="1:8">
      <c r="A9" s="65">
        <v>1</v>
      </c>
      <c r="B9" s="63">
        <v>2</v>
      </c>
      <c r="C9" s="16">
        <v>2</v>
      </c>
      <c r="D9" s="54">
        <v>2.1999999999999999E-2</v>
      </c>
      <c r="E9" s="54">
        <v>2.3E-2</v>
      </c>
      <c r="F9" s="54">
        <v>2.1999999999999999E-2</v>
      </c>
      <c r="G9" s="16">
        <f t="shared" si="1"/>
        <v>0.97038163516547171</v>
      </c>
      <c r="H9" s="19">
        <f t="shared" si="0"/>
        <v>2.5085825296094988E-2</v>
      </c>
    </row>
    <row r="10" spans="1:8">
      <c r="A10" s="65">
        <v>2</v>
      </c>
      <c r="B10" s="63">
        <v>3.3333333333333335</v>
      </c>
      <c r="C10" s="16">
        <v>2</v>
      </c>
      <c r="D10" s="54">
        <v>1.7999999999999999E-2</v>
      </c>
      <c r="E10" s="54">
        <v>1.7999999999999999E-2</v>
      </c>
      <c r="F10" s="54">
        <v>1.7999999999999999E-2</v>
      </c>
      <c r="G10" s="16">
        <f t="shared" si="1"/>
        <v>0.78209863132739521</v>
      </c>
      <c r="H10" s="19">
        <f t="shared" ref="H10:H23" si="2">(C10*1000*STDEV(D10:F10))/$B$2</f>
        <v>0</v>
      </c>
    </row>
    <row r="11" spans="1:8">
      <c r="A11" s="65">
        <v>3</v>
      </c>
      <c r="B11" s="63">
        <v>4.666666666666667</v>
      </c>
      <c r="C11" s="16">
        <v>2</v>
      </c>
      <c r="D11" s="54">
        <v>1.6E-2</v>
      </c>
      <c r="E11" s="54">
        <v>1.7000000000000001E-2</v>
      </c>
      <c r="F11" s="54">
        <v>1.7000000000000001E-2</v>
      </c>
      <c r="G11" s="16">
        <f t="shared" ref="G11:G23" si="3">(C11*1000*AVERAGE(D11:F11))/$B$2</f>
        <v>0.7241653993772178</v>
      </c>
      <c r="H11" s="19">
        <f t="shared" si="2"/>
        <v>2.5085825296094988E-2</v>
      </c>
    </row>
    <row r="12" spans="1:8">
      <c r="A12" s="65">
        <v>4</v>
      </c>
      <c r="B12" s="63">
        <v>6</v>
      </c>
      <c r="C12" s="16">
        <v>2</v>
      </c>
      <c r="D12" s="54">
        <v>2E-3</v>
      </c>
      <c r="E12" s="54">
        <v>2E-3</v>
      </c>
      <c r="F12" s="54">
        <v>1E-3</v>
      </c>
      <c r="G12" s="16">
        <f t="shared" si="3"/>
        <v>7.2416539937721777E-2</v>
      </c>
      <c r="H12" s="19">
        <f t="shared" si="2"/>
        <v>2.5085825296094974E-2</v>
      </c>
    </row>
    <row r="13" spans="1:8">
      <c r="A13" s="65">
        <v>5</v>
      </c>
      <c r="B13" s="63">
        <v>7.333333333333333</v>
      </c>
      <c r="C13" s="16">
        <v>2</v>
      </c>
      <c r="D13" s="54">
        <v>0</v>
      </c>
      <c r="E13" s="54">
        <v>0</v>
      </c>
      <c r="F13" s="54">
        <v>0</v>
      </c>
      <c r="G13" s="16">
        <f t="shared" si="3"/>
        <v>0</v>
      </c>
      <c r="H13" s="19">
        <f t="shared" si="2"/>
        <v>0</v>
      </c>
    </row>
    <row r="14" spans="1:8">
      <c r="A14" s="65">
        <v>6</v>
      </c>
      <c r="B14" s="63">
        <v>8.6666666666666661</v>
      </c>
      <c r="C14" s="16">
        <v>2</v>
      </c>
      <c r="D14" s="54">
        <v>0</v>
      </c>
      <c r="E14" s="54">
        <v>0</v>
      </c>
      <c r="F14" s="54">
        <v>0</v>
      </c>
      <c r="G14" s="16">
        <f t="shared" si="3"/>
        <v>0</v>
      </c>
      <c r="H14" s="19">
        <f t="shared" si="2"/>
        <v>0</v>
      </c>
    </row>
    <row r="15" spans="1:8">
      <c r="A15" s="65">
        <v>7</v>
      </c>
      <c r="B15" s="63">
        <v>10</v>
      </c>
      <c r="C15" s="16">
        <v>2</v>
      </c>
      <c r="D15" s="54">
        <v>0</v>
      </c>
      <c r="E15" s="54">
        <v>0</v>
      </c>
      <c r="F15" s="54">
        <v>0</v>
      </c>
      <c r="G15" s="16">
        <f t="shared" si="3"/>
        <v>0</v>
      </c>
      <c r="H15" s="19">
        <f t="shared" si="2"/>
        <v>0</v>
      </c>
    </row>
    <row r="16" spans="1:8">
      <c r="A16" s="65">
        <v>8</v>
      </c>
      <c r="B16" s="63">
        <v>11.333333333333334</v>
      </c>
      <c r="C16" s="16">
        <v>2</v>
      </c>
      <c r="D16" s="54">
        <v>0</v>
      </c>
      <c r="E16" s="54">
        <v>0</v>
      </c>
      <c r="F16" s="54">
        <v>0</v>
      </c>
      <c r="G16" s="16">
        <f t="shared" si="3"/>
        <v>0</v>
      </c>
      <c r="H16" s="19">
        <f t="shared" si="2"/>
        <v>0</v>
      </c>
    </row>
    <row r="17" spans="1:8">
      <c r="A17" s="65">
        <v>9</v>
      </c>
      <c r="B17" s="63">
        <v>12.666666666666666</v>
      </c>
      <c r="C17" s="16">
        <v>2</v>
      </c>
      <c r="D17" s="54">
        <v>0</v>
      </c>
      <c r="E17" s="54">
        <v>0</v>
      </c>
      <c r="F17" s="54">
        <v>0</v>
      </c>
      <c r="G17" s="16">
        <f t="shared" si="3"/>
        <v>0</v>
      </c>
      <c r="H17" s="19">
        <f t="shared" si="2"/>
        <v>0</v>
      </c>
    </row>
    <row r="18" spans="1:8">
      <c r="A18" s="65">
        <v>10</v>
      </c>
      <c r="B18" s="63">
        <v>14</v>
      </c>
      <c r="C18" s="16">
        <v>2</v>
      </c>
      <c r="D18" s="54">
        <v>0</v>
      </c>
      <c r="E18" s="54">
        <v>0</v>
      </c>
      <c r="F18" s="54">
        <v>0</v>
      </c>
      <c r="G18" s="16">
        <f t="shared" si="3"/>
        <v>0</v>
      </c>
      <c r="H18" s="19">
        <f t="shared" si="2"/>
        <v>0</v>
      </c>
    </row>
    <row r="19" spans="1:8">
      <c r="A19" s="65">
        <v>11</v>
      </c>
      <c r="B19" s="63">
        <v>15.333333333333334</v>
      </c>
      <c r="C19" s="16">
        <v>2</v>
      </c>
      <c r="D19" s="54">
        <v>0</v>
      </c>
      <c r="E19" s="54">
        <v>0</v>
      </c>
      <c r="F19" s="54">
        <v>0</v>
      </c>
      <c r="G19" s="16">
        <f t="shared" si="3"/>
        <v>0</v>
      </c>
      <c r="H19" s="19">
        <f t="shared" si="2"/>
        <v>0</v>
      </c>
    </row>
    <row r="20" spans="1:8">
      <c r="A20" s="65">
        <v>12</v>
      </c>
      <c r="B20" s="63">
        <v>16.666666666666668</v>
      </c>
      <c r="C20" s="16">
        <v>2</v>
      </c>
      <c r="D20" s="54">
        <v>0</v>
      </c>
      <c r="E20" s="54">
        <v>0</v>
      </c>
      <c r="F20" s="54">
        <v>0</v>
      </c>
      <c r="G20" s="16">
        <f t="shared" si="3"/>
        <v>0</v>
      </c>
      <c r="H20" s="19">
        <f t="shared" si="2"/>
        <v>0</v>
      </c>
    </row>
    <row r="21" spans="1:8">
      <c r="A21" s="65">
        <v>13</v>
      </c>
      <c r="B21" s="63">
        <v>18</v>
      </c>
      <c r="C21" s="16">
        <v>2</v>
      </c>
      <c r="D21" s="54">
        <v>0</v>
      </c>
      <c r="E21" s="54">
        <v>0</v>
      </c>
      <c r="F21" s="54">
        <v>0</v>
      </c>
      <c r="G21" s="16">
        <f t="shared" si="3"/>
        <v>0</v>
      </c>
      <c r="H21" s="19">
        <f t="shared" si="2"/>
        <v>0</v>
      </c>
    </row>
    <row r="22" spans="1:8">
      <c r="A22" s="65">
        <v>14</v>
      </c>
      <c r="B22" s="63">
        <v>24</v>
      </c>
      <c r="C22" s="16">
        <v>2</v>
      </c>
      <c r="D22" s="54">
        <v>0</v>
      </c>
      <c r="E22" s="54">
        <v>0</v>
      </c>
      <c r="F22" s="54">
        <v>0</v>
      </c>
      <c r="G22" s="16">
        <f t="shared" si="3"/>
        <v>0</v>
      </c>
      <c r="H22" s="19">
        <f t="shared" si="2"/>
        <v>0</v>
      </c>
    </row>
    <row r="23" spans="1:8">
      <c r="A23" s="65">
        <v>15</v>
      </c>
      <c r="B23" s="63">
        <v>30</v>
      </c>
      <c r="C23" s="16">
        <v>2</v>
      </c>
      <c r="D23" s="54">
        <v>0</v>
      </c>
      <c r="E23" s="54">
        <v>0</v>
      </c>
      <c r="F23" s="54">
        <v>0</v>
      </c>
      <c r="G23" s="16">
        <f t="shared" si="3"/>
        <v>0</v>
      </c>
      <c r="H23" s="19">
        <f t="shared" si="2"/>
        <v>0</v>
      </c>
    </row>
    <row r="24" spans="1:8">
      <c r="A24" s="65">
        <v>16</v>
      </c>
      <c r="B24" s="63">
        <v>48</v>
      </c>
      <c r="C24" s="16">
        <v>2</v>
      </c>
      <c r="D24" s="54">
        <v>0</v>
      </c>
      <c r="E24" s="54">
        <v>0</v>
      </c>
      <c r="F24" s="54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66" t="s">
        <v>43</v>
      </c>
      <c r="B4" s="167"/>
      <c r="C4" s="167"/>
      <c r="D4" s="167"/>
      <c r="E4" s="167"/>
      <c r="F4" s="167"/>
      <c r="G4" s="167"/>
      <c r="H4" s="168"/>
    </row>
    <row r="5" spans="1:8">
      <c r="A5" s="169" t="s">
        <v>62</v>
      </c>
      <c r="B5" s="167"/>
      <c r="C5" s="168"/>
      <c r="D5" s="170" t="s">
        <v>45</v>
      </c>
      <c r="E5" s="170" t="s">
        <v>46</v>
      </c>
      <c r="F5" s="170" t="s">
        <v>47</v>
      </c>
      <c r="G5" s="172" t="s">
        <v>63</v>
      </c>
      <c r="H5" s="172" t="s">
        <v>64</v>
      </c>
    </row>
    <row r="6" spans="1:8">
      <c r="A6" s="22" t="s">
        <v>4</v>
      </c>
      <c r="B6" s="22" t="s">
        <v>60</v>
      </c>
      <c r="C6" s="22" t="s">
        <v>19</v>
      </c>
      <c r="D6" s="171"/>
      <c r="E6" s="171"/>
      <c r="F6" s="171"/>
      <c r="G6" s="173"/>
      <c r="H6" s="173"/>
    </row>
    <row r="7" spans="1:8">
      <c r="A7" s="64">
        <v>0</v>
      </c>
      <c r="B7" s="61">
        <v>-0.16666666666666666</v>
      </c>
      <c r="C7" s="16">
        <v>2</v>
      </c>
      <c r="D7" s="19">
        <v>1.478</v>
      </c>
      <c r="E7" s="19">
        <v>1.4830000000000001</v>
      </c>
      <c r="F7" s="19">
        <v>1.4850000000000001</v>
      </c>
      <c r="G7" s="16">
        <f>(C7*1000*AVERAGE(D7:F7))/$B$2</f>
        <v>49.358867610324737</v>
      </c>
      <c r="H7" s="19">
        <f>(C7*1000*STDEV(D7:F7))/$B$2</f>
        <v>0.12008497170571371</v>
      </c>
    </row>
    <row r="8" spans="1:8">
      <c r="A8" s="65">
        <v>0</v>
      </c>
      <c r="B8" s="63">
        <v>0.16666666666666666</v>
      </c>
      <c r="C8" s="16">
        <v>2</v>
      </c>
      <c r="D8" s="19">
        <v>1.2869999999999999</v>
      </c>
      <c r="E8" s="19">
        <v>1.3320000000000001</v>
      </c>
      <c r="F8" s="19">
        <v>1.3180000000000001</v>
      </c>
      <c r="G8" s="16">
        <f t="shared" ref="G8:G17" si="0">(C8*1000*AVERAGE(D8:F8))/$B$2</f>
        <v>43.708021093533169</v>
      </c>
      <c r="H8" s="19">
        <f t="shared" ref="H8:H17" si="1">(C8*1000*STDEV(D8:F8))/$B$2</f>
        <v>0.76699308129518451</v>
      </c>
    </row>
    <row r="9" spans="1:8">
      <c r="A9" s="65">
        <v>1</v>
      </c>
      <c r="B9" s="63">
        <v>2</v>
      </c>
      <c r="C9" s="16">
        <v>2</v>
      </c>
      <c r="D9" s="19">
        <v>1.337</v>
      </c>
      <c r="E9" s="19">
        <v>1.325</v>
      </c>
      <c r="F9" s="19">
        <v>1.339</v>
      </c>
      <c r="G9" s="16">
        <f t="shared" si="0"/>
        <v>44.418540105467663</v>
      </c>
      <c r="H9" s="19">
        <f t="shared" si="1"/>
        <v>0.25218577167028716</v>
      </c>
    </row>
    <row r="10" spans="1:8">
      <c r="A10" s="65">
        <v>2</v>
      </c>
      <c r="B10" s="63">
        <v>3.3333333333333335</v>
      </c>
      <c r="C10" s="16">
        <v>2</v>
      </c>
      <c r="D10" s="19">
        <v>1.3</v>
      </c>
      <c r="E10" s="19">
        <v>1.2929999999999999</v>
      </c>
      <c r="F10" s="19">
        <v>1.294</v>
      </c>
      <c r="G10" s="16">
        <f t="shared" si="0"/>
        <v>43.152928115459346</v>
      </c>
      <c r="H10" s="19">
        <f t="shared" si="1"/>
        <v>0.12609288583514486</v>
      </c>
    </row>
    <row r="11" spans="1:8">
      <c r="A11" s="65">
        <v>3</v>
      </c>
      <c r="B11" s="63">
        <v>4.666666666666667</v>
      </c>
      <c r="C11" s="16">
        <v>2</v>
      </c>
      <c r="D11" s="19">
        <v>1.264</v>
      </c>
      <c r="E11" s="19">
        <v>1.2549999999999999</v>
      </c>
      <c r="F11" s="19">
        <v>1.2529999999999999</v>
      </c>
      <c r="G11" s="16">
        <f t="shared" si="0"/>
        <v>41.876214265889544</v>
      </c>
      <c r="H11" s="19">
        <f t="shared" si="1"/>
        <v>0.19515288183455068</v>
      </c>
    </row>
    <row r="12" spans="1:8">
      <c r="A12" s="65">
        <v>4</v>
      </c>
      <c r="B12" s="63">
        <v>6</v>
      </c>
      <c r="C12" s="16">
        <v>2</v>
      </c>
      <c r="D12" s="19">
        <v>1.085</v>
      </c>
      <c r="E12" s="19">
        <v>1.073</v>
      </c>
      <c r="F12" s="19">
        <v>1.0880000000000001</v>
      </c>
      <c r="G12" s="16">
        <f t="shared" si="0"/>
        <v>36.036636136552872</v>
      </c>
      <c r="H12" s="19">
        <f t="shared" si="1"/>
        <v>0.26435483541028548</v>
      </c>
    </row>
    <row r="13" spans="1:8">
      <c r="A13" s="65">
        <v>5</v>
      </c>
      <c r="B13" s="63">
        <v>7.333333333333333</v>
      </c>
      <c r="C13" s="16">
        <v>2</v>
      </c>
      <c r="D13" s="19">
        <v>1.0569999999999999</v>
      </c>
      <c r="E13" s="19">
        <v>1.036</v>
      </c>
      <c r="F13" s="19">
        <v>1.0860000000000001</v>
      </c>
      <c r="G13" s="16">
        <f t="shared" si="0"/>
        <v>35.292811545933951</v>
      </c>
      <c r="H13" s="19">
        <f t="shared" si="1"/>
        <v>0.83618451546602579</v>
      </c>
    </row>
    <row r="14" spans="1:8">
      <c r="A14" s="65">
        <v>6</v>
      </c>
      <c r="B14" s="63">
        <v>8.6666666666666661</v>
      </c>
      <c r="C14" s="16">
        <v>2</v>
      </c>
      <c r="D14" s="19">
        <v>1.0569999999999999</v>
      </c>
      <c r="E14" s="19">
        <v>1.0429999999999999</v>
      </c>
      <c r="F14" s="19">
        <v>1.0680000000000001</v>
      </c>
      <c r="G14" s="16">
        <f t="shared" si="0"/>
        <v>35.170691090757693</v>
      </c>
      <c r="H14" s="19">
        <f t="shared" si="1"/>
        <v>0.41731770478407104</v>
      </c>
    </row>
    <row r="15" spans="1:8">
      <c r="A15" s="65">
        <v>7</v>
      </c>
      <c r="B15" s="63">
        <v>10</v>
      </c>
      <c r="C15" s="16">
        <v>2</v>
      </c>
      <c r="D15" s="19">
        <v>1.0940000000000001</v>
      </c>
      <c r="E15" s="19">
        <v>1.081</v>
      </c>
      <c r="F15" s="19">
        <v>1.0920000000000001</v>
      </c>
      <c r="G15" s="16">
        <f t="shared" si="0"/>
        <v>36.269775187343882</v>
      </c>
      <c r="H15" s="19">
        <f t="shared" si="1"/>
        <v>0.2331390507910098</v>
      </c>
    </row>
    <row r="16" spans="1:8">
      <c r="A16" s="65">
        <v>8</v>
      </c>
      <c r="B16" s="63">
        <v>11.333333333333334</v>
      </c>
      <c r="C16" s="16">
        <v>2</v>
      </c>
      <c r="D16" s="19">
        <v>1.038</v>
      </c>
      <c r="E16" s="19">
        <v>1.0669999999999999</v>
      </c>
      <c r="F16" s="19">
        <v>1.0509999999999999</v>
      </c>
      <c r="G16" s="16">
        <f t="shared" si="0"/>
        <v>35.037468776019978</v>
      </c>
      <c r="H16" s="19">
        <f t="shared" si="1"/>
        <v>0.48379147531503447</v>
      </c>
    </row>
    <row r="17" spans="1:8">
      <c r="A17" s="65">
        <v>9</v>
      </c>
      <c r="B17" s="63">
        <v>12.666666666666666</v>
      </c>
      <c r="C17" s="16">
        <v>2</v>
      </c>
      <c r="D17" s="19">
        <v>1.056</v>
      </c>
      <c r="E17" s="19">
        <v>1.1000000000000001</v>
      </c>
      <c r="F17" s="19">
        <v>1.113</v>
      </c>
      <c r="G17" s="16">
        <f t="shared" si="0"/>
        <v>36.291978906466838</v>
      </c>
      <c r="H17" s="19">
        <f t="shared" si="1"/>
        <v>0.99490254580003468</v>
      </c>
    </row>
    <row r="18" spans="1:8">
      <c r="A18" s="65">
        <v>10</v>
      </c>
      <c r="B18" s="63">
        <v>14</v>
      </c>
      <c r="C18" s="16">
        <v>2</v>
      </c>
      <c r="D18" s="19">
        <v>1.032</v>
      </c>
      <c r="E18" s="19">
        <v>1.056</v>
      </c>
      <c r="F18" s="19">
        <v>1.0529999999999999</v>
      </c>
      <c r="G18" s="16">
        <f t="shared" ref="G18:G23" si="2">(C18*1000*AVERAGE(D18:F18))/$B$2</f>
        <v>34.870940882597836</v>
      </c>
      <c r="H18" s="19">
        <f t="shared" ref="H18:H23" si="3">(C18*1000*STDEV(D18:F18))/$B$2</f>
        <v>0.43552695522471291</v>
      </c>
    </row>
    <row r="19" spans="1:8">
      <c r="A19" s="65">
        <v>11</v>
      </c>
      <c r="B19" s="63">
        <v>15.333333333333334</v>
      </c>
      <c r="C19" s="16">
        <v>2</v>
      </c>
      <c r="D19" s="19">
        <v>1.099</v>
      </c>
      <c r="E19" s="19">
        <v>1.093</v>
      </c>
      <c r="F19" s="19">
        <v>1.097</v>
      </c>
      <c r="G19" s="16">
        <f t="shared" si="2"/>
        <v>36.51401609769637</v>
      </c>
      <c r="H19" s="19">
        <f t="shared" si="3"/>
        <v>0.10175022359047113</v>
      </c>
    </row>
    <row r="20" spans="1:8">
      <c r="A20" s="65">
        <v>12</v>
      </c>
      <c r="B20" s="63">
        <v>16.666666666666668</v>
      </c>
      <c r="C20" s="16">
        <v>2</v>
      </c>
      <c r="D20" s="19">
        <v>1.093</v>
      </c>
      <c r="E20" s="19">
        <v>1.0760000000000001</v>
      </c>
      <c r="F20" s="19">
        <v>1.089</v>
      </c>
      <c r="G20" s="16">
        <f t="shared" si="2"/>
        <v>36.169858451290594</v>
      </c>
      <c r="H20" s="19">
        <f t="shared" si="3"/>
        <v>0.29602645852841086</v>
      </c>
    </row>
    <row r="21" spans="1:8">
      <c r="A21" s="65">
        <v>13</v>
      </c>
      <c r="B21" s="63">
        <v>18</v>
      </c>
      <c r="C21" s="16">
        <v>2</v>
      </c>
      <c r="D21" s="19">
        <v>1.0880000000000001</v>
      </c>
      <c r="E21" s="19">
        <v>1.0960000000000001</v>
      </c>
      <c r="F21" s="19">
        <v>1.087</v>
      </c>
      <c r="G21" s="16">
        <f t="shared" si="2"/>
        <v>36.314182625589794</v>
      </c>
      <c r="H21" s="19">
        <f t="shared" si="3"/>
        <v>0.16429251831194969</v>
      </c>
    </row>
    <row r="22" spans="1:8">
      <c r="A22" s="65">
        <v>14</v>
      </c>
      <c r="B22" s="63">
        <v>24</v>
      </c>
      <c r="C22" s="16">
        <v>2</v>
      </c>
      <c r="D22" s="19">
        <v>1.101</v>
      </c>
      <c r="E22" s="19">
        <v>1.0940000000000001</v>
      </c>
      <c r="F22" s="19">
        <v>1.028</v>
      </c>
      <c r="G22" s="16">
        <f t="shared" si="2"/>
        <v>35.781293366638913</v>
      </c>
      <c r="H22" s="19">
        <f t="shared" si="3"/>
        <v>1.3414887337722399</v>
      </c>
    </row>
    <row r="23" spans="1:8">
      <c r="A23" s="65">
        <v>15</v>
      </c>
      <c r="B23" s="63">
        <v>30</v>
      </c>
      <c r="C23" s="16">
        <v>2</v>
      </c>
      <c r="D23" s="19">
        <v>1.0629999999999999</v>
      </c>
      <c r="E23" s="19">
        <v>1.071</v>
      </c>
      <c r="F23" s="19">
        <v>1.073</v>
      </c>
      <c r="G23" s="16">
        <f t="shared" si="2"/>
        <v>35.603663613655286</v>
      </c>
      <c r="H23" s="19">
        <f t="shared" si="3"/>
        <v>0.17623655694018939</v>
      </c>
    </row>
    <row r="24" spans="1:8">
      <c r="A24" s="65">
        <v>16</v>
      </c>
      <c r="B24" s="63">
        <v>48</v>
      </c>
      <c r="C24" s="16">
        <v>2</v>
      </c>
      <c r="D24" s="19">
        <v>1.0680000000000001</v>
      </c>
      <c r="E24" s="19">
        <v>1.054</v>
      </c>
      <c r="F24" s="19">
        <v>1.0349999999999999</v>
      </c>
      <c r="G24" s="16">
        <f t="shared" ref="G24" si="4">(C24*1000*AVERAGE(D24:F24))/$B$2</f>
        <v>35.048570635581456</v>
      </c>
      <c r="H24" s="19">
        <f t="shared" ref="H24" si="5">(C24*1000*STDEV(D24:F24))/$B$2</f>
        <v>0.55164066605850226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67</v>
      </c>
      <c r="B2" s="17">
        <v>74.08</v>
      </c>
    </row>
    <row r="4" spans="1:8">
      <c r="A4" s="166" t="s">
        <v>67</v>
      </c>
      <c r="B4" s="167"/>
      <c r="C4" s="167"/>
      <c r="D4" s="167"/>
      <c r="E4" s="167"/>
      <c r="F4" s="167"/>
      <c r="G4" s="167"/>
      <c r="H4" s="168"/>
    </row>
    <row r="5" spans="1:8">
      <c r="A5" s="169" t="s">
        <v>62</v>
      </c>
      <c r="B5" s="167"/>
      <c r="C5" s="168"/>
      <c r="D5" s="170" t="s">
        <v>45</v>
      </c>
      <c r="E5" s="170" t="s">
        <v>46</v>
      </c>
      <c r="F5" s="170" t="s">
        <v>47</v>
      </c>
      <c r="G5" s="172" t="s">
        <v>63</v>
      </c>
      <c r="H5" s="172" t="s">
        <v>64</v>
      </c>
    </row>
    <row r="6" spans="1:8">
      <c r="A6" s="28" t="s">
        <v>4</v>
      </c>
      <c r="B6" s="28" t="s">
        <v>60</v>
      </c>
      <c r="C6" s="28" t="s">
        <v>19</v>
      </c>
      <c r="D6" s="171"/>
      <c r="E6" s="171"/>
      <c r="F6" s="171"/>
      <c r="G6" s="173"/>
      <c r="H6" s="173"/>
    </row>
    <row r="7" spans="1:8">
      <c r="A7" s="64">
        <v>0</v>
      </c>
      <c r="B7" s="61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65">
        <v>0</v>
      </c>
      <c r="B8" s="63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5">
        <v>1</v>
      </c>
      <c r="B9" s="63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5">
        <v>2</v>
      </c>
      <c r="B10" s="63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5">
        <v>3</v>
      </c>
      <c r="B11" s="63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5">
        <v>4</v>
      </c>
      <c r="B12" s="63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5">
        <v>5</v>
      </c>
      <c r="B13" s="63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5">
        <v>6</v>
      </c>
      <c r="B14" s="63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5">
        <v>7</v>
      </c>
      <c r="B15" s="63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5">
        <v>8</v>
      </c>
      <c r="B16" s="63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5">
        <v>9</v>
      </c>
      <c r="B17" s="63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5">
        <v>10</v>
      </c>
      <c r="B18" s="63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5">
        <v>11</v>
      </c>
      <c r="B19" s="63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5">
        <v>12</v>
      </c>
      <c r="B20" s="63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5">
        <v>13</v>
      </c>
      <c r="B21" s="63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5">
        <v>14</v>
      </c>
      <c r="B22" s="63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5">
        <v>15</v>
      </c>
      <c r="B23" s="63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5">
        <v>16</v>
      </c>
      <c r="B24" s="63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66</v>
      </c>
      <c r="B2" s="17">
        <v>88.11</v>
      </c>
    </row>
    <row r="4" spans="1:8">
      <c r="A4" s="166" t="s">
        <v>66</v>
      </c>
      <c r="B4" s="167"/>
      <c r="C4" s="167"/>
      <c r="D4" s="167"/>
      <c r="E4" s="167"/>
      <c r="F4" s="167"/>
      <c r="G4" s="167"/>
      <c r="H4" s="168"/>
    </row>
    <row r="5" spans="1:8">
      <c r="A5" s="169" t="s">
        <v>62</v>
      </c>
      <c r="B5" s="167"/>
      <c r="C5" s="168"/>
      <c r="D5" s="170" t="s">
        <v>45</v>
      </c>
      <c r="E5" s="170" t="s">
        <v>46</v>
      </c>
      <c r="F5" s="170" t="s">
        <v>47</v>
      </c>
      <c r="G5" s="172" t="s">
        <v>63</v>
      </c>
      <c r="H5" s="172" t="s">
        <v>64</v>
      </c>
    </row>
    <row r="6" spans="1:8">
      <c r="A6" s="28" t="s">
        <v>4</v>
      </c>
      <c r="B6" s="28" t="s">
        <v>60</v>
      </c>
      <c r="C6" s="28" t="s">
        <v>19</v>
      </c>
      <c r="D6" s="171"/>
      <c r="E6" s="171"/>
      <c r="F6" s="171"/>
      <c r="G6" s="173"/>
      <c r="H6" s="173"/>
    </row>
    <row r="7" spans="1:8">
      <c r="A7" s="64">
        <v>0</v>
      </c>
      <c r="B7" s="61">
        <v>-0.16666666666666666</v>
      </c>
      <c r="C7" s="16">
        <v>2</v>
      </c>
      <c r="D7" s="78">
        <v>3.0000000000000001E-3</v>
      </c>
      <c r="E7" s="79">
        <v>8.9999999999999993E-3</v>
      </c>
      <c r="F7" s="79">
        <v>1.2999999999999999E-2</v>
      </c>
      <c r="G7" s="16">
        <f>(C7*1000*AVERAGE(D7:F7))/$B$2</f>
        <v>0.18915749252827907</v>
      </c>
      <c r="H7" s="19">
        <f>(C7*1000*STDEV(D7:F7))/$B$2</f>
        <v>0.11424862006235761</v>
      </c>
    </row>
    <row r="8" spans="1:8">
      <c r="A8" s="65">
        <v>0</v>
      </c>
      <c r="B8" s="63">
        <v>0.16666666666666666</v>
      </c>
      <c r="C8" s="16">
        <v>2</v>
      </c>
      <c r="D8" s="55">
        <v>8.7999999999999995E-2</v>
      </c>
      <c r="E8" s="56">
        <v>9.2999999999999999E-2</v>
      </c>
      <c r="F8" s="56">
        <v>8.5000000000000006E-2</v>
      </c>
      <c r="G8" s="16">
        <f>(C8*1000*AVERAGE(D8:F8))/$B$2</f>
        <v>2.0126357205008891</v>
      </c>
      <c r="H8" s="19">
        <f t="shared" ref="H8:H17" si="0">(C8*1000*STDEV(D8:F8))/$B$2</f>
        <v>9.1736508553566631E-2</v>
      </c>
    </row>
    <row r="9" spans="1:8">
      <c r="A9" s="65">
        <v>1</v>
      </c>
      <c r="B9" s="63">
        <v>2</v>
      </c>
      <c r="C9" s="16">
        <v>2</v>
      </c>
      <c r="D9" s="55">
        <v>0.19400000000000001</v>
      </c>
      <c r="E9" s="56">
        <v>0.19900000000000001</v>
      </c>
      <c r="F9" s="56">
        <v>0.19600000000000001</v>
      </c>
      <c r="G9" s="16">
        <f t="shared" ref="G9:G17" si="1">(C9*1000*AVERAGE(D9:F9))/$B$2</f>
        <v>4.4565505239662544</v>
      </c>
      <c r="H9" s="19">
        <f t="shared" si="0"/>
        <v>5.7124310031178877E-2</v>
      </c>
    </row>
    <row r="10" spans="1:8">
      <c r="A10" s="65">
        <v>2</v>
      </c>
      <c r="B10" s="63">
        <v>3.3333333333333335</v>
      </c>
      <c r="C10" s="16">
        <v>2</v>
      </c>
      <c r="D10" s="54">
        <v>0.42299999999999999</v>
      </c>
      <c r="E10" s="54">
        <v>0.41899999999999998</v>
      </c>
      <c r="F10" s="54">
        <v>0.42099999999999999</v>
      </c>
      <c r="G10" s="16">
        <f t="shared" si="1"/>
        <v>9.556236522528657</v>
      </c>
      <c r="H10" s="19">
        <f t="shared" si="0"/>
        <v>4.5397798206787014E-2</v>
      </c>
    </row>
    <row r="11" spans="1:8">
      <c r="A11" s="65">
        <v>3</v>
      </c>
      <c r="B11" s="63">
        <v>4.666666666666667</v>
      </c>
      <c r="C11" s="16">
        <v>2</v>
      </c>
      <c r="D11" s="80">
        <v>0.89900000000000002</v>
      </c>
      <c r="E11" s="80">
        <v>0.88800000000000001</v>
      </c>
      <c r="F11" s="80">
        <v>0.89</v>
      </c>
      <c r="G11" s="16">
        <f t="shared" si="1"/>
        <v>20.254984299928118</v>
      </c>
      <c r="H11" s="19">
        <f t="shared" si="0"/>
        <v>0.13300341112432915</v>
      </c>
    </row>
    <row r="12" spans="1:8">
      <c r="A12" s="65">
        <v>4</v>
      </c>
      <c r="B12" s="63">
        <v>6</v>
      </c>
      <c r="C12" s="16">
        <v>2</v>
      </c>
      <c r="D12" s="80">
        <v>1.806</v>
      </c>
      <c r="E12" s="80">
        <v>1.7869999999999999</v>
      </c>
      <c r="F12" s="80">
        <v>1.8080000000000001</v>
      </c>
      <c r="G12" s="16">
        <f t="shared" si="1"/>
        <v>40.865584685809402</v>
      </c>
      <c r="H12" s="19">
        <f t="shared" si="0"/>
        <v>0.26308536527392001</v>
      </c>
    </row>
    <row r="13" spans="1:8">
      <c r="A13" s="65">
        <v>5</v>
      </c>
      <c r="B13" s="63">
        <v>7.333333333333333</v>
      </c>
      <c r="C13" s="16">
        <v>2</v>
      </c>
      <c r="D13" s="80">
        <v>1.98</v>
      </c>
      <c r="E13" s="80">
        <v>1.9219999999999999</v>
      </c>
      <c r="F13" s="80">
        <v>2.0289999999999999</v>
      </c>
      <c r="G13" s="16">
        <f t="shared" si="1"/>
        <v>44.875723527408923</v>
      </c>
      <c r="H13" s="19">
        <f t="shared" si="0"/>
        <v>1.2158221986918243</v>
      </c>
    </row>
    <row r="14" spans="1:8">
      <c r="A14" s="65">
        <v>6</v>
      </c>
      <c r="B14" s="63">
        <v>8.6666666666666661</v>
      </c>
      <c r="C14" s="16">
        <v>2</v>
      </c>
      <c r="D14" s="80">
        <v>2.0150000000000001</v>
      </c>
      <c r="E14" s="80">
        <v>1.946</v>
      </c>
      <c r="F14" s="80">
        <v>2.0139999999999998</v>
      </c>
      <c r="G14" s="16">
        <f t="shared" si="1"/>
        <v>45.208640714258692</v>
      </c>
      <c r="H14" s="19">
        <f t="shared" si="0"/>
        <v>0.8977790032880838</v>
      </c>
    </row>
    <row r="15" spans="1:8">
      <c r="A15" s="65">
        <v>7</v>
      </c>
      <c r="B15" s="63">
        <v>10</v>
      </c>
      <c r="C15" s="16">
        <v>2</v>
      </c>
      <c r="D15" s="80">
        <v>2.052</v>
      </c>
      <c r="E15" s="80">
        <v>2.06</v>
      </c>
      <c r="F15" s="80">
        <v>2.0680000000000001</v>
      </c>
      <c r="G15" s="16">
        <f t="shared" si="1"/>
        <v>46.75973215299058</v>
      </c>
      <c r="H15" s="19">
        <f t="shared" si="0"/>
        <v>0.18159119282714806</v>
      </c>
    </row>
    <row r="16" spans="1:8">
      <c r="A16" s="65">
        <v>8</v>
      </c>
      <c r="B16" s="63">
        <v>11.333333333333334</v>
      </c>
      <c r="C16" s="16">
        <v>2</v>
      </c>
      <c r="D16" s="80">
        <v>1.982</v>
      </c>
      <c r="E16" s="80">
        <v>2.0350000000000001</v>
      </c>
      <c r="F16" s="80">
        <v>2.0059999999999998</v>
      </c>
      <c r="G16" s="16">
        <f t="shared" si="1"/>
        <v>45.57182309991299</v>
      </c>
      <c r="H16" s="19">
        <f t="shared" si="0"/>
        <v>0.60241241779179389</v>
      </c>
    </row>
    <row r="17" spans="1:8">
      <c r="A17" s="65">
        <v>9</v>
      </c>
      <c r="B17" s="63">
        <v>12.666666666666666</v>
      </c>
      <c r="C17" s="16">
        <v>2</v>
      </c>
      <c r="D17" s="80">
        <v>2.0219999999999998</v>
      </c>
      <c r="E17" s="80">
        <v>2.0979999999999999</v>
      </c>
      <c r="F17" s="80">
        <v>2.1019999999999999</v>
      </c>
      <c r="G17" s="16">
        <f t="shared" si="1"/>
        <v>47.077516740438092</v>
      </c>
      <c r="H17" s="19">
        <f t="shared" si="0"/>
        <v>1.0232144064995714</v>
      </c>
    </row>
    <row r="18" spans="1:8">
      <c r="A18" s="65">
        <v>10</v>
      </c>
      <c r="B18" s="63">
        <v>14</v>
      </c>
      <c r="C18" s="16">
        <v>2</v>
      </c>
      <c r="D18" s="80">
        <v>1.9670000000000001</v>
      </c>
      <c r="E18" s="80">
        <v>1.994</v>
      </c>
      <c r="F18" s="80">
        <v>1.998</v>
      </c>
      <c r="G18" s="16">
        <f t="shared" ref="G18:G23" si="2">(C18*1000*AVERAGE(D18:F18))/$B$2</f>
        <v>45.0875799190406</v>
      </c>
      <c r="H18" s="19">
        <f t="shared" ref="H18:H23" si="3">(C18*1000*STDEV(D18:F18))/$B$2</f>
        <v>0.38275306987301333</v>
      </c>
    </row>
    <row r="19" spans="1:8">
      <c r="A19" s="65">
        <v>11</v>
      </c>
      <c r="B19" s="63">
        <v>15.333333333333334</v>
      </c>
      <c r="C19" s="16">
        <v>2</v>
      </c>
      <c r="D19" s="80">
        <v>2.0920000000000001</v>
      </c>
      <c r="E19" s="80">
        <v>2.085</v>
      </c>
      <c r="F19" s="80">
        <v>2.0739999999999998</v>
      </c>
      <c r="G19" s="16">
        <f t="shared" si="2"/>
        <v>47.296939431770888</v>
      </c>
      <c r="H19" s="19">
        <f t="shared" si="3"/>
        <v>0.20596462889291986</v>
      </c>
    </row>
    <row r="20" spans="1:8">
      <c r="A20" s="65">
        <v>12</v>
      </c>
      <c r="B20" s="63">
        <v>16.666666666666668</v>
      </c>
      <c r="C20" s="16">
        <v>2</v>
      </c>
      <c r="D20" s="80">
        <v>2.0750000000000002</v>
      </c>
      <c r="E20" s="80">
        <v>2.0699999999999998</v>
      </c>
      <c r="F20" s="80">
        <v>2.1139999999999999</v>
      </c>
      <c r="G20" s="16">
        <f t="shared" si="2"/>
        <v>47.357469829379937</v>
      </c>
      <c r="H20" s="19">
        <f t="shared" si="3"/>
        <v>0.54681894495984906</v>
      </c>
    </row>
    <row r="21" spans="1:8">
      <c r="A21" s="65">
        <v>13</v>
      </c>
      <c r="B21" s="63">
        <v>18</v>
      </c>
      <c r="C21" s="16">
        <v>2</v>
      </c>
      <c r="D21" s="80">
        <v>2.097</v>
      </c>
      <c r="E21" s="80">
        <v>2.09</v>
      </c>
      <c r="F21" s="80">
        <v>2.1709999999999998</v>
      </c>
      <c r="G21" s="16">
        <f t="shared" si="2"/>
        <v>48.106533499791922</v>
      </c>
      <c r="H21" s="19">
        <f t="shared" si="3"/>
        <v>1.0187566676948228</v>
      </c>
    </row>
    <row r="22" spans="1:8">
      <c r="A22" s="65">
        <v>14</v>
      </c>
      <c r="B22" s="63">
        <v>24</v>
      </c>
      <c r="C22" s="16">
        <v>2</v>
      </c>
      <c r="D22" s="80">
        <v>2.1819999999999999</v>
      </c>
      <c r="E22" s="80">
        <v>2.1970000000000001</v>
      </c>
      <c r="F22" s="80">
        <v>2.0840000000000001</v>
      </c>
      <c r="G22" s="16">
        <f t="shared" si="2"/>
        <v>48.900994968410693</v>
      </c>
      <c r="H22" s="19">
        <f t="shared" si="3"/>
        <v>1.3930418744241815</v>
      </c>
    </row>
    <row r="23" spans="1:8">
      <c r="A23" s="65">
        <v>15</v>
      </c>
      <c r="B23" s="63">
        <v>30</v>
      </c>
      <c r="C23" s="16">
        <v>2</v>
      </c>
      <c r="D23" s="80">
        <v>2.169</v>
      </c>
      <c r="E23" s="80">
        <v>2.169</v>
      </c>
      <c r="F23" s="80">
        <v>2.1709999999999998</v>
      </c>
      <c r="G23" s="16">
        <f t="shared" si="2"/>
        <v>49.249044754662727</v>
      </c>
      <c r="H23" s="19">
        <f t="shared" si="3"/>
        <v>2.6210431015301877E-2</v>
      </c>
    </row>
    <row r="24" spans="1:8">
      <c r="A24" s="65">
        <v>16</v>
      </c>
      <c r="B24" s="63">
        <v>48</v>
      </c>
      <c r="C24" s="16">
        <v>2</v>
      </c>
      <c r="D24" s="80">
        <v>2.1659999999999999</v>
      </c>
      <c r="E24" s="80">
        <v>2.165</v>
      </c>
      <c r="F24" s="80">
        <v>2.093</v>
      </c>
      <c r="G24" s="16">
        <f t="shared" ref="G24" si="4">(C24*1000*AVERAGE(D24:F24))/$B$2</f>
        <v>48.605909280066584</v>
      </c>
      <c r="H24" s="19">
        <f t="shared" ref="H24" si="5">(C24*1000*STDEV(D24:F24))/$B$2</f>
        <v>0.95019590748438831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4" sqref="A4:D20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33" t="s">
        <v>4</v>
      </c>
      <c r="B1" s="133" t="s">
        <v>117</v>
      </c>
      <c r="C1" s="133" t="s">
        <v>117</v>
      </c>
      <c r="D1" s="133" t="s">
        <v>5</v>
      </c>
      <c r="E1" s="4" t="s">
        <v>7</v>
      </c>
      <c r="F1" s="4" t="s">
        <v>9</v>
      </c>
      <c r="G1" s="132" t="s">
        <v>11</v>
      </c>
      <c r="H1" s="132" t="s">
        <v>12</v>
      </c>
      <c r="I1" s="4" t="s">
        <v>13</v>
      </c>
      <c r="J1" s="4" t="s">
        <v>16</v>
      </c>
      <c r="K1" s="4" t="s">
        <v>16</v>
      </c>
    </row>
    <row r="2" spans="1:11">
      <c r="A2" s="134"/>
      <c r="B2" s="134"/>
      <c r="C2" s="134"/>
      <c r="D2" s="134"/>
      <c r="E2" s="5" t="s">
        <v>8</v>
      </c>
      <c r="F2" s="5" t="s">
        <v>10</v>
      </c>
      <c r="G2" s="132"/>
      <c r="H2" s="132"/>
      <c r="I2" s="5" t="s">
        <v>14</v>
      </c>
      <c r="J2" s="5" t="s">
        <v>17</v>
      </c>
      <c r="K2" s="5" t="s">
        <v>139</v>
      </c>
    </row>
    <row r="3" spans="1:11">
      <c r="A3" s="32" t="s">
        <v>6</v>
      </c>
      <c r="B3" s="31">
        <v>-10</v>
      </c>
      <c r="C3" s="31">
        <f>B3</f>
        <v>-10</v>
      </c>
      <c r="D3" s="13">
        <f>C3/60</f>
        <v>-0.16666666666666666</v>
      </c>
      <c r="E3" s="3">
        <v>59</v>
      </c>
      <c r="F3" s="1">
        <f>E3</f>
        <v>59</v>
      </c>
      <c r="G3" s="1">
        <v>0</v>
      </c>
      <c r="H3" s="1">
        <v>0</v>
      </c>
      <c r="I3" s="1">
        <f>$F$22+G3+H3</f>
        <v>1500</v>
      </c>
      <c r="J3" s="13">
        <f>F3*1500/I3</f>
        <v>59</v>
      </c>
      <c r="K3" s="13">
        <f>$F$23-J3</f>
        <v>1591</v>
      </c>
    </row>
    <row r="4" spans="1:11">
      <c r="A4" s="1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1">
        <v>55</v>
      </c>
      <c r="F4" s="1">
        <f>E4+F3</f>
        <v>114</v>
      </c>
      <c r="G4" s="39">
        <v>2</v>
      </c>
      <c r="H4" s="39">
        <v>0</v>
      </c>
      <c r="I4" s="1">
        <f t="shared" ref="I4:I20" si="1">$F$23-F3+G4+H4</f>
        <v>1593</v>
      </c>
      <c r="J4" s="13">
        <f>E4*K3/I4</f>
        <v>54.930947897049592</v>
      </c>
      <c r="K4" s="13">
        <f>K3-J4</f>
        <v>1536.0690521029503</v>
      </c>
    </row>
    <row r="5" spans="1:11">
      <c r="A5" s="1">
        <v>1</v>
      </c>
      <c r="B5" s="31">
        <v>110</v>
      </c>
      <c r="C5" s="31">
        <f>C4+B5</f>
        <v>120</v>
      </c>
      <c r="D5" s="13">
        <f t="shared" si="0"/>
        <v>2</v>
      </c>
      <c r="E5" s="1">
        <v>48</v>
      </c>
      <c r="F5" s="1">
        <f t="shared" ref="F5:F18" si="2">E5+F4</f>
        <v>162</v>
      </c>
      <c r="G5" s="39">
        <v>6</v>
      </c>
      <c r="H5" s="39">
        <v>0</v>
      </c>
      <c r="I5" s="39">
        <f t="shared" si="1"/>
        <v>1542</v>
      </c>
      <c r="J5" s="13">
        <f t="shared" ref="J5:J13" si="3">E5*K4/I5</f>
        <v>47.815379053788341</v>
      </c>
      <c r="K5" s="13">
        <f>K4-J5</f>
        <v>1488.253673049162</v>
      </c>
    </row>
    <row r="6" spans="1:11">
      <c r="A6" s="1">
        <v>2</v>
      </c>
      <c r="B6" s="31">
        <v>80</v>
      </c>
      <c r="C6" s="31">
        <f>C5+B6</f>
        <v>200</v>
      </c>
      <c r="D6" s="13">
        <f t="shared" si="0"/>
        <v>3.3333333333333335</v>
      </c>
      <c r="E6" s="1">
        <v>42</v>
      </c>
      <c r="F6" s="1">
        <f t="shared" si="2"/>
        <v>204</v>
      </c>
      <c r="G6" s="39">
        <v>16</v>
      </c>
      <c r="H6" s="39">
        <v>0</v>
      </c>
      <c r="I6" s="39">
        <f t="shared" si="1"/>
        <v>1504</v>
      </c>
      <c r="J6" s="13">
        <f>E6*K5/I6</f>
        <v>41.560275444192023</v>
      </c>
      <c r="K6" s="13">
        <f t="shared" ref="K6:K13" si="4">K5-J6</f>
        <v>1446.69339760497</v>
      </c>
    </row>
    <row r="7" spans="1:11">
      <c r="A7" s="1">
        <v>3</v>
      </c>
      <c r="B7" s="31">
        <v>80</v>
      </c>
      <c r="C7" s="31">
        <f>C6+B7</f>
        <v>280</v>
      </c>
      <c r="D7" s="13">
        <f t="shared" si="0"/>
        <v>4.666666666666667</v>
      </c>
      <c r="E7" s="1">
        <v>45</v>
      </c>
      <c r="F7" s="1">
        <f t="shared" si="2"/>
        <v>249</v>
      </c>
      <c r="G7" s="39">
        <v>37</v>
      </c>
      <c r="H7" s="39">
        <v>0</v>
      </c>
      <c r="I7" s="39">
        <f t="shared" si="1"/>
        <v>1483</v>
      </c>
      <c r="J7" s="13">
        <f>E7*K6/I7</f>
        <v>43.898316178168344</v>
      </c>
      <c r="K7" s="13">
        <f>K6-J7</f>
        <v>1402.7950814268015</v>
      </c>
    </row>
    <row r="8" spans="1:11">
      <c r="A8" s="1">
        <v>4</v>
      </c>
      <c r="B8" s="31">
        <v>80</v>
      </c>
      <c r="C8" s="31">
        <f t="shared" ref="C8:C18" si="5">C7+B8</f>
        <v>360</v>
      </c>
      <c r="D8" s="13">
        <f t="shared" si="0"/>
        <v>6</v>
      </c>
      <c r="E8" s="1">
        <v>41</v>
      </c>
      <c r="F8" s="1">
        <f t="shared" si="2"/>
        <v>290</v>
      </c>
      <c r="G8" s="39">
        <v>73</v>
      </c>
      <c r="H8" s="39">
        <v>0</v>
      </c>
      <c r="I8" s="39">
        <f t="shared" si="1"/>
        <v>1474</v>
      </c>
      <c r="J8" s="13">
        <f t="shared" si="3"/>
        <v>39.019401857868971</v>
      </c>
      <c r="K8" s="13">
        <f t="shared" si="4"/>
        <v>1363.7756795689324</v>
      </c>
    </row>
    <row r="9" spans="1:11">
      <c r="A9" s="1">
        <v>5</v>
      </c>
      <c r="B9" s="31">
        <v>80</v>
      </c>
      <c r="C9" s="31">
        <f t="shared" si="5"/>
        <v>440</v>
      </c>
      <c r="D9" s="13">
        <f t="shared" si="0"/>
        <v>7.333333333333333</v>
      </c>
      <c r="E9" s="1">
        <v>46</v>
      </c>
      <c r="F9" s="1">
        <f t="shared" si="2"/>
        <v>336</v>
      </c>
      <c r="G9" s="39">
        <v>83</v>
      </c>
      <c r="H9" s="39">
        <v>3</v>
      </c>
      <c r="I9" s="39">
        <f t="shared" si="1"/>
        <v>1446</v>
      </c>
      <c r="J9" s="13">
        <f t="shared" si="3"/>
        <v>43.384288561667283</v>
      </c>
      <c r="K9" s="13">
        <f t="shared" si="4"/>
        <v>1320.3913910072652</v>
      </c>
    </row>
    <row r="10" spans="1:11">
      <c r="A10" s="1">
        <v>6</v>
      </c>
      <c r="B10" s="31">
        <v>80</v>
      </c>
      <c r="C10" s="31">
        <f t="shared" si="5"/>
        <v>520</v>
      </c>
      <c r="D10" s="13">
        <f t="shared" si="0"/>
        <v>8.6666666666666661</v>
      </c>
      <c r="E10" s="1">
        <v>46</v>
      </c>
      <c r="F10" s="1">
        <f t="shared" si="2"/>
        <v>382</v>
      </c>
      <c r="G10" s="39">
        <v>83</v>
      </c>
      <c r="H10" s="39">
        <v>8</v>
      </c>
      <c r="I10" s="39">
        <f t="shared" si="1"/>
        <v>1405</v>
      </c>
      <c r="J10" s="13">
        <f t="shared" si="3"/>
        <v>43.229896075682703</v>
      </c>
      <c r="K10" s="13">
        <f t="shared" si="4"/>
        <v>1277.1614949315824</v>
      </c>
    </row>
    <row r="11" spans="1:11">
      <c r="A11" s="1">
        <v>7</v>
      </c>
      <c r="B11" s="31">
        <v>80</v>
      </c>
      <c r="C11" s="31">
        <f t="shared" si="5"/>
        <v>600</v>
      </c>
      <c r="D11" s="13">
        <f t="shared" si="0"/>
        <v>10</v>
      </c>
      <c r="E11" s="1">
        <v>44</v>
      </c>
      <c r="F11" s="1">
        <f t="shared" si="2"/>
        <v>426</v>
      </c>
      <c r="G11" s="39">
        <v>83</v>
      </c>
      <c r="H11" s="39">
        <v>11</v>
      </c>
      <c r="I11" s="39">
        <f t="shared" si="1"/>
        <v>1362</v>
      </c>
      <c r="J11" s="13">
        <f t="shared" si="3"/>
        <v>41.259255342870503</v>
      </c>
      <c r="K11" s="13">
        <f t="shared" si="4"/>
        <v>1235.9022395887118</v>
      </c>
    </row>
    <row r="12" spans="1:11">
      <c r="A12" s="1">
        <v>8</v>
      </c>
      <c r="B12" s="31">
        <v>80</v>
      </c>
      <c r="C12" s="31">
        <f t="shared" si="5"/>
        <v>680</v>
      </c>
      <c r="D12" s="13">
        <f t="shared" si="0"/>
        <v>11.333333333333334</v>
      </c>
      <c r="E12" s="1">
        <v>47</v>
      </c>
      <c r="F12" s="1">
        <f t="shared" si="2"/>
        <v>473</v>
      </c>
      <c r="G12" s="39">
        <v>83</v>
      </c>
      <c r="H12" s="39">
        <v>14</v>
      </c>
      <c r="I12" s="39">
        <f t="shared" si="1"/>
        <v>1321</v>
      </c>
      <c r="J12" s="13">
        <f t="shared" si="3"/>
        <v>43.972297699219872</v>
      </c>
      <c r="K12" s="13">
        <f t="shared" si="4"/>
        <v>1191.9299418894921</v>
      </c>
    </row>
    <row r="13" spans="1:11">
      <c r="A13" s="1">
        <v>9</v>
      </c>
      <c r="B13" s="31">
        <v>80</v>
      </c>
      <c r="C13" s="31">
        <f t="shared" si="5"/>
        <v>760</v>
      </c>
      <c r="D13" s="13">
        <f t="shared" si="0"/>
        <v>12.666666666666666</v>
      </c>
      <c r="E13" s="1">
        <v>48</v>
      </c>
      <c r="F13" s="1">
        <f t="shared" si="2"/>
        <v>521</v>
      </c>
      <c r="G13" s="39">
        <v>83</v>
      </c>
      <c r="H13" s="39">
        <v>15</v>
      </c>
      <c r="I13" s="39">
        <f t="shared" si="1"/>
        <v>1275</v>
      </c>
      <c r="J13" s="13">
        <f t="shared" si="3"/>
        <v>44.872656635839704</v>
      </c>
      <c r="K13" s="13">
        <f t="shared" si="4"/>
        <v>1147.0572852536523</v>
      </c>
    </row>
    <row r="14" spans="1:11">
      <c r="A14" s="36">
        <v>10</v>
      </c>
      <c r="B14" s="31">
        <v>80</v>
      </c>
      <c r="C14" s="31">
        <f t="shared" si="5"/>
        <v>840</v>
      </c>
      <c r="D14" s="13">
        <f t="shared" si="0"/>
        <v>14</v>
      </c>
      <c r="E14" s="3">
        <v>44</v>
      </c>
      <c r="F14" s="36">
        <f t="shared" si="2"/>
        <v>565</v>
      </c>
      <c r="G14" s="39">
        <v>83</v>
      </c>
      <c r="H14" s="39">
        <v>16</v>
      </c>
      <c r="I14" s="39">
        <f t="shared" si="1"/>
        <v>1228</v>
      </c>
      <c r="J14" s="13">
        <f t="shared" ref="J14:J19" si="6">E14*K13/I14</f>
        <v>41.099772435798613</v>
      </c>
      <c r="K14" s="13">
        <f t="shared" ref="K14:K19" si="7">K13-J14</f>
        <v>1105.9575128178537</v>
      </c>
    </row>
    <row r="15" spans="1:11">
      <c r="A15" s="36">
        <v>11</v>
      </c>
      <c r="B15" s="31">
        <v>80</v>
      </c>
      <c r="C15" s="31">
        <f t="shared" si="5"/>
        <v>920</v>
      </c>
      <c r="D15" s="13">
        <f t="shared" si="0"/>
        <v>15.333333333333334</v>
      </c>
      <c r="E15" s="36">
        <v>46</v>
      </c>
      <c r="F15" s="36">
        <f t="shared" si="2"/>
        <v>611</v>
      </c>
      <c r="G15" s="39">
        <v>83</v>
      </c>
      <c r="H15" s="39">
        <v>17</v>
      </c>
      <c r="I15" s="39">
        <f t="shared" si="1"/>
        <v>1185</v>
      </c>
      <c r="J15" s="13">
        <f t="shared" si="6"/>
        <v>42.93168404187449</v>
      </c>
      <c r="K15" s="13">
        <f t="shared" si="7"/>
        <v>1063.0258287759793</v>
      </c>
    </row>
    <row r="16" spans="1:11">
      <c r="A16" s="36">
        <v>12</v>
      </c>
      <c r="B16" s="31">
        <v>80</v>
      </c>
      <c r="C16" s="31">
        <f t="shared" si="5"/>
        <v>1000</v>
      </c>
      <c r="D16" s="13">
        <f t="shared" si="0"/>
        <v>16.666666666666668</v>
      </c>
      <c r="E16" s="36">
        <v>45</v>
      </c>
      <c r="F16" s="36">
        <f t="shared" si="2"/>
        <v>656</v>
      </c>
      <c r="G16" s="39">
        <v>83</v>
      </c>
      <c r="H16" s="39">
        <v>17</v>
      </c>
      <c r="I16" s="39">
        <f t="shared" si="1"/>
        <v>1139</v>
      </c>
      <c r="J16" s="13">
        <f t="shared" si="6"/>
        <v>41.99838656270331</v>
      </c>
      <c r="K16" s="13">
        <f t="shared" si="7"/>
        <v>1021.027442213276</v>
      </c>
    </row>
    <row r="17" spans="1:11">
      <c r="A17" s="36">
        <v>13</v>
      </c>
      <c r="B17" s="31">
        <v>80</v>
      </c>
      <c r="C17" s="31">
        <f t="shared" si="5"/>
        <v>1080</v>
      </c>
      <c r="D17" s="13">
        <f t="shared" si="0"/>
        <v>18</v>
      </c>
      <c r="E17" s="36">
        <v>47</v>
      </c>
      <c r="F17" s="36">
        <f t="shared" si="2"/>
        <v>703</v>
      </c>
      <c r="G17" s="39">
        <v>83</v>
      </c>
      <c r="H17" s="39">
        <v>17</v>
      </c>
      <c r="I17" s="39">
        <f t="shared" si="1"/>
        <v>1094</v>
      </c>
      <c r="J17" s="13">
        <f t="shared" si="6"/>
        <v>43.864981521045678</v>
      </c>
      <c r="K17" s="13">
        <f t="shared" si="7"/>
        <v>977.1624606922303</v>
      </c>
    </row>
    <row r="18" spans="1:11">
      <c r="A18" s="36">
        <v>14</v>
      </c>
      <c r="B18" s="31">
        <v>360</v>
      </c>
      <c r="C18" s="31">
        <f t="shared" si="5"/>
        <v>1440</v>
      </c>
      <c r="D18" s="13">
        <f t="shared" si="0"/>
        <v>24</v>
      </c>
      <c r="E18" s="36">
        <v>47</v>
      </c>
      <c r="F18" s="36">
        <f t="shared" si="2"/>
        <v>750</v>
      </c>
      <c r="G18" s="39">
        <v>83</v>
      </c>
      <c r="H18" s="39">
        <v>17</v>
      </c>
      <c r="I18" s="39">
        <f t="shared" si="1"/>
        <v>1047</v>
      </c>
      <c r="J18" s="13">
        <f t="shared" si="6"/>
        <v>43.864981521045678</v>
      </c>
      <c r="K18" s="13">
        <f t="shared" si="7"/>
        <v>933.29747917118459</v>
      </c>
    </row>
    <row r="19" spans="1:11">
      <c r="A19" s="36">
        <v>15</v>
      </c>
      <c r="B19" s="31">
        <v>360</v>
      </c>
      <c r="C19" s="31">
        <f>C18+B19</f>
        <v>1800</v>
      </c>
      <c r="D19" s="13">
        <f t="shared" si="0"/>
        <v>30</v>
      </c>
      <c r="E19" s="36">
        <v>52</v>
      </c>
      <c r="F19" s="36">
        <f>E19+F18</f>
        <v>802</v>
      </c>
      <c r="G19" s="39">
        <v>83</v>
      </c>
      <c r="H19" s="39">
        <v>17</v>
      </c>
      <c r="I19" s="39">
        <f t="shared" si="1"/>
        <v>1000</v>
      </c>
      <c r="J19" s="13">
        <f t="shared" si="6"/>
        <v>48.531468916901595</v>
      </c>
      <c r="K19" s="13">
        <f t="shared" si="7"/>
        <v>884.76601025428295</v>
      </c>
    </row>
    <row r="20" spans="1:11">
      <c r="A20" s="39">
        <v>16</v>
      </c>
      <c r="B20" s="31">
        <v>1080</v>
      </c>
      <c r="C20" s="31">
        <f>C19+B20</f>
        <v>2880</v>
      </c>
      <c r="D20" s="13">
        <f t="shared" si="0"/>
        <v>48</v>
      </c>
      <c r="E20" s="39">
        <v>68</v>
      </c>
      <c r="F20" s="39">
        <f t="shared" ref="F20" si="8">E20+F19</f>
        <v>870</v>
      </c>
      <c r="G20" s="39">
        <v>83</v>
      </c>
      <c r="H20" s="39">
        <v>18</v>
      </c>
      <c r="I20" s="39">
        <f t="shared" si="1"/>
        <v>949</v>
      </c>
      <c r="J20" s="13">
        <f t="shared" ref="J20" si="9">E20*K19/I20</f>
        <v>63.397353737925435</v>
      </c>
      <c r="K20" s="13">
        <f t="shared" ref="K20" si="10">K19-J20</f>
        <v>821.36865651635753</v>
      </c>
    </row>
    <row r="22" spans="1:11">
      <c r="A22" s="129" t="s">
        <v>15</v>
      </c>
      <c r="B22" s="130"/>
      <c r="C22" s="130"/>
      <c r="D22" s="130"/>
      <c r="E22" s="131"/>
      <c r="F22" s="1">
        <v>1500</v>
      </c>
    </row>
    <row r="23" spans="1:11">
      <c r="A23" s="129" t="s">
        <v>15</v>
      </c>
      <c r="B23" s="130"/>
      <c r="C23" s="130"/>
      <c r="D23" s="130"/>
      <c r="E23" s="131"/>
      <c r="F23" s="39">
        <v>1650</v>
      </c>
    </row>
  </sheetData>
  <mergeCells count="8">
    <mergeCell ref="A23:E23"/>
    <mergeCell ref="A1:A2"/>
    <mergeCell ref="D1:D2"/>
    <mergeCell ref="G1:G2"/>
    <mergeCell ref="H1:H2"/>
    <mergeCell ref="A22:E22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66" t="s">
        <v>42</v>
      </c>
      <c r="B4" s="167"/>
      <c r="C4" s="167"/>
      <c r="D4" s="167"/>
      <c r="E4" s="167"/>
      <c r="F4" s="167"/>
      <c r="G4" s="167"/>
      <c r="H4" s="168"/>
    </row>
    <row r="5" spans="1:8">
      <c r="A5" s="169" t="s">
        <v>62</v>
      </c>
      <c r="B5" s="167"/>
      <c r="C5" s="168"/>
      <c r="D5" s="170" t="s">
        <v>45</v>
      </c>
      <c r="E5" s="170" t="s">
        <v>46</v>
      </c>
      <c r="F5" s="170" t="s">
        <v>47</v>
      </c>
      <c r="G5" s="172" t="s">
        <v>63</v>
      </c>
      <c r="H5" s="172" t="s">
        <v>64</v>
      </c>
    </row>
    <row r="6" spans="1:8">
      <c r="A6" s="22" t="s">
        <v>4</v>
      </c>
      <c r="B6" s="22" t="s">
        <v>60</v>
      </c>
      <c r="C6" s="22" t="s">
        <v>19</v>
      </c>
      <c r="D6" s="171"/>
      <c r="E6" s="171"/>
      <c r="F6" s="171"/>
      <c r="G6" s="173"/>
      <c r="H6" s="173"/>
    </row>
    <row r="7" spans="1:8">
      <c r="A7" s="64">
        <v>0</v>
      </c>
      <c r="B7" s="61">
        <v>-0.16666666666666666</v>
      </c>
      <c r="C7" s="16">
        <v>2</v>
      </c>
      <c r="D7" s="41">
        <v>1.6E-2</v>
      </c>
      <c r="E7" s="41">
        <v>1.6E-2</v>
      </c>
      <c r="F7" s="41">
        <v>1.7000000000000001E-2</v>
      </c>
      <c r="G7" s="16">
        <f>(C7*1000*AVERAGE(D7:F7))/$B$2</f>
        <v>0.36264061574896395</v>
      </c>
      <c r="H7" s="19">
        <f>(C7*1000*STDEV(D7:F7))/$B$2</f>
        <v>1.2818611660515681E-2</v>
      </c>
    </row>
    <row r="8" spans="1:8">
      <c r="A8" s="65">
        <v>0</v>
      </c>
      <c r="B8" s="63">
        <v>0.16666666666666666</v>
      </c>
      <c r="C8" s="16">
        <v>2</v>
      </c>
      <c r="D8" s="41">
        <v>2.4E-2</v>
      </c>
      <c r="E8" s="41">
        <v>2.7E-2</v>
      </c>
      <c r="F8" s="41">
        <v>2.7E-2</v>
      </c>
      <c r="G8" s="16">
        <f t="shared" ref="G8:G23" si="0">(C8*1000*AVERAGE(D8:F8))/$B$2</f>
        <v>0.57726465364120783</v>
      </c>
      <c r="H8" s="19">
        <f t="shared" ref="H8:H23" si="1">(C8*1000*STDEV(D8:F8))/$B$2</f>
        <v>3.8455834981546998E-2</v>
      </c>
    </row>
    <row r="9" spans="1:8">
      <c r="A9" s="65">
        <v>1</v>
      </c>
      <c r="B9" s="63">
        <v>2</v>
      </c>
      <c r="C9" s="16">
        <v>2</v>
      </c>
      <c r="D9" s="41">
        <v>2.7E-2</v>
      </c>
      <c r="E9" s="41">
        <v>2.7E-2</v>
      </c>
      <c r="F9" s="41">
        <v>2.8000000000000001E-2</v>
      </c>
      <c r="G9" s="16">
        <f t="shared" si="0"/>
        <v>0.60686796921255182</v>
      </c>
      <c r="H9" s="19">
        <f t="shared" si="1"/>
        <v>1.2818611660515681E-2</v>
      </c>
    </row>
    <row r="10" spans="1:8">
      <c r="A10" s="65">
        <v>2</v>
      </c>
      <c r="B10" s="63">
        <v>3.3333333333333335</v>
      </c>
      <c r="C10" s="16">
        <v>2</v>
      </c>
      <c r="D10" s="54">
        <v>2.7E-2</v>
      </c>
      <c r="E10" s="54">
        <v>2.8000000000000001E-2</v>
      </c>
      <c r="F10" s="54">
        <v>2.7E-2</v>
      </c>
      <c r="G10" s="16">
        <f t="shared" si="0"/>
        <v>0.60686796921255182</v>
      </c>
      <c r="H10" s="19">
        <f t="shared" si="1"/>
        <v>1.2818611660515679E-2</v>
      </c>
    </row>
    <row r="11" spans="1:8">
      <c r="A11" s="65">
        <v>3</v>
      </c>
      <c r="B11" s="63">
        <v>4.666666666666667</v>
      </c>
      <c r="C11" s="16">
        <v>2</v>
      </c>
      <c r="D11" s="54">
        <v>3.2000000000000001E-2</v>
      </c>
      <c r="E11" s="54">
        <v>0.03</v>
      </c>
      <c r="F11" s="54">
        <v>3.2000000000000001E-2</v>
      </c>
      <c r="G11" s="16">
        <f t="shared" si="0"/>
        <v>0.69567791592658379</v>
      </c>
      <c r="H11" s="19">
        <f t="shared" si="1"/>
        <v>2.5637223321031358E-2</v>
      </c>
    </row>
    <row r="12" spans="1:8">
      <c r="A12" s="65">
        <v>4</v>
      </c>
      <c r="B12" s="63">
        <v>6</v>
      </c>
      <c r="C12" s="16">
        <v>2</v>
      </c>
      <c r="D12" s="54">
        <v>8.1000000000000003E-2</v>
      </c>
      <c r="E12" s="54">
        <v>0.08</v>
      </c>
      <c r="F12" s="54">
        <v>8.2000000000000003E-2</v>
      </c>
      <c r="G12" s="16">
        <f t="shared" si="0"/>
        <v>1.7984014209591475</v>
      </c>
      <c r="H12" s="19">
        <f t="shared" si="1"/>
        <v>2.2202486678508014E-2</v>
      </c>
    </row>
    <row r="13" spans="1:8">
      <c r="A13" s="65">
        <v>5</v>
      </c>
      <c r="B13" s="63">
        <v>7.333333333333333</v>
      </c>
      <c r="C13" s="16">
        <v>2</v>
      </c>
      <c r="D13" s="54">
        <v>0.105</v>
      </c>
      <c r="E13" s="54">
        <v>0.10199999999999999</v>
      </c>
      <c r="F13" s="54">
        <v>0.11</v>
      </c>
      <c r="G13" s="16">
        <f t="shared" si="0"/>
        <v>2.3460627590290115</v>
      </c>
      <c r="H13" s="19">
        <f t="shared" si="1"/>
        <v>8.9730281623609756E-2</v>
      </c>
    </row>
    <row r="14" spans="1:8">
      <c r="A14" s="65">
        <v>6</v>
      </c>
      <c r="B14" s="63">
        <v>8.6666666666666661</v>
      </c>
      <c r="C14" s="16">
        <v>2</v>
      </c>
      <c r="D14" s="54">
        <v>0.106</v>
      </c>
      <c r="E14" s="54">
        <v>0.10299999999999999</v>
      </c>
      <c r="F14" s="54">
        <v>0.109</v>
      </c>
      <c r="G14" s="16">
        <f t="shared" si="0"/>
        <v>2.3534635879218473</v>
      </c>
      <c r="H14" s="19">
        <f t="shared" si="1"/>
        <v>6.6607460035524035E-2</v>
      </c>
    </row>
    <row r="15" spans="1:8">
      <c r="A15" s="65">
        <v>7</v>
      </c>
      <c r="B15" s="63">
        <v>10</v>
      </c>
      <c r="C15" s="16">
        <v>2</v>
      </c>
      <c r="D15" s="54">
        <v>0.115</v>
      </c>
      <c r="E15" s="54">
        <v>0.115</v>
      </c>
      <c r="F15" s="54">
        <v>0.115</v>
      </c>
      <c r="G15" s="16">
        <f t="shared" si="0"/>
        <v>2.5532859680284195</v>
      </c>
      <c r="H15" s="19">
        <f t="shared" si="1"/>
        <v>0</v>
      </c>
    </row>
    <row r="16" spans="1:8">
      <c r="A16" s="65">
        <v>8</v>
      </c>
      <c r="B16" s="63">
        <v>11.333333333333334</v>
      </c>
      <c r="C16" s="16">
        <v>2</v>
      </c>
      <c r="D16" s="54">
        <v>0.115</v>
      </c>
      <c r="E16" s="54">
        <v>0.12</v>
      </c>
      <c r="F16" s="54">
        <v>0.11799999999999999</v>
      </c>
      <c r="G16" s="16">
        <f t="shared" si="0"/>
        <v>2.612492599171107</v>
      </c>
      <c r="H16" s="19">
        <f t="shared" si="1"/>
        <v>5.5875032824679802E-2</v>
      </c>
    </row>
    <row r="17" spans="1:8">
      <c r="A17" s="65">
        <v>9</v>
      </c>
      <c r="B17" s="63">
        <v>12.666666666666666</v>
      </c>
      <c r="C17" s="16">
        <v>2</v>
      </c>
      <c r="D17" s="54">
        <v>0.122</v>
      </c>
      <c r="E17" s="54">
        <v>0.128</v>
      </c>
      <c r="F17" s="54">
        <v>0.129</v>
      </c>
      <c r="G17" s="16">
        <f t="shared" si="0"/>
        <v>2.8049141503848429</v>
      </c>
      <c r="H17" s="19">
        <f t="shared" si="1"/>
        <v>8.4057257930732363E-2</v>
      </c>
    </row>
    <row r="18" spans="1:8">
      <c r="A18" s="65">
        <v>10</v>
      </c>
      <c r="B18" s="63">
        <v>14</v>
      </c>
      <c r="C18" s="16">
        <v>2</v>
      </c>
      <c r="D18" s="41">
        <v>0.12</v>
      </c>
      <c r="E18" s="41">
        <v>0.122</v>
      </c>
      <c r="F18" s="41">
        <v>0.121</v>
      </c>
      <c r="G18" s="16">
        <f t="shared" si="0"/>
        <v>2.6865008880994674</v>
      </c>
      <c r="H18" s="19">
        <f t="shared" si="1"/>
        <v>2.2202486678508014E-2</v>
      </c>
    </row>
    <row r="19" spans="1:8">
      <c r="A19" s="65">
        <v>11</v>
      </c>
      <c r="B19" s="63">
        <v>15.333333333333334</v>
      </c>
      <c r="C19" s="16">
        <v>2</v>
      </c>
      <c r="D19" s="54">
        <v>0.127</v>
      </c>
      <c r="E19" s="54">
        <v>0.127</v>
      </c>
      <c r="F19" s="54">
        <v>0.128</v>
      </c>
      <c r="G19" s="16">
        <f t="shared" si="0"/>
        <v>2.8271166370633511</v>
      </c>
      <c r="H19" s="19">
        <f t="shared" si="1"/>
        <v>1.2818611660515681E-2</v>
      </c>
    </row>
    <row r="20" spans="1:8">
      <c r="A20" s="65">
        <v>12</v>
      </c>
      <c r="B20" s="63">
        <v>16.666666666666668</v>
      </c>
      <c r="C20" s="16">
        <v>2</v>
      </c>
      <c r="D20" s="54">
        <v>0.127</v>
      </c>
      <c r="E20" s="54">
        <v>0.124</v>
      </c>
      <c r="F20" s="54">
        <v>0.128</v>
      </c>
      <c r="G20" s="16">
        <f t="shared" si="0"/>
        <v>2.8049141503848429</v>
      </c>
      <c r="H20" s="19">
        <f t="shared" si="1"/>
        <v>4.6218161622249884E-2</v>
      </c>
    </row>
    <row r="21" spans="1:8">
      <c r="A21" s="65">
        <v>13</v>
      </c>
      <c r="B21" s="63">
        <v>18</v>
      </c>
      <c r="C21" s="16">
        <v>2</v>
      </c>
      <c r="D21" s="54">
        <v>0.127</v>
      </c>
      <c r="E21" s="54">
        <v>0.125</v>
      </c>
      <c r="F21" s="54">
        <v>0.13</v>
      </c>
      <c r="G21" s="16">
        <f t="shared" si="0"/>
        <v>2.8271166370633511</v>
      </c>
      <c r="H21" s="19">
        <f t="shared" si="1"/>
        <v>5.5875032824679961E-2</v>
      </c>
    </row>
    <row r="22" spans="1:8">
      <c r="A22" s="65">
        <v>14</v>
      </c>
      <c r="B22" s="63">
        <v>24</v>
      </c>
      <c r="C22" s="16">
        <v>2</v>
      </c>
      <c r="D22" s="54">
        <v>0.13200000000000001</v>
      </c>
      <c r="E22" s="54">
        <v>0.13200000000000001</v>
      </c>
      <c r="F22" s="54">
        <v>0.123</v>
      </c>
      <c r="G22" s="16">
        <f t="shared" si="0"/>
        <v>2.8641207815275314</v>
      </c>
      <c r="H22" s="19">
        <f t="shared" si="1"/>
        <v>0.11536750494464112</v>
      </c>
    </row>
    <row r="23" spans="1:8">
      <c r="A23" s="65">
        <v>15</v>
      </c>
      <c r="B23" s="63">
        <v>30</v>
      </c>
      <c r="C23" s="16">
        <v>2</v>
      </c>
      <c r="D23" s="54">
        <v>0.129</v>
      </c>
      <c r="E23" s="54">
        <v>0.129</v>
      </c>
      <c r="F23" s="54">
        <v>0.129</v>
      </c>
      <c r="G23" s="16">
        <f t="shared" si="0"/>
        <v>2.8641207815275314</v>
      </c>
      <c r="H23" s="19">
        <f t="shared" si="1"/>
        <v>0</v>
      </c>
    </row>
    <row r="24" spans="1:8">
      <c r="A24" s="65">
        <v>16</v>
      </c>
      <c r="B24" s="63">
        <v>48</v>
      </c>
      <c r="C24" s="16">
        <v>2</v>
      </c>
      <c r="D24" s="54">
        <v>0.125</v>
      </c>
      <c r="E24" s="54">
        <v>0.125</v>
      </c>
      <c r="F24" s="54">
        <v>0.121</v>
      </c>
      <c r="G24" s="16">
        <f t="shared" ref="G24" si="2">(C24*1000*AVERAGE(D24:F24))/$B$2</f>
        <v>2.7457075192421549</v>
      </c>
      <c r="H24" s="19">
        <f t="shared" ref="H24" si="3">(C24*1000*STDEV(D24:F24))/$B$2</f>
        <v>5.1274446642062724E-2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7" sqref="B7:B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66" t="s">
        <v>44</v>
      </c>
      <c r="B4" s="167"/>
      <c r="C4" s="167"/>
      <c r="D4" s="167"/>
      <c r="E4" s="167"/>
      <c r="F4" s="167"/>
      <c r="G4" s="167"/>
      <c r="H4" s="168"/>
    </row>
    <row r="5" spans="1:8">
      <c r="A5" s="169" t="s">
        <v>62</v>
      </c>
      <c r="B5" s="167"/>
      <c r="C5" s="168"/>
      <c r="D5" s="170" t="s">
        <v>45</v>
      </c>
      <c r="E5" s="170" t="s">
        <v>46</v>
      </c>
      <c r="F5" s="170" t="s">
        <v>47</v>
      </c>
      <c r="G5" s="172" t="s">
        <v>63</v>
      </c>
      <c r="H5" s="172" t="s">
        <v>64</v>
      </c>
    </row>
    <row r="6" spans="1:8">
      <c r="A6" s="22" t="s">
        <v>4</v>
      </c>
      <c r="B6" s="22" t="s">
        <v>60</v>
      </c>
      <c r="C6" s="22" t="s">
        <v>19</v>
      </c>
      <c r="D6" s="171"/>
      <c r="E6" s="171"/>
      <c r="F6" s="171"/>
      <c r="G6" s="173"/>
      <c r="H6" s="173"/>
    </row>
    <row r="7" spans="1:8">
      <c r="A7" s="64">
        <v>0</v>
      </c>
      <c r="B7" s="61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5">
        <v>0</v>
      </c>
      <c r="B8" s="63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5">
        <v>1</v>
      </c>
      <c r="B9" s="63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5">
        <v>2</v>
      </c>
      <c r="B10" s="63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5">
        <v>3</v>
      </c>
      <c r="B11" s="63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5">
        <v>4</v>
      </c>
      <c r="B12" s="63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5">
        <v>5</v>
      </c>
      <c r="B13" s="63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5">
        <v>6</v>
      </c>
      <c r="B14" s="63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5">
        <v>7</v>
      </c>
      <c r="B15" s="63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5">
        <v>8</v>
      </c>
      <c r="B16" s="63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5">
        <v>9</v>
      </c>
      <c r="B17" s="63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5">
        <v>10</v>
      </c>
      <c r="B18" s="63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5">
        <v>11</v>
      </c>
      <c r="B19" s="63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5">
        <v>12</v>
      </c>
      <c r="B20" s="63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5">
        <v>13</v>
      </c>
      <c r="B21" s="63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5">
        <v>14</v>
      </c>
      <c r="B22" s="63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5">
        <v>15</v>
      </c>
      <c r="B23" s="63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5">
        <v>16</v>
      </c>
      <c r="B24" s="63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9"/>
  <sheetViews>
    <sheetView workbookViewId="0">
      <selection activeCell="B13" sqref="B13"/>
    </sheetView>
  </sheetViews>
  <sheetFormatPr baseColWidth="10" defaultColWidth="8.83203125" defaultRowHeight="14" x14ac:dyDescent="0"/>
  <cols>
    <col min="1" max="1" width="23.6640625" bestFit="1" customWidth="1"/>
  </cols>
  <sheetData>
    <row r="1" spans="1:5">
      <c r="B1" s="30" t="s">
        <v>78</v>
      </c>
      <c r="C1" s="30" t="s">
        <v>79</v>
      </c>
    </row>
    <row r="2" spans="1:5">
      <c r="A2" s="30" t="s">
        <v>142</v>
      </c>
      <c r="B2" s="74">
        <f>Metabolites!H4-Metabolites!H20</f>
        <v>45.468571549781018</v>
      </c>
      <c r="C2" s="74">
        <f>Metabolites!I4+Metabolites!I20</f>
        <v>0.94114514275955585</v>
      </c>
    </row>
    <row r="3" spans="1:5">
      <c r="A3" s="30" t="s">
        <v>123</v>
      </c>
      <c r="B3" s="74">
        <f>Metabolites!P4-Metabolites!P20</f>
        <v>6.1698692118765663</v>
      </c>
      <c r="C3" s="74">
        <f>Metabolites!Q4+Metabolites!Q20</f>
        <v>1.3596470103979947</v>
      </c>
    </row>
    <row r="4" spans="1:5">
      <c r="A4" s="30" t="s">
        <v>184</v>
      </c>
      <c r="B4" s="74">
        <f>Metabolites!T4-Metabolites!T20</f>
        <v>1.0731120755422401</v>
      </c>
      <c r="C4" s="74">
        <f>Metabolites!U4+Metabolites!U20</f>
        <v>2.5117359960200706E-2</v>
      </c>
    </row>
    <row r="5" spans="1:5">
      <c r="A5" s="30" t="s">
        <v>124</v>
      </c>
      <c r="B5" s="74">
        <f>Metabolites!L20-Metabolites!L4</f>
        <v>2.3670554986973418</v>
      </c>
      <c r="C5" s="74">
        <f>Metabolites!M20+Metabolites!M4</f>
        <v>9.3501146856047379E-2</v>
      </c>
    </row>
    <row r="6" spans="1:5">
      <c r="A6" s="30" t="s">
        <v>125</v>
      </c>
      <c r="B6" s="74">
        <f>Metabolites!L41-Metabolites!L25</f>
        <v>50.119531305756489</v>
      </c>
      <c r="C6" s="74">
        <f>Metabolites!M41+Metabolites!M25</f>
        <v>1.111031933958156</v>
      </c>
    </row>
    <row r="7" spans="1:5">
      <c r="A7" s="30" t="s">
        <v>80</v>
      </c>
      <c r="B7" s="74">
        <f>'H2'!G101</f>
        <v>50.826281970385487</v>
      </c>
      <c r="C7" s="74"/>
    </row>
    <row r="8" spans="1:5">
      <c r="A8" s="30" t="s">
        <v>81</v>
      </c>
      <c r="B8" s="74">
        <f>'CO2'!G101</f>
        <v>77.863900083149716</v>
      </c>
      <c r="C8" s="74"/>
    </row>
    <row r="9" spans="1:5">
      <c r="A9" s="30" t="s">
        <v>126</v>
      </c>
      <c r="B9" s="74">
        <f>Calculation!G20*1.5/1000</f>
        <v>0.1245</v>
      </c>
      <c r="C9" s="74"/>
    </row>
    <row r="10" spans="1:5" ht="16">
      <c r="A10" s="30" t="s">
        <v>127</v>
      </c>
      <c r="B10" s="74">
        <f>Calculation!H20*1.5/1000</f>
        <v>2.7E-2</v>
      </c>
      <c r="C10" s="74"/>
    </row>
    <row r="12" spans="1:5">
      <c r="A12" s="30" t="s">
        <v>82</v>
      </c>
      <c r="B12" s="66">
        <f>((4*$B$6)+(3*$B$5)+(B8))/((6*$B$2)+($B$4)+(2*$B$3))</f>
        <v>0.99727106311084057</v>
      </c>
    </row>
    <row r="14" spans="1:5">
      <c r="A14" s="59"/>
      <c r="B14" s="59"/>
      <c r="C14" s="59" t="s">
        <v>128</v>
      </c>
      <c r="D14" s="59" t="s">
        <v>129</v>
      </c>
    </row>
    <row r="15" spans="1:5">
      <c r="A15" s="59" t="s">
        <v>157</v>
      </c>
      <c r="B15" s="59" t="s">
        <v>130</v>
      </c>
      <c r="C15" s="75">
        <f>B2</f>
        <v>45.468571549781018</v>
      </c>
      <c r="D15" s="75">
        <f>B2</f>
        <v>45.468571549781018</v>
      </c>
      <c r="E15" s="59"/>
    </row>
    <row r="16" spans="1:5">
      <c r="A16" s="59" t="s">
        <v>158</v>
      </c>
      <c r="B16" s="59" t="s">
        <v>131</v>
      </c>
      <c r="C16" s="75">
        <f>2*C15</f>
        <v>90.937143099562036</v>
      </c>
      <c r="D16" s="75">
        <f>2*B2</f>
        <v>90.937143099562036</v>
      </c>
      <c r="E16" s="59"/>
    </row>
    <row r="17" spans="1:5">
      <c r="A17" s="59" t="s">
        <v>159</v>
      </c>
      <c r="B17" s="59" t="s">
        <v>132</v>
      </c>
      <c r="C17" s="75">
        <f>B5</f>
        <v>2.3670554986973418</v>
      </c>
      <c r="D17" s="75">
        <f>B5</f>
        <v>2.3670554986973418</v>
      </c>
      <c r="E17" s="59"/>
    </row>
    <row r="18" spans="1:5">
      <c r="A18" s="59" t="s">
        <v>160</v>
      </c>
      <c r="B18" s="59" t="s">
        <v>133</v>
      </c>
      <c r="C18" s="75">
        <f>B4</f>
        <v>1.0731120755422401</v>
      </c>
      <c r="D18" s="75">
        <f>B4</f>
        <v>1.0731120755422401</v>
      </c>
      <c r="E18" s="59"/>
    </row>
    <row r="19" spans="1:5">
      <c r="A19" s="59" t="s">
        <v>161</v>
      </c>
      <c r="B19" s="59" t="s">
        <v>134</v>
      </c>
      <c r="C19" s="77">
        <f>C16-C17-C18</f>
        <v>87.496975525322455</v>
      </c>
      <c r="D19" s="77">
        <f>B8</f>
        <v>77.863900083149716</v>
      </c>
      <c r="E19" s="59"/>
    </row>
    <row r="20" spans="1:5">
      <c r="A20" s="59" t="s">
        <v>156</v>
      </c>
      <c r="B20" s="59" t="s">
        <v>156</v>
      </c>
      <c r="C20" s="76">
        <f>C16-C17</f>
        <v>88.570087600864696</v>
      </c>
      <c r="D20" s="76"/>
      <c r="E20" s="59"/>
    </row>
    <row r="21" spans="1:5">
      <c r="A21" s="59" t="s">
        <v>162</v>
      </c>
      <c r="B21" s="59" t="s">
        <v>135</v>
      </c>
      <c r="C21" s="75">
        <f>B3</f>
        <v>6.1698692118765663</v>
      </c>
      <c r="D21" s="75">
        <f>B3</f>
        <v>6.1698692118765663</v>
      </c>
      <c r="E21" s="59"/>
    </row>
    <row r="22" spans="1:5">
      <c r="A22" s="59" t="s">
        <v>163</v>
      </c>
      <c r="B22" s="59" t="s">
        <v>137</v>
      </c>
      <c r="C22" s="75">
        <f>C16-C17+C21</f>
        <v>94.739956812741269</v>
      </c>
      <c r="D22" s="75">
        <f>B6</f>
        <v>50.119531305756489</v>
      </c>
      <c r="E22" s="59"/>
    </row>
    <row r="23" spans="1:5">
      <c r="A23" s="59" t="s">
        <v>164</v>
      </c>
      <c r="B23" s="59" t="s">
        <v>138</v>
      </c>
      <c r="C23" s="77">
        <f>C22/2</f>
        <v>47.369978406370635</v>
      </c>
      <c r="D23" s="77">
        <f>B6</f>
        <v>50.119531305756489</v>
      </c>
      <c r="E23" s="59"/>
    </row>
    <row r="24" spans="1:5">
      <c r="A24" t="s">
        <v>153</v>
      </c>
      <c r="B24" t="s">
        <v>154</v>
      </c>
      <c r="C24" s="74">
        <f>C20-C21</f>
        <v>82.400218388988122</v>
      </c>
      <c r="D24" s="74"/>
      <c r="E24" s="59"/>
    </row>
    <row r="25" spans="1:5">
      <c r="A25" t="s">
        <v>165</v>
      </c>
      <c r="B25" t="s">
        <v>155</v>
      </c>
      <c r="C25" s="77">
        <f>C24-C18</f>
        <v>81.327106313445881</v>
      </c>
      <c r="D25" s="77">
        <f>B7</f>
        <v>50.826281970385487</v>
      </c>
      <c r="E25" s="59"/>
    </row>
    <row r="26" spans="1:5">
      <c r="A26" s="59"/>
      <c r="B26" s="59"/>
      <c r="C26" s="59"/>
      <c r="D26" s="59"/>
      <c r="E26" s="59"/>
    </row>
    <row r="27" spans="1:5">
      <c r="A27" s="59"/>
      <c r="B27" s="59"/>
      <c r="C27" s="59"/>
      <c r="D27" s="59"/>
      <c r="E27" s="59"/>
    </row>
    <row r="28" spans="1:5">
      <c r="A28" s="59"/>
      <c r="B28" s="59"/>
      <c r="C28" s="59"/>
      <c r="D28" s="59"/>
      <c r="E28" s="59"/>
    </row>
    <row r="29" spans="1:5">
      <c r="C29" s="59"/>
      <c r="D29" s="59"/>
      <c r="E29" s="5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C18" sqref="C18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33" t="s">
        <v>4</v>
      </c>
      <c r="B1" s="133" t="s">
        <v>117</v>
      </c>
      <c r="C1" s="133" t="s">
        <v>117</v>
      </c>
      <c r="D1" s="133" t="s">
        <v>5</v>
      </c>
      <c r="E1" s="138" t="s">
        <v>18</v>
      </c>
      <c r="F1" s="138"/>
      <c r="G1" s="138"/>
      <c r="H1" s="138"/>
      <c r="I1" s="138" t="s">
        <v>20</v>
      </c>
      <c r="J1" s="138"/>
      <c r="K1" s="138"/>
      <c r="L1" s="138"/>
      <c r="M1" s="138" t="s">
        <v>21</v>
      </c>
      <c r="N1" s="138"/>
      <c r="O1" s="138"/>
      <c r="P1" s="138"/>
      <c r="Q1" s="37" t="s">
        <v>22</v>
      </c>
      <c r="R1" s="37" t="s">
        <v>22</v>
      </c>
      <c r="S1" s="37" t="s">
        <v>22</v>
      </c>
    </row>
    <row r="2" spans="1:19">
      <c r="A2" s="134"/>
      <c r="B2" s="134"/>
      <c r="C2" s="134"/>
      <c r="D2" s="134"/>
      <c r="E2" s="40" t="s">
        <v>19</v>
      </c>
      <c r="F2" s="40" t="s">
        <v>68</v>
      </c>
      <c r="G2" s="40" t="s">
        <v>118</v>
      </c>
      <c r="H2" s="40" t="s">
        <v>70</v>
      </c>
      <c r="I2" s="40" t="s">
        <v>19</v>
      </c>
      <c r="J2" s="40" t="s">
        <v>68</v>
      </c>
      <c r="K2" s="40" t="s">
        <v>69</v>
      </c>
      <c r="L2" s="40" t="s">
        <v>70</v>
      </c>
      <c r="M2" s="40" t="s">
        <v>19</v>
      </c>
      <c r="N2" s="40" t="s">
        <v>68</v>
      </c>
      <c r="O2" s="40" t="s">
        <v>69</v>
      </c>
      <c r="P2" s="40" t="s">
        <v>71</v>
      </c>
      <c r="Q2" s="38" t="s">
        <v>70</v>
      </c>
      <c r="R2" s="38" t="s">
        <v>23</v>
      </c>
      <c r="S2" s="38" t="s">
        <v>72</v>
      </c>
    </row>
    <row r="3" spans="1:19" s="6" customFormat="1">
      <c r="A3" s="60" t="s">
        <v>6</v>
      </c>
      <c r="B3" s="31">
        <v>-10</v>
      </c>
      <c r="C3" s="31">
        <f>B3</f>
        <v>-10</v>
      </c>
      <c r="D3" s="13">
        <f>C3/60</f>
        <v>-0.16666666666666666</v>
      </c>
      <c r="Q3" s="135"/>
      <c r="R3" s="136"/>
      <c r="S3" s="137"/>
    </row>
    <row r="4" spans="1:19">
      <c r="A4" s="62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Q4" s="44" t="e">
        <f>AVERAGE('Flow cytometer'!P4,'Flow cytometer'!L4,'Flow cytometer'!H4)*Calculation!K4/Calculation!M3</f>
        <v>#DIV/0!</v>
      </c>
      <c r="R4" s="44" t="e">
        <f>STDEV('Flow cytometer'!P4,'Flow cytometer'!L4,'Flow cytometer'!H4)*Calculation!K4/Calculation!M3</f>
        <v>#DIV/0!</v>
      </c>
      <c r="S4" s="45" t="e">
        <f t="shared" ref="S4:S19" si="1">LOG(Q4)</f>
        <v>#DIV/0!</v>
      </c>
    </row>
    <row r="5" spans="1:19">
      <c r="A5" s="62">
        <v>1</v>
      </c>
      <c r="B5" s="31">
        <v>110</v>
      </c>
      <c r="C5" s="31">
        <f>C4+B5</f>
        <v>120</v>
      </c>
      <c r="D5" s="13">
        <f t="shared" si="0"/>
        <v>2</v>
      </c>
      <c r="Q5" s="44" t="e">
        <f>AVERAGE('Flow cytometer'!P5,'Flow cytometer'!L5,'Flow cytometer'!H5)*Calculation!K5/Calculation!M4</f>
        <v>#DIV/0!</v>
      </c>
      <c r="R5" s="44" t="e">
        <f>STDEV('Flow cytometer'!P5,'Flow cytometer'!L5,'Flow cytometer'!H5)*Calculation!K5/Calculation!M4</f>
        <v>#DIV/0!</v>
      </c>
      <c r="S5" s="45" t="e">
        <f t="shared" si="1"/>
        <v>#DIV/0!</v>
      </c>
    </row>
    <row r="6" spans="1:19">
      <c r="A6" s="62">
        <v>2</v>
      </c>
      <c r="B6" s="31">
        <v>80</v>
      </c>
      <c r="C6" s="31">
        <f>C5+B6</f>
        <v>200</v>
      </c>
      <c r="D6" s="13">
        <f t="shared" si="0"/>
        <v>3.3333333333333335</v>
      </c>
      <c r="Q6" s="44" t="e">
        <f>AVERAGE('Flow cytometer'!P6,'Flow cytometer'!L6,'Flow cytometer'!H6)*Calculation!K6/Calculation!M5</f>
        <v>#DIV/0!</v>
      </c>
      <c r="R6" s="44" t="e">
        <f>STDEV('Flow cytometer'!P6,'Flow cytometer'!L6,'Flow cytometer'!H6)*Calculation!K6/Calculation!M5</f>
        <v>#DIV/0!</v>
      </c>
      <c r="S6" s="45" t="e">
        <f t="shared" si="1"/>
        <v>#DIV/0!</v>
      </c>
    </row>
    <row r="7" spans="1:19">
      <c r="A7" s="62">
        <v>3</v>
      </c>
      <c r="B7" s="31">
        <v>80</v>
      </c>
      <c r="C7" s="31">
        <f>C6+B7</f>
        <v>280</v>
      </c>
      <c r="D7" s="13">
        <f t="shared" si="0"/>
        <v>4.666666666666667</v>
      </c>
      <c r="Q7" s="44" t="e">
        <f>AVERAGE('Flow cytometer'!P7,'Flow cytometer'!L7,'Flow cytometer'!H7)*Calculation!K7/Calculation!M6</f>
        <v>#DIV/0!</v>
      </c>
      <c r="R7" s="44" t="e">
        <f>STDEV('Flow cytometer'!P7,'Flow cytometer'!L7,'Flow cytometer'!H7)*Calculation!K7/Calculation!M6</f>
        <v>#DIV/0!</v>
      </c>
      <c r="S7" s="45" t="e">
        <f t="shared" si="1"/>
        <v>#DIV/0!</v>
      </c>
    </row>
    <row r="8" spans="1:19">
      <c r="A8" s="62">
        <v>4</v>
      </c>
      <c r="B8" s="31">
        <v>80</v>
      </c>
      <c r="C8" s="31">
        <f t="shared" ref="C8:C18" si="2">C7+B8</f>
        <v>360</v>
      </c>
      <c r="D8" s="13">
        <f t="shared" si="0"/>
        <v>6</v>
      </c>
      <c r="Q8" s="44" t="e">
        <f>AVERAGE('Flow cytometer'!P8,'Flow cytometer'!L8,'Flow cytometer'!H8)*Calculation!K8/Calculation!M7</f>
        <v>#DIV/0!</v>
      </c>
      <c r="R8" s="44" t="e">
        <f>STDEV('Flow cytometer'!P8,'Flow cytometer'!L8,'Flow cytometer'!H8)*Calculation!K8/Calculation!M7</f>
        <v>#DIV/0!</v>
      </c>
      <c r="S8" s="45" t="e">
        <f t="shared" si="1"/>
        <v>#DIV/0!</v>
      </c>
    </row>
    <row r="9" spans="1:19">
      <c r="A9" s="62">
        <v>5</v>
      </c>
      <c r="B9" s="31">
        <v>80</v>
      </c>
      <c r="C9" s="31">
        <f t="shared" si="2"/>
        <v>440</v>
      </c>
      <c r="D9" s="13">
        <f t="shared" si="0"/>
        <v>7.333333333333333</v>
      </c>
      <c r="Q9" s="44" t="e">
        <f>AVERAGE('Flow cytometer'!P9,'Flow cytometer'!L9,'Flow cytometer'!H9)*Calculation!K9/Calculation!M8</f>
        <v>#DIV/0!</v>
      </c>
      <c r="R9" s="44" t="e">
        <f>STDEV('Flow cytometer'!P9,'Flow cytometer'!L9,'Flow cytometer'!H9)*Calculation!K9/Calculation!M8</f>
        <v>#DIV/0!</v>
      </c>
      <c r="S9" s="45" t="e">
        <f t="shared" si="1"/>
        <v>#DIV/0!</v>
      </c>
    </row>
    <row r="10" spans="1:19">
      <c r="A10" s="62">
        <v>6</v>
      </c>
      <c r="B10" s="31">
        <v>80</v>
      </c>
      <c r="C10" s="31">
        <f t="shared" si="2"/>
        <v>520</v>
      </c>
      <c r="D10" s="13">
        <f t="shared" si="0"/>
        <v>8.6666666666666661</v>
      </c>
      <c r="Q10" s="44" t="e">
        <f>AVERAGE('Flow cytometer'!P10,'Flow cytometer'!L10,'Flow cytometer'!H10)*Calculation!K10/Calculation!M9</f>
        <v>#DIV/0!</v>
      </c>
      <c r="R10" s="44" t="e">
        <f>STDEV('Flow cytometer'!P10,'Flow cytometer'!L10,'Flow cytometer'!H10)*Calculation!K10/Calculation!M9</f>
        <v>#DIV/0!</v>
      </c>
      <c r="S10" s="45" t="e">
        <f t="shared" si="1"/>
        <v>#DIV/0!</v>
      </c>
    </row>
    <row r="11" spans="1:19">
      <c r="A11" s="62">
        <v>7</v>
      </c>
      <c r="B11" s="31">
        <v>80</v>
      </c>
      <c r="C11" s="31">
        <f t="shared" si="2"/>
        <v>600</v>
      </c>
      <c r="D11" s="13">
        <f t="shared" si="0"/>
        <v>10</v>
      </c>
      <c r="Q11" s="44" t="e">
        <f>AVERAGE('Flow cytometer'!P11,'Flow cytometer'!L11,'Flow cytometer'!H11)*Calculation!K11/Calculation!M10</f>
        <v>#DIV/0!</v>
      </c>
      <c r="R11" s="44" t="e">
        <f>STDEV('Flow cytometer'!P11,'Flow cytometer'!L11,'Flow cytometer'!H11)*Calculation!K11/Calculation!M10</f>
        <v>#DIV/0!</v>
      </c>
      <c r="S11" s="45" t="e">
        <f t="shared" si="1"/>
        <v>#DIV/0!</v>
      </c>
    </row>
    <row r="12" spans="1:19">
      <c r="A12" s="62">
        <v>8</v>
      </c>
      <c r="B12" s="31">
        <v>80</v>
      </c>
      <c r="C12" s="31">
        <f t="shared" si="2"/>
        <v>680</v>
      </c>
      <c r="D12" s="13">
        <f t="shared" si="0"/>
        <v>11.333333333333334</v>
      </c>
      <c r="Q12" s="44" t="e">
        <f>AVERAGE('Flow cytometer'!P12,'Flow cytometer'!L12,'Flow cytometer'!H12)*Calculation!K12/Calculation!M11</f>
        <v>#DIV/0!</v>
      </c>
      <c r="R12" s="44" t="e">
        <f>STDEV('Flow cytometer'!P12,'Flow cytometer'!L12,'Flow cytometer'!H12)*Calculation!K12/Calculation!M11</f>
        <v>#DIV/0!</v>
      </c>
      <c r="S12" s="45" t="e">
        <f t="shared" si="1"/>
        <v>#DIV/0!</v>
      </c>
    </row>
    <row r="13" spans="1:19">
      <c r="A13" s="62">
        <v>9</v>
      </c>
      <c r="B13" s="31">
        <v>80</v>
      </c>
      <c r="C13" s="31">
        <f t="shared" si="2"/>
        <v>760</v>
      </c>
      <c r="D13" s="13">
        <f t="shared" si="0"/>
        <v>12.666666666666666</v>
      </c>
      <c r="Q13" s="44" t="e">
        <f>AVERAGE('Flow cytometer'!P13,'Flow cytometer'!L13,'Flow cytometer'!H13)*Calculation!K13/Calculation!M12</f>
        <v>#DIV/0!</v>
      </c>
      <c r="R13" s="44" t="e">
        <f>STDEV('Flow cytometer'!P13,'Flow cytometer'!L13,'Flow cytometer'!H13)*Calculation!K13/Calculation!M12</f>
        <v>#DIV/0!</v>
      </c>
      <c r="S13" s="45" t="e">
        <f t="shared" si="1"/>
        <v>#DIV/0!</v>
      </c>
    </row>
    <row r="14" spans="1:19">
      <c r="A14" s="62">
        <v>10</v>
      </c>
      <c r="B14" s="31">
        <v>80</v>
      </c>
      <c r="C14" s="31">
        <f t="shared" si="2"/>
        <v>840</v>
      </c>
      <c r="D14" s="13">
        <f t="shared" si="0"/>
        <v>14</v>
      </c>
      <c r="Q14" s="44" t="e">
        <f>AVERAGE('Flow cytometer'!P14,'Flow cytometer'!L14,'Flow cytometer'!H14)*Calculation!K14/Calculation!M13</f>
        <v>#DIV/0!</v>
      </c>
      <c r="R14" s="44" t="e">
        <f>STDEV('Flow cytometer'!P14,'Flow cytometer'!L14,'Flow cytometer'!H14)*Calculation!K14/Calculation!M13</f>
        <v>#DIV/0!</v>
      </c>
      <c r="S14" s="45" t="e">
        <f t="shared" si="1"/>
        <v>#DIV/0!</v>
      </c>
    </row>
    <row r="15" spans="1:19">
      <c r="A15" s="62">
        <v>11</v>
      </c>
      <c r="B15" s="31">
        <v>80</v>
      </c>
      <c r="C15" s="31">
        <f t="shared" si="2"/>
        <v>920</v>
      </c>
      <c r="D15" s="13">
        <f t="shared" si="0"/>
        <v>15.333333333333334</v>
      </c>
      <c r="Q15" s="44" t="e">
        <f>AVERAGE('Flow cytometer'!P15,'Flow cytometer'!L15,'Flow cytometer'!H15)*Calculation!K15/Calculation!M14</f>
        <v>#DIV/0!</v>
      </c>
      <c r="R15" s="44" t="e">
        <f>STDEV('Flow cytometer'!P15,'Flow cytometer'!L15,'Flow cytometer'!H15)*Calculation!K15/Calculation!M14</f>
        <v>#DIV/0!</v>
      </c>
      <c r="S15" s="45" t="e">
        <f t="shared" si="1"/>
        <v>#DIV/0!</v>
      </c>
    </row>
    <row r="16" spans="1:19">
      <c r="A16" s="62">
        <v>12</v>
      </c>
      <c r="B16" s="31">
        <v>80</v>
      </c>
      <c r="C16" s="31">
        <f t="shared" si="2"/>
        <v>1000</v>
      </c>
      <c r="D16" s="13">
        <f t="shared" si="0"/>
        <v>16.666666666666668</v>
      </c>
      <c r="Q16" s="44" t="e">
        <f>AVERAGE('Flow cytometer'!P16,'Flow cytometer'!L16,'Flow cytometer'!H16)*Calculation!K16/Calculation!M15</f>
        <v>#DIV/0!</v>
      </c>
      <c r="R16" s="44" t="e">
        <f>STDEV('Flow cytometer'!P16,'Flow cytometer'!L16,'Flow cytometer'!H16)*Calculation!K16/Calculation!M15</f>
        <v>#DIV/0!</v>
      </c>
      <c r="S16" s="45" t="e">
        <f t="shared" si="1"/>
        <v>#DIV/0!</v>
      </c>
    </row>
    <row r="17" spans="1:19">
      <c r="A17" s="62">
        <v>13</v>
      </c>
      <c r="B17" s="31">
        <v>80</v>
      </c>
      <c r="C17" s="31">
        <f t="shared" si="2"/>
        <v>1080</v>
      </c>
      <c r="D17" s="13">
        <f t="shared" si="0"/>
        <v>18</v>
      </c>
      <c r="Q17" s="44" t="e">
        <f>AVERAGE('Flow cytometer'!P17,'Flow cytometer'!L17,'Flow cytometer'!H17)*Calculation!K17/Calculation!M16</f>
        <v>#DIV/0!</v>
      </c>
      <c r="R17" s="44" t="e">
        <f>STDEV('Flow cytometer'!P17,'Flow cytometer'!L17,'Flow cytometer'!H17)*Calculation!K17/Calculation!M16</f>
        <v>#DIV/0!</v>
      </c>
      <c r="S17" s="45" t="e">
        <f t="shared" si="1"/>
        <v>#DIV/0!</v>
      </c>
    </row>
    <row r="18" spans="1:19">
      <c r="A18" s="62">
        <v>14</v>
      </c>
      <c r="B18" s="31">
        <v>360</v>
      </c>
      <c r="C18" s="31">
        <f t="shared" si="2"/>
        <v>1440</v>
      </c>
      <c r="D18" s="13">
        <f t="shared" si="0"/>
        <v>24</v>
      </c>
      <c r="Q18" s="44" t="e">
        <f>AVERAGE('Flow cytometer'!P18,'Flow cytometer'!L18,'Flow cytometer'!H18)*Calculation!K18/Calculation!M17</f>
        <v>#DIV/0!</v>
      </c>
      <c r="R18" s="44" t="e">
        <f>STDEV('Flow cytometer'!P18,'Flow cytometer'!L18,'Flow cytometer'!H18)*Calculation!K18/Calculation!M17</f>
        <v>#DIV/0!</v>
      </c>
      <c r="S18" s="45" t="e">
        <f t="shared" si="1"/>
        <v>#DIV/0!</v>
      </c>
    </row>
    <row r="19" spans="1:19">
      <c r="A19" s="62">
        <v>15</v>
      </c>
      <c r="B19" s="31">
        <v>360</v>
      </c>
      <c r="C19" s="31">
        <f>C18+B19</f>
        <v>1800</v>
      </c>
      <c r="D19" s="13">
        <f t="shared" si="0"/>
        <v>30</v>
      </c>
      <c r="Q19" s="44" t="e">
        <f>AVERAGE('Flow cytometer'!P19,'Flow cytometer'!L19,'Flow cytometer'!H19)*Calculation!K19/Calculation!M18</f>
        <v>#DIV/0!</v>
      </c>
      <c r="R19" s="44" t="e">
        <f>STDEV('Flow cytometer'!P19,'Flow cytometer'!L19,'Flow cytometer'!H19)*Calculation!K19/Calculation!M18</f>
        <v>#DIV/0!</v>
      </c>
      <c r="S19" s="45" t="e">
        <f t="shared" si="1"/>
        <v>#DIV/0!</v>
      </c>
    </row>
    <row r="20" spans="1:19">
      <c r="A20" s="62">
        <v>16</v>
      </c>
      <c r="B20" s="31">
        <v>1080</v>
      </c>
      <c r="C20" s="31">
        <f>C19+B20</f>
        <v>2880</v>
      </c>
      <c r="D20" s="13">
        <f t="shared" si="0"/>
        <v>48</v>
      </c>
      <c r="Q20" s="44" t="e">
        <f>AVERAGE('Flow cytometer'!P20,'Flow cytometer'!L20,'Flow cytometer'!H20)*Calculation!K20/Calculation!M19</f>
        <v>#DIV/0!</v>
      </c>
      <c r="R20" s="44" t="e">
        <f>STDEV('Flow cytometer'!P20,'Flow cytometer'!L20,'Flow cytometer'!H20)*Calculation!K20/Calculation!M19</f>
        <v>#DIV/0!</v>
      </c>
      <c r="S20" s="45" t="e">
        <f t="shared" ref="S20" si="3">LOG(Q20)</f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0"/>
  <sheetViews>
    <sheetView topLeftCell="D1" workbookViewId="0">
      <selection activeCell="N23" sqref="N23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</cols>
  <sheetData>
    <row r="1" spans="1:24">
      <c r="A1" s="133" t="s">
        <v>4</v>
      </c>
      <c r="B1" s="133" t="s">
        <v>117</v>
      </c>
      <c r="C1" s="133" t="s">
        <v>117</v>
      </c>
      <c r="D1" s="133" t="s">
        <v>5</v>
      </c>
      <c r="E1" s="132" t="s">
        <v>119</v>
      </c>
      <c r="F1" s="132"/>
      <c r="G1" s="132"/>
      <c r="H1" s="132"/>
      <c r="I1" s="132" t="s">
        <v>120</v>
      </c>
      <c r="J1" s="132"/>
      <c r="K1" s="132"/>
      <c r="L1" s="132"/>
      <c r="M1" s="132" t="s">
        <v>121</v>
      </c>
      <c r="N1" s="132"/>
      <c r="O1" s="132"/>
      <c r="P1" s="132"/>
      <c r="Q1" s="24" t="s">
        <v>122</v>
      </c>
      <c r="R1" s="24" t="s">
        <v>122</v>
      </c>
      <c r="S1" s="24" t="s">
        <v>122</v>
      </c>
      <c r="T1" s="57" t="s">
        <v>122</v>
      </c>
      <c r="U1" s="70" t="s">
        <v>119</v>
      </c>
      <c r="V1" s="70" t="s">
        <v>120</v>
      </c>
      <c r="W1" s="70" t="s">
        <v>121</v>
      </c>
      <c r="X1" s="70" t="s">
        <v>122</v>
      </c>
    </row>
    <row r="2" spans="1:24">
      <c r="A2" s="134"/>
      <c r="B2" s="134"/>
      <c r="C2" s="134"/>
      <c r="D2" s="134"/>
      <c r="E2" s="23" t="s">
        <v>19</v>
      </c>
      <c r="F2" s="23" t="s">
        <v>68</v>
      </c>
      <c r="G2" s="23" t="s">
        <v>69</v>
      </c>
      <c r="H2" s="23" t="s">
        <v>70</v>
      </c>
      <c r="I2" s="23" t="s">
        <v>19</v>
      </c>
      <c r="J2" s="23" t="s">
        <v>68</v>
      </c>
      <c r="K2" s="23" t="s">
        <v>69</v>
      </c>
      <c r="L2" s="23" t="s">
        <v>70</v>
      </c>
      <c r="M2" s="23" t="s">
        <v>19</v>
      </c>
      <c r="N2" s="23" t="s">
        <v>68</v>
      </c>
      <c r="O2" s="23" t="s">
        <v>69</v>
      </c>
      <c r="P2" s="23" t="s">
        <v>71</v>
      </c>
      <c r="Q2" s="25" t="s">
        <v>70</v>
      </c>
      <c r="R2" s="25" t="s">
        <v>23</v>
      </c>
      <c r="S2" s="25" t="s">
        <v>72</v>
      </c>
      <c r="T2" s="58" t="s">
        <v>136</v>
      </c>
      <c r="U2" s="71" t="s">
        <v>146</v>
      </c>
      <c r="V2" s="71" t="s">
        <v>146</v>
      </c>
      <c r="W2" s="71" t="s">
        <v>146</v>
      </c>
      <c r="X2" s="71" t="s">
        <v>147</v>
      </c>
    </row>
    <row r="3" spans="1:24">
      <c r="A3" s="60" t="s">
        <v>6</v>
      </c>
      <c r="B3" s="31">
        <v>-10</v>
      </c>
      <c r="C3" s="31">
        <f>B3</f>
        <v>-10</v>
      </c>
      <c r="D3" s="13">
        <f>C3/60</f>
        <v>-0.16666666666666666</v>
      </c>
      <c r="E3" s="42" t="s">
        <v>101</v>
      </c>
      <c r="F3" s="42" t="s">
        <v>101</v>
      </c>
      <c r="G3" s="42" t="s">
        <v>101</v>
      </c>
      <c r="H3" s="43" t="s">
        <v>101</v>
      </c>
      <c r="I3" s="42" t="s">
        <v>101</v>
      </c>
      <c r="J3" s="42" t="s">
        <v>101</v>
      </c>
      <c r="K3" s="42" t="s">
        <v>101</v>
      </c>
      <c r="L3" s="43" t="s">
        <v>101</v>
      </c>
      <c r="M3" s="60" t="s">
        <v>101</v>
      </c>
      <c r="N3" s="42" t="s">
        <v>101</v>
      </c>
      <c r="O3" s="42" t="s">
        <v>101</v>
      </c>
      <c r="P3" s="43" t="s">
        <v>101</v>
      </c>
      <c r="Q3" s="139" t="s">
        <v>101</v>
      </c>
      <c r="R3" s="140"/>
      <c r="S3" s="141"/>
      <c r="T3" s="69"/>
      <c r="U3" s="43" t="s">
        <v>101</v>
      </c>
      <c r="V3" s="43" t="s">
        <v>101</v>
      </c>
      <c r="W3" s="43" t="s">
        <v>101</v>
      </c>
      <c r="X3" s="43" t="s">
        <v>101</v>
      </c>
    </row>
    <row r="4" spans="1:24">
      <c r="A4" s="62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31">
        <v>2</v>
      </c>
      <c r="F4" s="31">
        <v>13214</v>
      </c>
      <c r="G4" s="31">
        <v>7</v>
      </c>
      <c r="H4" s="43">
        <f>('Flow cytometer'!F4/'Flow cytometer'!G4)*POWER(10,'Flow cytometer'!E4+2)*10.2</f>
        <v>192546857.14285713</v>
      </c>
      <c r="I4" s="31">
        <v>2</v>
      </c>
      <c r="J4" s="31">
        <v>13922</v>
      </c>
      <c r="K4" s="31">
        <v>7</v>
      </c>
      <c r="L4" s="43">
        <f>('Flow cytometer'!J4/'Flow cytometer'!K4)*POWER(10,'Flow cytometer'!I4+2)*10.2</f>
        <v>202863428.57142857</v>
      </c>
      <c r="M4" s="62">
        <v>2</v>
      </c>
      <c r="N4" s="31">
        <v>14251</v>
      </c>
      <c r="O4" s="31">
        <v>7</v>
      </c>
      <c r="P4" s="43">
        <f>('Flow cytometer'!N4/'Flow cytometer'!O4)*POWER(10,'Flow cytometer'!M4+2)*10.2</f>
        <v>207657428.57142857</v>
      </c>
      <c r="Q4" s="46">
        <f>AVERAGE(H4,L4,P4)*Calculation!I4/Calculation!K3</f>
        <v>201275271.07838735</v>
      </c>
      <c r="R4" s="47">
        <f>STDEV(H4,L4,P4)*Calculation!I4/Calculation!K3</f>
        <v>7731358.5924209254</v>
      </c>
      <c r="S4" s="48">
        <f>LOG(Q4)</f>
        <v>8.3037904202243968</v>
      </c>
      <c r="T4" s="68">
        <f>LN(Q4)</f>
        <v>19.120184036955461</v>
      </c>
      <c r="U4" s="48">
        <f>LOG(H4)</f>
        <v>8.2845364342199606</v>
      </c>
      <c r="V4" s="48">
        <f>LOG(L4)</f>
        <v>8.3072037611724312</v>
      </c>
      <c r="W4" s="48">
        <f>LOG(P4)</f>
        <v>8.3173474718286258</v>
      </c>
      <c r="X4" s="48">
        <f xml:space="preserve"> STDEV(U4:W4)*Calculation!I4/Calculation!K3</f>
        <v>1.682025839539671E-2</v>
      </c>
    </row>
    <row r="5" spans="1:24">
      <c r="A5" s="62">
        <v>1</v>
      </c>
      <c r="B5" s="31">
        <v>110</v>
      </c>
      <c r="C5" s="31">
        <f>C4+B5</f>
        <v>120</v>
      </c>
      <c r="D5" s="13">
        <f t="shared" si="0"/>
        <v>2</v>
      </c>
      <c r="E5" s="31">
        <v>2</v>
      </c>
      <c r="F5" s="31">
        <v>20489</v>
      </c>
      <c r="G5" s="31">
        <v>7</v>
      </c>
      <c r="H5" s="43">
        <f>('Flow cytometer'!F5/'Flow cytometer'!G5)*POWER(10,'Flow cytometer'!E5+2)*10.2</f>
        <v>298554000</v>
      </c>
      <c r="I5" s="31">
        <v>2</v>
      </c>
      <c r="J5" s="31">
        <v>20348</v>
      </c>
      <c r="K5" s="31">
        <v>7</v>
      </c>
      <c r="L5" s="43">
        <f>('Flow cytometer'!J5/'Flow cytometer'!K5)*POWER(10,'Flow cytometer'!I5+2)*10.2</f>
        <v>296499428.57142854</v>
      </c>
      <c r="M5" s="62">
        <v>2</v>
      </c>
      <c r="N5" s="31">
        <v>21023</v>
      </c>
      <c r="O5" s="31">
        <v>7</v>
      </c>
      <c r="P5" s="43">
        <f>('Flow cytometer'!N5/'Flow cytometer'!O5)*POWER(10,'Flow cytometer'!M5+2)*10.2</f>
        <v>306335142.85714281</v>
      </c>
      <c r="Q5" s="46">
        <f>AVERAGE(H5,L5,P5)*Calculation!I5/Calculation!K4</f>
        <v>301622980.47733438</v>
      </c>
      <c r="R5" s="47">
        <f>STDEV(H5,L5,P5)*Calculation!I5/Calculation!K4</f>
        <v>5208300.1156389173</v>
      </c>
      <c r="S5" s="48">
        <f t="shared" ref="S5:S19" si="1">LOG(Q5)</f>
        <v>8.4794644270992343</v>
      </c>
      <c r="T5" s="48">
        <f t="shared" ref="T5:T19" si="2">LN(Q5)</f>
        <v>19.524688386411992</v>
      </c>
      <c r="U5" s="48">
        <f t="shared" ref="U5:U20" si="3">LOG(H5)</f>
        <v>8.4750228941957086</v>
      </c>
      <c r="V5" s="48">
        <f t="shared" ref="V5:V20" si="4">LOG(L5)</f>
        <v>8.4720238607069778</v>
      </c>
      <c r="W5" s="48">
        <f t="shared" ref="W5:W20" si="5">LOG(P5)</f>
        <v>8.4861968220545361</v>
      </c>
      <c r="X5" s="48">
        <f xml:space="preserve"> STDEV(U5:W5)*Calculation!I5/Calculation!K4</f>
        <v>7.4979275616766155E-3</v>
      </c>
    </row>
    <row r="6" spans="1:24">
      <c r="A6" s="62">
        <v>2</v>
      </c>
      <c r="B6" s="31">
        <v>80</v>
      </c>
      <c r="C6" s="31">
        <f>C5+B6</f>
        <v>200</v>
      </c>
      <c r="D6" s="13">
        <f t="shared" si="0"/>
        <v>3.3333333333333335</v>
      </c>
      <c r="E6" s="31">
        <v>3</v>
      </c>
      <c r="F6" s="31">
        <v>6737</v>
      </c>
      <c r="G6" s="31">
        <v>7</v>
      </c>
      <c r="H6" s="43">
        <f>('Flow cytometer'!F6/'Flow cytometer'!G6)*POWER(10,'Flow cytometer'!E6+2)*10.2</f>
        <v>981677142.85714281</v>
      </c>
      <c r="I6" s="31">
        <v>3</v>
      </c>
      <c r="J6" s="31">
        <v>7207</v>
      </c>
      <c r="K6" s="31">
        <v>7</v>
      </c>
      <c r="L6" s="43">
        <f>('Flow cytometer'!J6/'Flow cytometer'!K6)*POWER(10,'Flow cytometer'!I6+2)*10.2</f>
        <v>1050162857.1428572</v>
      </c>
      <c r="M6" s="62">
        <v>3</v>
      </c>
      <c r="N6" s="31">
        <v>6637</v>
      </c>
      <c r="O6" s="31">
        <v>7</v>
      </c>
      <c r="P6" s="43">
        <f>('Flow cytometer'!N6/'Flow cytometer'!O6)*POWER(10,'Flow cytometer'!M6+2)*10.2</f>
        <v>967105714.28571427</v>
      </c>
      <c r="Q6" s="46">
        <f>AVERAGE(H6,L6,P6)*Calculation!I6/Calculation!K5</f>
        <v>1010225258.4051957</v>
      </c>
      <c r="R6" s="47">
        <f>STDEV(H6,L6,P6)*Calculation!I6/Calculation!K5</f>
        <v>44818431.230926424</v>
      </c>
      <c r="S6" s="48">
        <f t="shared" si="1"/>
        <v>9.004418222866553</v>
      </c>
      <c r="T6" s="48">
        <f t="shared" si="2"/>
        <v>20.73343917105646</v>
      </c>
      <c r="U6" s="48">
        <f t="shared" si="3"/>
        <v>8.9919686791003386</v>
      </c>
      <c r="V6" s="48">
        <f t="shared" si="4"/>
        <v>9.0212566538071037</v>
      </c>
      <c r="W6" s="48">
        <f t="shared" si="5"/>
        <v>8.9854739493897036</v>
      </c>
      <c r="X6" s="48">
        <f xml:space="preserve"> STDEV(U6:W6)*Calculation!I6/Calculation!K5</f>
        <v>1.9264610760388757E-2</v>
      </c>
    </row>
    <row r="7" spans="1:24">
      <c r="A7" s="62">
        <v>3</v>
      </c>
      <c r="B7" s="31">
        <v>80</v>
      </c>
      <c r="C7" s="31">
        <f>C6+B7</f>
        <v>280</v>
      </c>
      <c r="D7" s="13">
        <f t="shared" si="0"/>
        <v>4.666666666666667</v>
      </c>
      <c r="E7" s="31">
        <v>3</v>
      </c>
      <c r="F7" s="31">
        <v>21798</v>
      </c>
      <c r="G7" s="31">
        <v>7</v>
      </c>
      <c r="H7" s="43">
        <f>('Flow cytometer'!F7/'Flow cytometer'!G7)*POWER(10,'Flow cytometer'!E7+2)*10.2</f>
        <v>3176280000</v>
      </c>
      <c r="I7" s="31">
        <v>3</v>
      </c>
      <c r="J7" s="31">
        <v>19747</v>
      </c>
      <c r="K7" s="31">
        <v>7</v>
      </c>
      <c r="L7" s="43">
        <f>('Flow cytometer'!J7/'Flow cytometer'!K7)*POWER(10,'Flow cytometer'!I7+2)*10.2</f>
        <v>2877420000</v>
      </c>
      <c r="M7" s="62">
        <v>3</v>
      </c>
      <c r="N7" s="31">
        <v>18682</v>
      </c>
      <c r="O7" s="31">
        <v>7</v>
      </c>
      <c r="P7" s="43">
        <f>('Flow cytometer'!N7/'Flow cytometer'!O7)*POWER(10,'Flow cytometer'!M7+2)*10.2</f>
        <v>2722234285.7142854</v>
      </c>
      <c r="Q7" s="46">
        <f>AVERAGE(H7,L7,P7)*Calculation!I7/Calculation!K6</f>
        <v>2998725822.4537878</v>
      </c>
      <c r="R7" s="47">
        <f>STDEV(H7,L7,P7)*Calculation!I7/Calculation!K6</f>
        <v>236572073.76757947</v>
      </c>
      <c r="S7" s="48">
        <f t="shared" si="1"/>
        <v>9.476936759444504</v>
      </c>
      <c r="T7" s="48">
        <f t="shared" si="2"/>
        <v>21.821453309544214</v>
      </c>
      <c r="U7" s="48">
        <f t="shared" si="3"/>
        <v>9.5019187799940195</v>
      </c>
      <c r="V7" s="48">
        <f t="shared" si="4"/>
        <v>9.4590032579172831</v>
      </c>
      <c r="W7" s="48">
        <f t="shared" si="5"/>
        <v>9.4349254994912428</v>
      </c>
      <c r="X7" s="48">
        <f xml:space="preserve"> STDEV(U7:W7)*Calculation!I7/Calculation!K6</f>
        <v>3.4786830002710191E-2</v>
      </c>
    </row>
    <row r="8" spans="1:24">
      <c r="A8" s="62">
        <v>4</v>
      </c>
      <c r="B8" s="31">
        <v>80</v>
      </c>
      <c r="C8" s="31">
        <f t="shared" ref="C8:C18" si="6">C7+B8</f>
        <v>360</v>
      </c>
      <c r="D8" s="13">
        <f t="shared" si="0"/>
        <v>6</v>
      </c>
      <c r="E8" s="31">
        <v>4</v>
      </c>
      <c r="F8" s="31">
        <v>3885</v>
      </c>
      <c r="G8" s="31">
        <v>7</v>
      </c>
      <c r="H8" s="43">
        <f>('Flow cytometer'!F8/'Flow cytometer'!G8)*POWER(10,'Flow cytometer'!E8+2)*10.2</f>
        <v>5661000000</v>
      </c>
      <c r="I8" s="31">
        <v>4</v>
      </c>
      <c r="J8" s="31">
        <v>4050</v>
      </c>
      <c r="K8" s="31">
        <v>7</v>
      </c>
      <c r="L8" s="43">
        <f>('Flow cytometer'!J8/'Flow cytometer'!K8)*POWER(10,'Flow cytometer'!I8+2)*10.2</f>
        <v>5901428571.4285707</v>
      </c>
      <c r="M8" s="62">
        <v>4</v>
      </c>
      <c r="N8" s="31">
        <v>3906</v>
      </c>
      <c r="O8" s="31">
        <v>7</v>
      </c>
      <c r="P8" s="43">
        <f>('Flow cytometer'!N8/'Flow cytometer'!O8)*POWER(10,'Flow cytometer'!M8+2)*10.2</f>
        <v>5691600000</v>
      </c>
      <c r="Q8" s="46">
        <f>AVERAGE(H8,L8,P8)*Calculation!I8/Calculation!K7</f>
        <v>6043277085.635354</v>
      </c>
      <c r="R8" s="47">
        <f>STDEV(H8,L8,P8)*Calculation!I8/Calculation!K7</f>
        <v>137518589.51578805</v>
      </c>
      <c r="S8" s="48">
        <f t="shared" si="1"/>
        <v>9.7812725072062054</v>
      </c>
      <c r="T8" s="48">
        <f t="shared" si="2"/>
        <v>22.5222122656055</v>
      </c>
      <c r="U8" s="48">
        <f t="shared" si="3"/>
        <v>9.7528931548845943</v>
      </c>
      <c r="V8" s="48">
        <f t="shared" si="4"/>
        <v>9.7709571549623284</v>
      </c>
      <c r="W8" s="48">
        <f t="shared" si="5"/>
        <v>9.7552343706994957</v>
      </c>
      <c r="X8" s="48">
        <f xml:space="preserve"> STDEV(U8:W8)*Calculation!I8/Calculation!K7</f>
        <v>1.0322030934192908E-2</v>
      </c>
    </row>
    <row r="9" spans="1:24">
      <c r="A9" s="62">
        <v>5</v>
      </c>
      <c r="B9" s="31">
        <v>80</v>
      </c>
      <c r="C9" s="31">
        <f t="shared" si="6"/>
        <v>440</v>
      </c>
      <c r="D9" s="13">
        <f t="shared" si="0"/>
        <v>7.333333333333333</v>
      </c>
      <c r="E9" s="31">
        <v>4</v>
      </c>
      <c r="F9" s="31">
        <v>4401</v>
      </c>
      <c r="G9" s="31">
        <v>7</v>
      </c>
      <c r="H9" s="43">
        <f>('Flow cytometer'!F9/'Flow cytometer'!G9)*POWER(10,'Flow cytometer'!E9+2)*10.2</f>
        <v>6412885714.2857132</v>
      </c>
      <c r="I9" s="31">
        <v>4</v>
      </c>
      <c r="J9" s="31">
        <v>4134</v>
      </c>
      <c r="K9" s="31">
        <v>7</v>
      </c>
      <c r="L9" s="43">
        <f>('Flow cytometer'!J9/'Flow cytometer'!K9)*POWER(10,'Flow cytometer'!I9+2)*10.2</f>
        <v>6023828571.4285707</v>
      </c>
      <c r="M9" s="62">
        <v>4</v>
      </c>
      <c r="N9" s="31">
        <v>4392</v>
      </c>
      <c r="O9" s="31">
        <v>7</v>
      </c>
      <c r="P9" s="43">
        <f>('Flow cytometer'!N9/'Flow cytometer'!O9)*POWER(10,'Flow cytometer'!M9+2)*10.2</f>
        <v>6399771428.5714283</v>
      </c>
      <c r="Q9" s="46">
        <f>AVERAGE(H9,L9,P9)*Calculation!I9/Calculation!K8</f>
        <v>6657389664.8131294</v>
      </c>
      <c r="R9" s="47">
        <f>STDEV(H9,L9,P9)*Calculation!I9/Calculation!K8</f>
        <v>234254274.06368032</v>
      </c>
      <c r="S9" s="48">
        <f t="shared" si="1"/>
        <v>9.823303977460224</v>
      </c>
      <c r="T9" s="48">
        <f t="shared" si="2"/>
        <v>22.618993302449031</v>
      </c>
      <c r="U9" s="48">
        <f t="shared" si="3"/>
        <v>9.8070535003106052</v>
      </c>
      <c r="V9" s="48">
        <f t="shared" si="4"/>
        <v>9.7798726040389301</v>
      </c>
      <c r="W9" s="48">
        <f t="shared" si="5"/>
        <v>9.8061644631896954</v>
      </c>
      <c r="X9" s="48">
        <f xml:space="preserve"> STDEV(U9:W9)*Calculation!I9/Calculation!K8</f>
        <v>1.6373717431009648E-2</v>
      </c>
    </row>
    <row r="10" spans="1:24">
      <c r="A10" s="62">
        <v>6</v>
      </c>
      <c r="B10" s="31">
        <v>80</v>
      </c>
      <c r="C10" s="31">
        <f t="shared" si="6"/>
        <v>520</v>
      </c>
      <c r="D10" s="13">
        <f t="shared" si="0"/>
        <v>8.6666666666666661</v>
      </c>
      <c r="E10" s="31">
        <v>4</v>
      </c>
      <c r="F10" s="31">
        <v>4570</v>
      </c>
      <c r="G10" s="31">
        <v>7</v>
      </c>
      <c r="H10" s="43">
        <f>('Flow cytometer'!F10/'Flow cytometer'!G10)*POWER(10,'Flow cytometer'!E10+2)*10.2</f>
        <v>6659142857.1428576</v>
      </c>
      <c r="I10" s="31">
        <v>4</v>
      </c>
      <c r="J10" s="31">
        <v>4246</v>
      </c>
      <c r="K10" s="31">
        <v>7</v>
      </c>
      <c r="L10" s="43">
        <f>('Flow cytometer'!J10/'Flow cytometer'!K10)*POWER(10,'Flow cytometer'!I10+2)*10.2</f>
        <v>6187028571.4285707</v>
      </c>
      <c r="M10" s="62">
        <v>4</v>
      </c>
      <c r="N10" s="31">
        <v>4350</v>
      </c>
      <c r="O10" s="31">
        <v>7</v>
      </c>
      <c r="P10" s="43">
        <f>('Flow cytometer'!N10/'Flow cytometer'!O10)*POWER(10,'Flow cytometer'!M10+2)*10.2</f>
        <v>6338571428.5714283</v>
      </c>
      <c r="Q10" s="46">
        <f>AVERAGE(H10,L10,P10)*Calculation!I10/Calculation!K9</f>
        <v>6804690361.2227011</v>
      </c>
      <c r="R10" s="47">
        <f>STDEV(H10,L10,P10)*Calculation!I10/Calculation!K9</f>
        <v>256493369.73496315</v>
      </c>
      <c r="S10" s="48">
        <f t="shared" si="1"/>
        <v>9.8328083679711149</v>
      </c>
      <c r="T10" s="48">
        <f t="shared" si="2"/>
        <v>22.640877970357401</v>
      </c>
      <c r="U10" s="48">
        <f t="shared" si="3"/>
        <v>9.8234183318175106</v>
      </c>
      <c r="V10" s="48">
        <f t="shared" si="4"/>
        <v>9.7914821215776406</v>
      </c>
      <c r="W10" s="48">
        <f t="shared" si="5"/>
        <v>9.801991388702298</v>
      </c>
      <c r="X10" s="48">
        <f xml:space="preserve"> STDEV(U10:W10)*Calculation!I10/Calculation!K9</f>
        <v>1.7319109738398959E-2</v>
      </c>
    </row>
    <row r="11" spans="1:24">
      <c r="A11" s="62">
        <v>7</v>
      </c>
      <c r="B11" s="31">
        <v>80</v>
      </c>
      <c r="C11" s="31">
        <f t="shared" si="6"/>
        <v>600</v>
      </c>
      <c r="D11" s="13">
        <f t="shared" si="0"/>
        <v>10</v>
      </c>
      <c r="E11" s="31">
        <v>4</v>
      </c>
      <c r="F11" s="31">
        <v>4408</v>
      </c>
      <c r="G11" s="31">
        <v>7</v>
      </c>
      <c r="H11" s="43">
        <f>('Flow cytometer'!F11/'Flow cytometer'!G11)*POWER(10,'Flow cytometer'!E11+2)*10.2</f>
        <v>6423085714.2857132</v>
      </c>
      <c r="I11" s="31">
        <v>4</v>
      </c>
      <c r="J11" s="31">
        <v>3653</v>
      </c>
      <c r="K11" s="31">
        <v>7</v>
      </c>
      <c r="L11" s="43">
        <f>('Flow cytometer'!J11/'Flow cytometer'!K11)*POWER(10,'Flow cytometer'!I11+2)*10.2</f>
        <v>5322942857.1428566</v>
      </c>
      <c r="M11" s="62">
        <v>4</v>
      </c>
      <c r="N11" s="31">
        <v>4405</v>
      </c>
      <c r="O11" s="31">
        <v>7</v>
      </c>
      <c r="P11" s="43">
        <f>('Flow cytometer'!N11/'Flow cytometer'!O11)*POWER(10,'Flow cytometer'!M11+2)*10.2</f>
        <v>6418714285.7142859</v>
      </c>
      <c r="Q11" s="46">
        <f>AVERAGE(H11,L11,P11)*Calculation!I11/Calculation!K10</f>
        <v>6457126440.0549736</v>
      </c>
      <c r="R11" s="47">
        <f>STDEV(H11,L11,P11)*Calculation!I11/Calculation!K10</f>
        <v>676018581.89698255</v>
      </c>
      <c r="S11" s="48">
        <f t="shared" si="1"/>
        <v>9.8100392906153076</v>
      </c>
      <c r="T11" s="48">
        <f t="shared" si="2"/>
        <v>22.58845023225669</v>
      </c>
      <c r="U11" s="48">
        <f t="shared" si="3"/>
        <v>9.8077437175913893</v>
      </c>
      <c r="V11" s="48">
        <f t="shared" si="4"/>
        <v>9.7261518039595778</v>
      </c>
      <c r="W11" s="48">
        <f t="shared" si="5"/>
        <v>9.807448044495727</v>
      </c>
      <c r="X11" s="48">
        <f xml:space="preserve"> STDEV(U11:W11)*Calculation!I11/Calculation!K10</f>
        <v>5.0145540456215033E-2</v>
      </c>
    </row>
    <row r="12" spans="1:24">
      <c r="A12" s="62">
        <v>8</v>
      </c>
      <c r="B12" s="31">
        <v>80</v>
      </c>
      <c r="C12" s="31">
        <f t="shared" si="6"/>
        <v>680</v>
      </c>
      <c r="D12" s="13">
        <f t="shared" si="0"/>
        <v>11.333333333333334</v>
      </c>
      <c r="E12" s="31">
        <v>4</v>
      </c>
      <c r="F12" s="31">
        <v>4781</v>
      </c>
      <c r="G12" s="31">
        <v>7</v>
      </c>
      <c r="H12" s="43">
        <f>('Flow cytometer'!F12/'Flow cytometer'!G12)*POWER(10,'Flow cytometer'!E12+2)*10.2</f>
        <v>6966599999.999999</v>
      </c>
      <c r="I12" s="31">
        <v>4</v>
      </c>
      <c r="J12" s="31">
        <v>4590</v>
      </c>
      <c r="K12" s="31">
        <v>7</v>
      </c>
      <c r="L12" s="43">
        <f>('Flow cytometer'!J12/'Flow cytometer'!K12)*POWER(10,'Flow cytometer'!I12+2)*10.2</f>
        <v>6688285714.2857132</v>
      </c>
      <c r="M12" s="62">
        <v>4</v>
      </c>
      <c r="N12" s="31">
        <v>3658</v>
      </c>
      <c r="O12" s="31">
        <v>7</v>
      </c>
      <c r="P12" s="43">
        <f>('Flow cytometer'!N12/'Flow cytometer'!O12)*POWER(10,'Flow cytometer'!M12+2)*10.2</f>
        <v>5330228571.4285707</v>
      </c>
      <c r="Q12" s="46">
        <f>AVERAGE(H12,L12,P12)*Calculation!I12/Calculation!K11</f>
        <v>6764109967.0835238</v>
      </c>
      <c r="R12" s="47">
        <f>STDEV(H12,L12,P12)*Calculation!I12/Calculation!K11</f>
        <v>935831994.59432554</v>
      </c>
      <c r="S12" s="48">
        <f t="shared" si="1"/>
        <v>9.8302106594977552</v>
      </c>
      <c r="T12" s="48">
        <f t="shared" si="2"/>
        <v>22.634896525550698</v>
      </c>
      <c r="U12" s="48">
        <f t="shared" si="3"/>
        <v>9.8430208754434503</v>
      </c>
      <c r="V12" s="48">
        <f t="shared" si="4"/>
        <v>9.8253148172849212</v>
      </c>
      <c r="W12" s="48">
        <f t="shared" si="5"/>
        <v>9.7267458328880583</v>
      </c>
      <c r="X12" s="48">
        <f xml:space="preserve"> STDEV(U12:W12)*Calculation!I12/Calculation!K11</f>
        <v>6.6962471144822511E-2</v>
      </c>
    </row>
    <row r="13" spans="1:24">
      <c r="A13" s="62">
        <v>9</v>
      </c>
      <c r="B13" s="31">
        <v>80</v>
      </c>
      <c r="C13" s="31">
        <f t="shared" si="6"/>
        <v>760</v>
      </c>
      <c r="D13" s="13">
        <f t="shared" si="0"/>
        <v>12.666666666666666</v>
      </c>
      <c r="E13" s="31">
        <v>4</v>
      </c>
      <c r="F13" s="31">
        <v>4376</v>
      </c>
      <c r="G13" s="31">
        <v>7</v>
      </c>
      <c r="H13" s="43">
        <f>('Flow cytometer'!F13/'Flow cytometer'!G13)*POWER(10,'Flow cytometer'!E13+2)*10.2</f>
        <v>6376457142.8571415</v>
      </c>
      <c r="I13" s="31">
        <v>4</v>
      </c>
      <c r="J13" s="31">
        <v>4270</v>
      </c>
      <c r="K13" s="31">
        <v>7</v>
      </c>
      <c r="L13" s="43">
        <f>('Flow cytometer'!J13/'Flow cytometer'!K13)*POWER(10,'Flow cytometer'!I13+2)*10.2</f>
        <v>6222000000</v>
      </c>
      <c r="M13" s="62">
        <v>4</v>
      </c>
      <c r="N13" s="31">
        <v>5272</v>
      </c>
      <c r="O13" s="31">
        <v>7</v>
      </c>
      <c r="P13" s="43">
        <f>('Flow cytometer'!N13/'Flow cytometer'!O13)*POWER(10,'Flow cytometer'!M13+2)*10.2</f>
        <v>7682057142.8571415</v>
      </c>
      <c r="Q13" s="46">
        <f>AVERAGE(H13,L13,P13)*Calculation!I13/Calculation!K12</f>
        <v>7231313073.4555273</v>
      </c>
      <c r="R13" s="47">
        <f>STDEV(H13,L13,P13)*Calculation!I13/Calculation!K12</f>
        <v>858004547.90348196</v>
      </c>
      <c r="S13" s="48">
        <f t="shared" si="1"/>
        <v>9.8592171643455018</v>
      </c>
      <c r="T13" s="48">
        <f t="shared" si="2"/>
        <v>22.70168647121298</v>
      </c>
      <c r="U13" s="48">
        <f t="shared" si="3"/>
        <v>9.8045794450730348</v>
      </c>
      <c r="V13" s="48">
        <f t="shared" si="4"/>
        <v>9.7939300067726851</v>
      </c>
      <c r="W13" s="48">
        <f t="shared" si="5"/>
        <v>9.8854775333336136</v>
      </c>
      <c r="X13" s="48">
        <f xml:space="preserve"> STDEV(U13:W13)*Calculation!I13/Calculation!K12</f>
        <v>5.3553924291431659E-2</v>
      </c>
    </row>
    <row r="14" spans="1:24">
      <c r="A14" s="62">
        <v>10</v>
      </c>
      <c r="B14" s="31">
        <v>80</v>
      </c>
      <c r="C14" s="31">
        <f t="shared" si="6"/>
        <v>840</v>
      </c>
      <c r="D14" s="13">
        <f t="shared" si="0"/>
        <v>14</v>
      </c>
      <c r="E14" s="31">
        <v>4</v>
      </c>
      <c r="F14" s="31">
        <v>3590</v>
      </c>
      <c r="G14" s="31">
        <v>7</v>
      </c>
      <c r="H14" s="43">
        <f>('Flow cytometer'!F14/'Flow cytometer'!G14)*POWER(10,'Flow cytometer'!E14+2)*10.2</f>
        <v>5231142857.1428566</v>
      </c>
      <c r="I14" s="31">
        <v>4</v>
      </c>
      <c r="J14" s="31">
        <v>3768</v>
      </c>
      <c r="K14" s="31">
        <v>7</v>
      </c>
      <c r="L14" s="43">
        <f>('Flow cytometer'!J14/'Flow cytometer'!K14)*POWER(10,'Flow cytometer'!I14+2)*10.2</f>
        <v>5490514285.7142868</v>
      </c>
      <c r="M14" s="62">
        <v>4</v>
      </c>
      <c r="N14" s="31">
        <v>4573</v>
      </c>
      <c r="O14" s="31">
        <v>7</v>
      </c>
      <c r="P14" s="43">
        <f>('Flow cytometer'!N14/'Flow cytometer'!O14)*POWER(10,'Flow cytometer'!M14+2)*10.2</f>
        <v>6663514285.7142859</v>
      </c>
      <c r="Q14" s="46">
        <f>AVERAGE(H14,L14,P14)*Calculation!I14/Calculation!K13</f>
        <v>6203988469.3770256</v>
      </c>
      <c r="R14" s="47">
        <f>STDEV(H14,L14,P14)*Calculation!I14/Calculation!K13</f>
        <v>817060879.88749397</v>
      </c>
      <c r="S14" s="48">
        <f t="shared" si="1"/>
        <v>9.7926709819702928</v>
      </c>
      <c r="T14" s="48">
        <f t="shared" si="2"/>
        <v>22.548458223680161</v>
      </c>
      <c r="U14" s="48">
        <f t="shared" si="3"/>
        <v>9.7185965803259791</v>
      </c>
      <c r="V14" s="48">
        <f t="shared" si="4"/>
        <v>9.7396130258685005</v>
      </c>
      <c r="W14" s="48">
        <f t="shared" si="5"/>
        <v>9.8237033331283428</v>
      </c>
      <c r="X14" s="48">
        <f xml:space="preserve"> STDEV(U14:W14)*Calculation!I14/Calculation!K13</f>
        <v>5.954292054541873E-2</v>
      </c>
    </row>
    <row r="15" spans="1:24">
      <c r="A15" s="62">
        <v>11</v>
      </c>
      <c r="B15" s="31">
        <v>80</v>
      </c>
      <c r="C15" s="31">
        <f t="shared" si="6"/>
        <v>920</v>
      </c>
      <c r="D15" s="13">
        <f t="shared" si="0"/>
        <v>15.333333333333334</v>
      </c>
      <c r="E15" s="31">
        <v>4</v>
      </c>
      <c r="F15" s="31">
        <v>4476</v>
      </c>
      <c r="G15" s="31">
        <v>7</v>
      </c>
      <c r="H15" s="43">
        <f>('Flow cytometer'!F15/'Flow cytometer'!G15)*POWER(10,'Flow cytometer'!E15+2)*10.2</f>
        <v>6522171428.5714283</v>
      </c>
      <c r="I15" s="31">
        <v>4</v>
      </c>
      <c r="J15" s="31">
        <v>4410</v>
      </c>
      <c r="K15" s="31">
        <v>7</v>
      </c>
      <c r="L15" s="43">
        <f>('Flow cytometer'!J15/'Flow cytometer'!K15)*POWER(10,'Flow cytometer'!I15+2)*10.2</f>
        <v>6426000000</v>
      </c>
      <c r="M15" s="62">
        <v>4</v>
      </c>
      <c r="N15" s="31">
        <v>4671</v>
      </c>
      <c r="O15" s="31">
        <v>7</v>
      </c>
      <c r="P15" s="43">
        <f>('Flow cytometer'!N15/'Flow cytometer'!O15)*POWER(10,'Flow cytometer'!M15+2)*10.2</f>
        <v>6806314285.7142859</v>
      </c>
      <c r="Q15" s="46">
        <f>AVERAGE(H15,L15,P15)*Calculation!I15/Calculation!K14</f>
        <v>7055444505.5141821</v>
      </c>
      <c r="R15" s="47">
        <f>STDEV(H15,L15,P15)*Calculation!I15/Calculation!K14</f>
        <v>211880740.94670513</v>
      </c>
      <c r="S15" s="48">
        <f t="shared" si="1"/>
        <v>9.8485243802747355</v>
      </c>
      <c r="T15" s="48">
        <f t="shared" si="2"/>
        <v>22.67706542600903</v>
      </c>
      <c r="U15" s="48">
        <f t="shared" si="3"/>
        <v>9.8143922096039731</v>
      </c>
      <c r="V15" s="48">
        <f t="shared" si="4"/>
        <v>9.8079407212155001</v>
      </c>
      <c r="W15" s="48">
        <f t="shared" si="5"/>
        <v>9.8329119990354439</v>
      </c>
      <c r="X15" s="48">
        <f xml:space="preserve"> STDEV(U15:W15)*Calculation!I15/Calculation!K14</f>
        <v>1.3888999290472992E-2</v>
      </c>
    </row>
    <row r="16" spans="1:24">
      <c r="A16" s="62">
        <v>12</v>
      </c>
      <c r="B16" s="31">
        <v>80</v>
      </c>
      <c r="C16" s="31">
        <f t="shared" si="6"/>
        <v>1000</v>
      </c>
      <c r="D16" s="13">
        <f t="shared" si="0"/>
        <v>16.666666666666668</v>
      </c>
      <c r="E16" s="31">
        <v>4</v>
      </c>
      <c r="F16" s="31">
        <v>3301</v>
      </c>
      <c r="G16" s="31">
        <v>7</v>
      </c>
      <c r="H16" s="43">
        <f>('Flow cytometer'!F16/'Flow cytometer'!G16)*POWER(10,'Flow cytometer'!E16+2)*10.2</f>
        <v>4810028571.4285707</v>
      </c>
      <c r="I16" s="31">
        <v>4</v>
      </c>
      <c r="J16" s="31">
        <v>3902</v>
      </c>
      <c r="K16" s="31">
        <v>7</v>
      </c>
      <c r="L16" s="43">
        <f>('Flow cytometer'!J16/'Flow cytometer'!K16)*POWER(10,'Flow cytometer'!I16+2)*10.2</f>
        <v>5685771428.5714283</v>
      </c>
      <c r="M16" s="62">
        <v>4</v>
      </c>
      <c r="N16" s="31">
        <v>3442</v>
      </c>
      <c r="O16" s="31">
        <v>7</v>
      </c>
      <c r="P16" s="43">
        <f>('Flow cytometer'!N16/'Flow cytometer'!O16)*POWER(10,'Flow cytometer'!M16+2)*10.2</f>
        <v>5015485714.2857141</v>
      </c>
      <c r="Q16" s="46">
        <f>AVERAGE(H16,L16,P16)*Calculation!I16/Calculation!K15</f>
        <v>5539957716.3973188</v>
      </c>
      <c r="R16" s="47">
        <f>STDEV(H16,L16,P16)*Calculation!I16/Calculation!K15</f>
        <v>490701383.69410712</v>
      </c>
      <c r="S16" s="48">
        <f t="shared" si="1"/>
        <v>9.7435064499982129</v>
      </c>
      <c r="T16" s="48">
        <f t="shared" si="2"/>
        <v>22.43525270525722</v>
      </c>
      <c r="U16" s="48">
        <f t="shared" si="3"/>
        <v>9.6821476560779729</v>
      </c>
      <c r="V16" s="48">
        <f t="shared" si="4"/>
        <v>9.7547893968061601</v>
      </c>
      <c r="W16" s="48">
        <f t="shared" si="5"/>
        <v>9.7003129977392017</v>
      </c>
      <c r="X16" s="48">
        <f xml:space="preserve"> STDEV(U16:W16)*Calculation!I16/Calculation!K15</f>
        <v>4.0504957669085913E-2</v>
      </c>
    </row>
    <row r="17" spans="1:24">
      <c r="A17" s="62">
        <v>13</v>
      </c>
      <c r="B17" s="31">
        <v>80</v>
      </c>
      <c r="C17" s="31">
        <f t="shared" si="6"/>
        <v>1080</v>
      </c>
      <c r="D17" s="13">
        <f t="shared" si="0"/>
        <v>18</v>
      </c>
      <c r="E17" s="31">
        <v>4</v>
      </c>
      <c r="F17" s="31">
        <v>3334</v>
      </c>
      <c r="G17" s="31">
        <v>7</v>
      </c>
      <c r="H17" s="43">
        <f>('Flow cytometer'!F17/'Flow cytometer'!G17)*POWER(10,'Flow cytometer'!E17+2)*10.2</f>
        <v>4858114285.7142849</v>
      </c>
      <c r="I17" s="31">
        <v>4</v>
      </c>
      <c r="J17" s="31">
        <v>3148</v>
      </c>
      <c r="K17" s="31">
        <v>7</v>
      </c>
      <c r="L17" s="43">
        <f>('Flow cytometer'!J17/'Flow cytometer'!K17)*POWER(10,'Flow cytometer'!I17+2)*10.2</f>
        <v>4587085714.2857141</v>
      </c>
      <c r="M17" s="62">
        <v>4</v>
      </c>
      <c r="N17" s="31">
        <v>3457</v>
      </c>
      <c r="O17" s="31">
        <v>7</v>
      </c>
      <c r="P17" s="43">
        <f>('Flow cytometer'!N17/'Flow cytometer'!O17)*POWER(10,'Flow cytometer'!M17+2)*10.2</f>
        <v>5037342857.1428566</v>
      </c>
      <c r="Q17" s="46">
        <f>AVERAGE(H17,L17,P17)*Calculation!I17/Calculation!K16</f>
        <v>5172535438.541378</v>
      </c>
      <c r="R17" s="47">
        <f>STDEV(H17,L17,P17)*Calculation!I17/Calculation!K16</f>
        <v>242883881.55185515</v>
      </c>
      <c r="S17" s="48">
        <f t="shared" si="1"/>
        <v>9.7137034748254951</v>
      </c>
      <c r="T17" s="48">
        <f t="shared" si="2"/>
        <v>22.366628818897645</v>
      </c>
      <c r="U17" s="48">
        <f t="shared" si="3"/>
        <v>9.6864677272396467</v>
      </c>
      <c r="V17" s="48">
        <f t="shared" si="4"/>
        <v>9.6615368554346883</v>
      </c>
      <c r="W17" s="48">
        <f t="shared" si="5"/>
        <v>9.7022015112900668</v>
      </c>
      <c r="X17" s="48">
        <f xml:space="preserve"> STDEV(U17:W17)*Calculation!I17/Calculation!K16</f>
        <v>2.1970418993599493E-2</v>
      </c>
    </row>
    <row r="18" spans="1:24">
      <c r="A18" s="62">
        <v>14</v>
      </c>
      <c r="B18" s="31">
        <v>360</v>
      </c>
      <c r="C18" s="31">
        <f t="shared" si="6"/>
        <v>1440</v>
      </c>
      <c r="D18" s="13">
        <f t="shared" si="0"/>
        <v>24</v>
      </c>
      <c r="E18" s="31">
        <v>3</v>
      </c>
      <c r="F18" s="31">
        <v>22371</v>
      </c>
      <c r="G18" s="31">
        <v>7</v>
      </c>
      <c r="H18" s="43">
        <f>('Flow cytometer'!F18/'Flow cytometer'!G18)*POWER(10,'Flow cytometer'!E18+2)*10.2</f>
        <v>3259774285.7142854</v>
      </c>
      <c r="I18" s="31">
        <v>3</v>
      </c>
      <c r="J18" s="31">
        <v>23446</v>
      </c>
      <c r="K18" s="31">
        <v>7</v>
      </c>
      <c r="L18" s="43">
        <f>('Flow cytometer'!J18/'Flow cytometer'!K18)*POWER(10,'Flow cytometer'!I18+2)*10.2</f>
        <v>3416417142.8571424</v>
      </c>
      <c r="M18" s="31">
        <v>3</v>
      </c>
      <c r="N18" s="31">
        <v>24141</v>
      </c>
      <c r="O18" s="31">
        <v>7</v>
      </c>
      <c r="P18" s="43">
        <f>('Flow cytometer'!N18/'Flow cytometer'!O18)*POWER(10,'Flow cytometer'!M18+2)*10.2</f>
        <v>3517688571.4285712</v>
      </c>
      <c r="Q18" s="46">
        <f>AVERAGE(H18,L18,P18)*Calculation!I18/Calculation!K17</f>
        <v>3640811290.9696922</v>
      </c>
      <c r="R18" s="47">
        <f>STDEV(H18,L18,P18)*Calculation!I18/Calculation!K17</f>
        <v>139231067.61124066</v>
      </c>
      <c r="S18" s="48">
        <f t="shared" si="1"/>
        <v>9.5611981693446975</v>
      </c>
      <c r="T18" s="48">
        <f t="shared" si="2"/>
        <v>22.015472375895058</v>
      </c>
      <c r="U18" s="48">
        <f t="shared" si="3"/>
        <v>9.5131875295579746</v>
      </c>
      <c r="V18" s="48">
        <f t="shared" si="4"/>
        <v>9.5335708923977123</v>
      </c>
      <c r="W18" s="48">
        <f t="shared" si="5"/>
        <v>9.5462573877942773</v>
      </c>
      <c r="X18" s="48">
        <f xml:space="preserve"> STDEV(U18:W18)*Calculation!I18/Calculation!K17</f>
        <v>1.7875914173179162E-2</v>
      </c>
    </row>
    <row r="19" spans="1:24">
      <c r="A19" s="62">
        <v>15</v>
      </c>
      <c r="B19" s="31">
        <v>360</v>
      </c>
      <c r="C19" s="31">
        <f>C18+B19</f>
        <v>1800</v>
      </c>
      <c r="D19" s="13">
        <f t="shared" si="0"/>
        <v>30</v>
      </c>
      <c r="E19" s="31">
        <v>3</v>
      </c>
      <c r="F19" s="31">
        <v>23756</v>
      </c>
      <c r="G19" s="31">
        <v>7</v>
      </c>
      <c r="H19" s="43">
        <f>('Flow cytometer'!F19/'Flow cytometer'!G19)*POWER(10,'Flow cytometer'!E19+2)*10.2</f>
        <v>3461588571.4285712</v>
      </c>
      <c r="I19" s="31">
        <v>3</v>
      </c>
      <c r="J19" s="31">
        <v>24260</v>
      </c>
      <c r="K19" s="31">
        <v>7</v>
      </c>
      <c r="L19" s="43">
        <f>('Flow cytometer'!J19/'Flow cytometer'!K19)*POWER(10,'Flow cytometer'!I19+2)*10.2</f>
        <v>3535028571.4285712</v>
      </c>
      <c r="M19" s="31">
        <v>3</v>
      </c>
      <c r="N19" s="31">
        <v>23475</v>
      </c>
      <c r="O19" s="31">
        <v>7</v>
      </c>
      <c r="P19" s="43">
        <f>('Flow cytometer'!N19/'Flow cytometer'!O19)*POWER(10,'Flow cytometer'!M19+2)*10.2</f>
        <v>3420642857.1428571</v>
      </c>
      <c r="Q19" s="46">
        <f>AVERAGE(H19,L19,P19)*Calculation!I19/Calculation!K18</f>
        <v>3720592927.223681</v>
      </c>
      <c r="R19" s="47">
        <f>STDEV(H19,L19,P19)*Calculation!I19/Calculation!K18</f>
        <v>62099161.492678605</v>
      </c>
      <c r="S19" s="48">
        <f t="shared" si="1"/>
        <v>9.5706121561458382</v>
      </c>
      <c r="T19" s="48">
        <f t="shared" si="2"/>
        <v>22.037148881569006</v>
      </c>
      <c r="U19" s="48">
        <f t="shared" si="3"/>
        <v>9.5392754483526438</v>
      </c>
      <c r="V19" s="48">
        <f t="shared" si="4"/>
        <v>9.548392928278215</v>
      </c>
      <c r="W19" s="48">
        <f t="shared" si="5"/>
        <v>9.5341077326858095</v>
      </c>
      <c r="X19" s="48">
        <f xml:space="preserve"> STDEV(U19:W19)*Calculation!I19/Calculation!K18</f>
        <v>7.7499751933061585E-3</v>
      </c>
    </row>
    <row r="20" spans="1:24">
      <c r="A20" s="62">
        <v>16</v>
      </c>
      <c r="B20" s="31">
        <v>1080</v>
      </c>
      <c r="C20" s="31">
        <f>C19+B20</f>
        <v>2880</v>
      </c>
      <c r="D20" s="13">
        <f t="shared" si="0"/>
        <v>48</v>
      </c>
      <c r="E20" s="31">
        <v>3</v>
      </c>
      <c r="F20" s="31">
        <v>19922</v>
      </c>
      <c r="G20" s="31">
        <v>7</v>
      </c>
      <c r="H20" s="43">
        <f>('Flow cytometer'!F20/'Flow cytometer'!G20)*POWER(10,'Flow cytometer'!E20+2)*10.2</f>
        <v>2902920000</v>
      </c>
      <c r="I20" s="31">
        <v>3</v>
      </c>
      <c r="J20" s="31">
        <v>17568</v>
      </c>
      <c r="K20" s="31">
        <v>7</v>
      </c>
      <c r="L20" s="43">
        <f>('Flow cytometer'!J20/'Flow cytometer'!K20)*POWER(10,'Flow cytometer'!I20+2)*10.2</f>
        <v>2559908571.4285712</v>
      </c>
      <c r="M20" s="31">
        <v>3</v>
      </c>
      <c r="N20" s="31">
        <v>20124</v>
      </c>
      <c r="O20" s="31">
        <v>7</v>
      </c>
      <c r="P20" s="43">
        <f>('Flow cytometer'!N20/'Flow cytometer'!O20)*POWER(10,'Flow cytometer'!M20+2)*10.2</f>
        <v>2932354285.7142854</v>
      </c>
      <c r="Q20" s="46">
        <f>AVERAGE(H20,L20,P20)*Calculation!I20/Calculation!K19</f>
        <v>3001557639.3803964</v>
      </c>
      <c r="R20" s="47">
        <f>STDEV(H20,L20,P20)*Calculation!I20/Calculation!K19</f>
        <v>222090809.22563758</v>
      </c>
      <c r="S20" s="48">
        <f t="shared" ref="S20" si="7">LOG(Q20)</f>
        <v>9.4773466875967713</v>
      </c>
      <c r="T20" s="48">
        <f t="shared" ref="T20" si="8">LN(Q20)</f>
        <v>21.822397203996822</v>
      </c>
      <c r="U20" s="48">
        <f t="shared" si="3"/>
        <v>9.4628350675101824</v>
      </c>
      <c r="V20" s="48">
        <f t="shared" si="4"/>
        <v>9.4082244545176579</v>
      </c>
      <c r="W20" s="48">
        <f t="shared" si="5"/>
        <v>9.467216440401371</v>
      </c>
      <c r="X20" s="48">
        <f xml:space="preserve"> STDEV(U20:W20)*Calculation!I20/Calculation!K19</f>
        <v>3.5253501643519633E-2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1:R48"/>
  <sheetViews>
    <sheetView topLeftCell="A23" workbookViewId="0">
      <selection activeCell="D45" sqref="D45"/>
    </sheetView>
  </sheetViews>
  <sheetFormatPr baseColWidth="10" defaultColWidth="8.83203125" defaultRowHeight="14" x14ac:dyDescent="0"/>
  <cols>
    <col min="1" max="2" width="8.83203125" style="82"/>
    <col min="3" max="3" width="9.83203125" style="82" customWidth="1"/>
    <col min="4" max="17" width="8.83203125" style="82"/>
    <col min="18" max="18" width="13.83203125" style="82" bestFit="1" customWidth="1"/>
    <col min="19" max="16384" width="8.83203125" style="82"/>
  </cols>
  <sheetData>
    <row r="1" spans="2:18">
      <c r="B1" s="145" t="s">
        <v>4</v>
      </c>
      <c r="C1" s="147" t="s">
        <v>185</v>
      </c>
      <c r="D1" s="148" t="s">
        <v>18</v>
      </c>
      <c r="E1" s="148"/>
      <c r="F1" s="148"/>
      <c r="G1" s="148"/>
      <c r="H1" s="148" t="s">
        <v>20</v>
      </c>
      <c r="I1" s="148"/>
      <c r="J1" s="148"/>
      <c r="K1" s="148"/>
      <c r="L1" s="148" t="s">
        <v>21</v>
      </c>
      <c r="M1" s="148"/>
      <c r="N1" s="148"/>
      <c r="O1" s="148"/>
      <c r="P1" s="81" t="s">
        <v>22</v>
      </c>
      <c r="Q1" s="81" t="s">
        <v>22</v>
      </c>
      <c r="R1" s="81" t="s">
        <v>22</v>
      </c>
    </row>
    <row r="2" spans="2:18">
      <c r="B2" s="146"/>
      <c r="C2" s="146"/>
      <c r="D2" s="83" t="s">
        <v>19</v>
      </c>
      <c r="E2" s="83" t="s">
        <v>68</v>
      </c>
      <c r="F2" s="83" t="s">
        <v>69</v>
      </c>
      <c r="G2" s="83" t="s">
        <v>70</v>
      </c>
      <c r="H2" s="83" t="s">
        <v>19</v>
      </c>
      <c r="I2" s="83" t="s">
        <v>68</v>
      </c>
      <c r="J2" s="83" t="s">
        <v>69</v>
      </c>
      <c r="K2" s="83" t="s">
        <v>70</v>
      </c>
      <c r="L2" s="83" t="s">
        <v>19</v>
      </c>
      <c r="M2" s="83" t="s">
        <v>68</v>
      </c>
      <c r="N2" s="83" t="s">
        <v>69</v>
      </c>
      <c r="O2" s="83" t="s">
        <v>71</v>
      </c>
      <c r="P2" s="84" t="s">
        <v>70</v>
      </c>
      <c r="Q2" s="84" t="s">
        <v>23</v>
      </c>
      <c r="R2" s="84" t="s">
        <v>72</v>
      </c>
    </row>
    <row r="3" spans="2:18">
      <c r="B3" s="85"/>
      <c r="C3" s="85"/>
      <c r="D3" s="86"/>
      <c r="E3" s="86"/>
      <c r="F3" s="86"/>
      <c r="G3" s="87"/>
      <c r="H3" s="86"/>
      <c r="I3" s="86"/>
      <c r="J3" s="86"/>
      <c r="K3" s="87"/>
      <c r="L3" s="86"/>
      <c r="M3" s="86"/>
      <c r="N3" s="86"/>
      <c r="O3" s="87"/>
      <c r="P3" s="142"/>
      <c r="Q3" s="143"/>
      <c r="R3" s="144"/>
    </row>
    <row r="4" spans="2:18">
      <c r="B4" s="88" t="s">
        <v>186</v>
      </c>
      <c r="C4" s="89">
        <v>500</v>
      </c>
      <c r="D4" s="89">
        <v>3</v>
      </c>
      <c r="E4" s="89">
        <v>14133</v>
      </c>
      <c r="F4" s="89">
        <v>7</v>
      </c>
      <c r="G4" s="87">
        <f>(E4/F4)*(10.2)*POWER(10,D4+2)</f>
        <v>2059380000</v>
      </c>
      <c r="H4" s="89">
        <v>3</v>
      </c>
      <c r="I4" s="89">
        <v>15082</v>
      </c>
      <c r="J4" s="89">
        <v>7</v>
      </c>
      <c r="K4" s="87">
        <f t="shared" ref="K4:K18" si="0">(I4/J4)*(10.2)*POWER(10,H4+2)</f>
        <v>2197662857.1428571</v>
      </c>
      <c r="L4" s="89">
        <v>3</v>
      </c>
      <c r="M4" s="89">
        <v>15922</v>
      </c>
      <c r="N4" s="89">
        <v>7</v>
      </c>
      <c r="O4" s="87">
        <f t="shared" ref="O4:O19" si="1">(M4/N4)*(10.2)*POWER(10,L4+2)</f>
        <v>2320062857.1428571</v>
      </c>
      <c r="P4" s="90">
        <f t="shared" ref="P4:P19" si="2">AVERAGE(O4,K4,G4)</f>
        <v>2192368571.4285712</v>
      </c>
      <c r="Q4" s="90">
        <f t="shared" ref="Q4:Q19" si="3">STDEV(O4,K4,G4)</f>
        <v>130422046.05801573</v>
      </c>
      <c r="R4" s="91">
        <f>LOG(P4)</f>
        <v>9.3409135676416426</v>
      </c>
    </row>
    <row r="5" spans="2:18">
      <c r="B5" s="88" t="s">
        <v>187</v>
      </c>
      <c r="C5" s="89">
        <v>500</v>
      </c>
      <c r="D5" s="89">
        <v>2</v>
      </c>
      <c r="E5" s="89">
        <v>16544</v>
      </c>
      <c r="F5" s="89">
        <v>7</v>
      </c>
      <c r="G5" s="87">
        <f t="shared" ref="G5:G19" si="4">(E5/F5)*(10.2)*POWER(10,D5+2)</f>
        <v>241069714.2857143</v>
      </c>
      <c r="H5" s="89">
        <v>2</v>
      </c>
      <c r="I5" s="89">
        <v>15924</v>
      </c>
      <c r="J5" s="89">
        <v>7</v>
      </c>
      <c r="K5" s="87">
        <f t="shared" si="0"/>
        <v>232035428.57142854</v>
      </c>
      <c r="L5" s="89">
        <v>2</v>
      </c>
      <c r="M5" s="89">
        <v>15173</v>
      </c>
      <c r="N5" s="89">
        <v>7</v>
      </c>
      <c r="O5" s="87">
        <f t="shared" si="1"/>
        <v>221092285.71428567</v>
      </c>
      <c r="P5" s="90">
        <f t="shared" si="2"/>
        <v>231399142.85714284</v>
      </c>
      <c r="Q5" s="90">
        <f t="shared" si="3"/>
        <v>10003902.124385577</v>
      </c>
      <c r="R5" s="91">
        <f t="shared" ref="R5:R19" si="5">LOG(P5)</f>
        <v>8.3643617459160655</v>
      </c>
    </row>
    <row r="6" spans="2:18">
      <c r="B6" s="88" t="s">
        <v>188</v>
      </c>
      <c r="C6" s="89">
        <v>500</v>
      </c>
      <c r="D6" s="89">
        <v>1</v>
      </c>
      <c r="E6" s="89">
        <v>18107</v>
      </c>
      <c r="F6" s="89">
        <v>7</v>
      </c>
      <c r="G6" s="87">
        <f t="shared" si="4"/>
        <v>26384485.714285713</v>
      </c>
      <c r="H6" s="89">
        <v>1</v>
      </c>
      <c r="I6" s="89">
        <v>18423</v>
      </c>
      <c r="J6" s="89">
        <v>7</v>
      </c>
      <c r="K6" s="87">
        <f t="shared" si="0"/>
        <v>26844942.857142854</v>
      </c>
      <c r="L6" s="89">
        <v>1</v>
      </c>
      <c r="M6" s="89">
        <v>17005</v>
      </c>
      <c r="N6" s="89">
        <v>7</v>
      </c>
      <c r="O6" s="87">
        <f t="shared" si="1"/>
        <v>24778714.285714284</v>
      </c>
      <c r="P6" s="90">
        <f t="shared" si="2"/>
        <v>26002714.285714284</v>
      </c>
      <c r="Q6" s="90">
        <f t="shared" si="3"/>
        <v>1084729.0883451225</v>
      </c>
      <c r="R6" s="91">
        <f t="shared" si="5"/>
        <v>7.4150186840393397</v>
      </c>
    </row>
    <row r="7" spans="2:18">
      <c r="B7" s="88" t="s">
        <v>189</v>
      </c>
      <c r="C7" s="89">
        <v>500</v>
      </c>
      <c r="D7" s="89">
        <v>1</v>
      </c>
      <c r="E7" s="89">
        <v>1825</v>
      </c>
      <c r="F7" s="89">
        <v>7</v>
      </c>
      <c r="G7" s="87">
        <f t="shared" si="4"/>
        <v>2659285.7142857141</v>
      </c>
      <c r="H7" s="89">
        <v>1</v>
      </c>
      <c r="I7" s="89">
        <v>1808</v>
      </c>
      <c r="J7" s="89">
        <v>7</v>
      </c>
      <c r="K7" s="87">
        <f t="shared" si="0"/>
        <v>2634514.2857142854</v>
      </c>
      <c r="L7" s="89">
        <v>1</v>
      </c>
      <c r="M7" s="89">
        <v>1822</v>
      </c>
      <c r="N7" s="89">
        <v>7</v>
      </c>
      <c r="O7" s="87">
        <f t="shared" si="1"/>
        <v>2654914.2857142854</v>
      </c>
      <c r="P7" s="90">
        <f t="shared" si="2"/>
        <v>2649571.4285714286</v>
      </c>
      <c r="Q7" s="90">
        <f t="shared" si="3"/>
        <v>13221.78165770719</v>
      </c>
      <c r="R7" s="91">
        <f t="shared" si="5"/>
        <v>6.4231756319523594</v>
      </c>
    </row>
    <row r="8" spans="2:18">
      <c r="B8" s="88" t="s">
        <v>190</v>
      </c>
      <c r="C8" s="89">
        <v>500</v>
      </c>
      <c r="D8" s="89">
        <v>0</v>
      </c>
      <c r="E8" s="89">
        <v>2306</v>
      </c>
      <c r="F8" s="89">
        <v>7</v>
      </c>
      <c r="G8" s="87">
        <f t="shared" si="4"/>
        <v>336017.14285714284</v>
      </c>
      <c r="H8" s="89">
        <v>0</v>
      </c>
      <c r="I8" s="89">
        <v>2052</v>
      </c>
      <c r="J8" s="89">
        <v>7</v>
      </c>
      <c r="K8" s="87">
        <f t="shared" si="0"/>
        <v>299005.71428571432</v>
      </c>
      <c r="L8" s="89">
        <v>0</v>
      </c>
      <c r="M8" s="89">
        <v>2049</v>
      </c>
      <c r="N8" s="89">
        <v>7</v>
      </c>
      <c r="O8" s="87">
        <f t="shared" si="1"/>
        <v>298568.57142857142</v>
      </c>
      <c r="P8" s="90">
        <f t="shared" si="2"/>
        <v>311197.14285714284</v>
      </c>
      <c r="Q8" s="90">
        <f t="shared" si="3"/>
        <v>21495.861775453133</v>
      </c>
      <c r="R8" s="91">
        <f t="shared" si="5"/>
        <v>5.4930356010198587</v>
      </c>
    </row>
    <row r="9" spans="2:18">
      <c r="B9" s="88" t="s">
        <v>191</v>
      </c>
      <c r="C9" s="89">
        <v>1000</v>
      </c>
      <c r="D9" s="89">
        <v>3</v>
      </c>
      <c r="E9" s="89">
        <v>13995</v>
      </c>
      <c r="F9" s="89">
        <v>7</v>
      </c>
      <c r="G9" s="87">
        <f t="shared" si="4"/>
        <v>2039271428.5714283</v>
      </c>
      <c r="H9" s="89">
        <v>3</v>
      </c>
      <c r="I9" s="89">
        <v>13769</v>
      </c>
      <c r="J9" s="89">
        <v>7</v>
      </c>
      <c r="K9" s="87">
        <f t="shared" si="0"/>
        <v>2006339999.9999998</v>
      </c>
      <c r="L9" s="89">
        <v>3</v>
      </c>
      <c r="M9" s="89">
        <v>15093</v>
      </c>
      <c r="N9" s="89">
        <v>7</v>
      </c>
      <c r="O9" s="87">
        <f t="shared" si="1"/>
        <v>2199265714.2857146</v>
      </c>
      <c r="P9" s="90">
        <f t="shared" si="2"/>
        <v>2081625714.2857141</v>
      </c>
      <c r="Q9" s="90">
        <f t="shared" si="3"/>
        <v>103201244.89045103</v>
      </c>
      <c r="R9" s="91">
        <f t="shared" si="5"/>
        <v>9.3184026440827186</v>
      </c>
    </row>
    <row r="10" spans="2:18">
      <c r="B10" s="88" t="s">
        <v>192</v>
      </c>
      <c r="C10" s="89">
        <v>900</v>
      </c>
      <c r="D10" s="89">
        <v>3</v>
      </c>
      <c r="E10" s="89">
        <v>6387</v>
      </c>
      <c r="F10" s="89">
        <v>7</v>
      </c>
      <c r="G10" s="87">
        <f t="shared" si="4"/>
        <v>930677142.85714281</v>
      </c>
      <c r="H10" s="89">
        <v>3</v>
      </c>
      <c r="I10" s="89">
        <v>7378</v>
      </c>
      <c r="J10" s="89">
        <v>7</v>
      </c>
      <c r="K10" s="87">
        <f t="shared" si="0"/>
        <v>1075080000</v>
      </c>
      <c r="L10" s="89">
        <v>3</v>
      </c>
      <c r="M10" s="89">
        <v>6564</v>
      </c>
      <c r="N10" s="89">
        <v>7</v>
      </c>
      <c r="O10" s="87">
        <f t="shared" si="1"/>
        <v>956468571.42857134</v>
      </c>
      <c r="P10" s="90">
        <f t="shared" si="2"/>
        <v>987408571.42857134</v>
      </c>
      <c r="Q10" s="90">
        <f t="shared" si="3"/>
        <v>77013044.270143658</v>
      </c>
      <c r="R10" s="91">
        <f t="shared" si="5"/>
        <v>8.9944968928936131</v>
      </c>
    </row>
    <row r="11" spans="2:18">
      <c r="B11" s="88" t="s">
        <v>193</v>
      </c>
      <c r="C11" s="89">
        <v>900</v>
      </c>
      <c r="D11" s="89">
        <v>3</v>
      </c>
      <c r="E11" s="89">
        <v>3341</v>
      </c>
      <c r="F11" s="89">
        <v>7</v>
      </c>
      <c r="G11" s="87">
        <f t="shared" si="4"/>
        <v>486831428.5714286</v>
      </c>
      <c r="H11" s="89">
        <v>3</v>
      </c>
      <c r="I11" s="89">
        <v>3712</v>
      </c>
      <c r="J11" s="89">
        <v>7</v>
      </c>
      <c r="K11" s="87">
        <f t="shared" si="0"/>
        <v>540891428.57142866</v>
      </c>
      <c r="L11" s="89">
        <v>3</v>
      </c>
      <c r="M11" s="89">
        <v>3690</v>
      </c>
      <c r="N11" s="89">
        <v>7</v>
      </c>
      <c r="O11" s="87">
        <f t="shared" si="1"/>
        <v>537685714.28571427</v>
      </c>
      <c r="P11" s="90">
        <f t="shared" si="2"/>
        <v>521802857.14285713</v>
      </c>
      <c r="Q11" s="90">
        <f t="shared" si="3"/>
        <v>30328530.516088422</v>
      </c>
      <c r="R11" s="91">
        <f t="shared" si="5"/>
        <v>8.7175064527595634</v>
      </c>
    </row>
    <row r="12" spans="2:18">
      <c r="B12" s="88" t="s">
        <v>194</v>
      </c>
      <c r="C12" s="89">
        <v>900</v>
      </c>
      <c r="D12" s="89">
        <v>2</v>
      </c>
      <c r="E12" s="89">
        <v>19134</v>
      </c>
      <c r="F12" s="89">
        <v>7</v>
      </c>
      <c r="G12" s="87">
        <f>(E12/F12)*(10.2)*POWER(10,D12+2)</f>
        <v>278809714.28571427</v>
      </c>
      <c r="H12" s="89">
        <v>2</v>
      </c>
      <c r="I12" s="89">
        <v>18838</v>
      </c>
      <c r="J12" s="89">
        <v>7</v>
      </c>
      <c r="K12" s="87">
        <f t="shared" si="0"/>
        <v>274496571.42857146</v>
      </c>
      <c r="L12" s="89">
        <v>2</v>
      </c>
      <c r="M12" s="89">
        <v>18096</v>
      </c>
      <c r="N12" s="89">
        <v>7</v>
      </c>
      <c r="O12" s="87">
        <f t="shared" si="1"/>
        <v>263684571.42857143</v>
      </c>
      <c r="P12" s="90">
        <f t="shared" si="2"/>
        <v>272330285.71428573</v>
      </c>
      <c r="Q12" s="90">
        <f t="shared" si="3"/>
        <v>7791795.8109272597</v>
      </c>
      <c r="R12" s="91">
        <f t="shared" si="5"/>
        <v>8.4350959416969342</v>
      </c>
    </row>
    <row r="13" spans="2:18">
      <c r="B13" s="88" t="s">
        <v>195</v>
      </c>
      <c r="C13" s="89">
        <v>900</v>
      </c>
      <c r="D13" s="89">
        <v>2</v>
      </c>
      <c r="E13" s="89">
        <v>9224</v>
      </c>
      <c r="F13" s="89">
        <v>7</v>
      </c>
      <c r="G13" s="87">
        <f t="shared" si="4"/>
        <v>134406857.14285713</v>
      </c>
      <c r="H13" s="89">
        <v>2</v>
      </c>
      <c r="I13" s="89">
        <v>9341</v>
      </c>
      <c r="J13" s="89">
        <v>7</v>
      </c>
      <c r="K13" s="87">
        <f t="shared" si="0"/>
        <v>136111714.28571427</v>
      </c>
      <c r="L13" s="89">
        <v>2</v>
      </c>
      <c r="M13" s="89">
        <v>9173</v>
      </c>
      <c r="N13" s="89">
        <v>7</v>
      </c>
      <c r="O13" s="87">
        <f t="shared" si="1"/>
        <v>133663714.28571427</v>
      </c>
      <c r="P13" s="90">
        <f t="shared" si="2"/>
        <v>134727428.57142857</v>
      </c>
      <c r="Q13" s="90">
        <f t="shared" si="3"/>
        <v>1255089.8496172463</v>
      </c>
      <c r="R13" s="91">
        <f t="shared" si="5"/>
        <v>8.1294560208497231</v>
      </c>
    </row>
    <row r="14" spans="2:18">
      <c r="B14" s="88" t="s">
        <v>196</v>
      </c>
      <c r="C14" s="89">
        <v>900</v>
      </c>
      <c r="D14" s="89">
        <v>2</v>
      </c>
      <c r="E14" s="89">
        <v>4238</v>
      </c>
      <c r="F14" s="89">
        <v>7</v>
      </c>
      <c r="G14" s="87">
        <f t="shared" si="4"/>
        <v>61753714.285714284</v>
      </c>
      <c r="H14" s="89">
        <v>2</v>
      </c>
      <c r="I14" s="89">
        <v>4832</v>
      </c>
      <c r="J14" s="89">
        <v>7</v>
      </c>
      <c r="K14" s="87">
        <f t="shared" si="0"/>
        <v>70409142.857142866</v>
      </c>
      <c r="L14" s="89">
        <v>2</v>
      </c>
      <c r="M14" s="89">
        <v>4770</v>
      </c>
      <c r="N14" s="89">
        <v>7</v>
      </c>
      <c r="O14" s="87">
        <f t="shared" si="1"/>
        <v>69505714.285714284</v>
      </c>
      <c r="P14" s="90">
        <f t="shared" si="2"/>
        <v>67222857.142857134</v>
      </c>
      <c r="Q14" s="90">
        <f t="shared" si="3"/>
        <v>4757907.9950957391</v>
      </c>
      <c r="R14" s="91">
        <f t="shared" si="5"/>
        <v>7.8275169671487372</v>
      </c>
    </row>
    <row r="15" spans="2:18">
      <c r="B15" s="88" t="s">
        <v>197</v>
      </c>
      <c r="C15" s="89">
        <v>900</v>
      </c>
      <c r="D15" s="89">
        <v>1</v>
      </c>
      <c r="E15" s="89">
        <v>22411</v>
      </c>
      <c r="F15" s="89">
        <v>7</v>
      </c>
      <c r="G15" s="87">
        <f t="shared" si="4"/>
        <v>32656028.571428567</v>
      </c>
      <c r="H15" s="89">
        <v>1</v>
      </c>
      <c r="I15" s="89">
        <v>23826</v>
      </c>
      <c r="J15" s="89">
        <v>7</v>
      </c>
      <c r="K15" s="87">
        <f t="shared" si="0"/>
        <v>34717885.714285716</v>
      </c>
      <c r="L15" s="89">
        <v>1</v>
      </c>
      <c r="M15" s="89">
        <v>24471</v>
      </c>
      <c r="N15" s="89">
        <v>7</v>
      </c>
      <c r="O15" s="87">
        <f t="shared" si="1"/>
        <v>35657742.857142851</v>
      </c>
      <c r="P15" s="90">
        <f t="shared" si="2"/>
        <v>34343885.714285709</v>
      </c>
      <c r="Q15" s="90">
        <f t="shared" si="3"/>
        <v>1535408.4678890193</v>
      </c>
      <c r="R15" s="91">
        <f t="shared" si="5"/>
        <v>7.5358494302775298</v>
      </c>
    </row>
    <row r="16" spans="2:18">
      <c r="B16" s="88" t="s">
        <v>198</v>
      </c>
      <c r="C16" s="89">
        <v>900</v>
      </c>
      <c r="D16" s="89">
        <v>1</v>
      </c>
      <c r="E16" s="89">
        <v>12012</v>
      </c>
      <c r="F16" s="89">
        <v>7</v>
      </c>
      <c r="G16" s="87">
        <f t="shared" si="4"/>
        <v>17503199.999999996</v>
      </c>
      <c r="H16" s="89">
        <v>1</v>
      </c>
      <c r="I16" s="89">
        <v>12668</v>
      </c>
      <c r="J16" s="89">
        <v>7</v>
      </c>
      <c r="K16" s="87">
        <f t="shared" si="0"/>
        <v>18459085.714285713</v>
      </c>
      <c r="L16" s="89">
        <v>1</v>
      </c>
      <c r="M16" s="89">
        <v>11470</v>
      </c>
      <c r="N16" s="89">
        <v>7</v>
      </c>
      <c r="O16" s="87">
        <f t="shared" si="1"/>
        <v>16713428.571428573</v>
      </c>
      <c r="P16" s="90">
        <f t="shared" si="2"/>
        <v>17558571.428571429</v>
      </c>
      <c r="Q16" s="90">
        <f t="shared" si="3"/>
        <v>874144.84579420183</v>
      </c>
      <c r="R16" s="91">
        <f t="shared" si="5"/>
        <v>7.2444891786585481</v>
      </c>
    </row>
    <row r="17" spans="2:18">
      <c r="B17" s="88" t="s">
        <v>199</v>
      </c>
      <c r="C17" s="89">
        <v>900</v>
      </c>
      <c r="D17" s="89">
        <v>1</v>
      </c>
      <c r="E17" s="89">
        <v>5750</v>
      </c>
      <c r="F17" s="89">
        <v>7</v>
      </c>
      <c r="G17" s="87">
        <f t="shared" si="4"/>
        <v>8378571.4285714272</v>
      </c>
      <c r="H17" s="89">
        <v>1</v>
      </c>
      <c r="I17" s="89">
        <v>5481</v>
      </c>
      <c r="J17" s="89">
        <v>7</v>
      </c>
      <c r="K17" s="87">
        <f t="shared" si="0"/>
        <v>7986599.9999999991</v>
      </c>
      <c r="L17" s="89">
        <v>1</v>
      </c>
      <c r="M17" s="89">
        <v>5831</v>
      </c>
      <c r="N17" s="89">
        <v>7</v>
      </c>
      <c r="O17" s="87">
        <f t="shared" si="1"/>
        <v>8496599.9999999981</v>
      </c>
      <c r="P17" s="90">
        <f t="shared" si="2"/>
        <v>8287257.1428571418</v>
      </c>
      <c r="Q17" s="90">
        <f t="shared" si="3"/>
        <v>266980.75601367303</v>
      </c>
      <c r="R17" s="91">
        <f t="shared" si="5"/>
        <v>6.9184108146481318</v>
      </c>
    </row>
    <row r="18" spans="2:18">
      <c r="B18" s="88" t="s">
        <v>200</v>
      </c>
      <c r="C18" s="89">
        <v>900</v>
      </c>
      <c r="D18" s="89">
        <v>1</v>
      </c>
      <c r="E18" s="89">
        <v>2868</v>
      </c>
      <c r="F18" s="89">
        <v>7</v>
      </c>
      <c r="G18" s="87">
        <f t="shared" si="4"/>
        <v>4179085.7142857141</v>
      </c>
      <c r="H18" s="89">
        <v>1</v>
      </c>
      <c r="I18" s="89">
        <v>2835</v>
      </c>
      <c r="J18" s="89">
        <v>7</v>
      </c>
      <c r="K18" s="87">
        <f t="shared" si="0"/>
        <v>4131000</v>
      </c>
      <c r="L18" s="89">
        <v>1</v>
      </c>
      <c r="M18" s="89">
        <v>2976</v>
      </c>
      <c r="N18" s="89">
        <v>7</v>
      </c>
      <c r="O18" s="87">
        <f t="shared" si="1"/>
        <v>4336457.1428571427</v>
      </c>
      <c r="P18" s="90">
        <f t="shared" si="2"/>
        <v>4215514.2857142854</v>
      </c>
      <c r="Q18" s="90">
        <f t="shared" si="3"/>
        <v>107463.6682790979</v>
      </c>
      <c r="R18" s="91">
        <f t="shared" si="5"/>
        <v>6.6248505653956435</v>
      </c>
    </row>
    <row r="19" spans="2:18">
      <c r="B19" s="88" t="s">
        <v>201</v>
      </c>
      <c r="C19" s="89">
        <v>900</v>
      </c>
      <c r="D19" s="89">
        <v>0</v>
      </c>
      <c r="E19" s="89">
        <v>10096</v>
      </c>
      <c r="F19" s="89">
        <v>7</v>
      </c>
      <c r="G19" s="87">
        <f t="shared" si="4"/>
        <v>1471131.4285714284</v>
      </c>
      <c r="H19" s="89">
        <v>0</v>
      </c>
      <c r="I19" s="89">
        <v>8923</v>
      </c>
      <c r="J19" s="89">
        <v>7</v>
      </c>
      <c r="K19" s="87">
        <f>(I19/J19)*(10.2)*POWER(10,H19+2)</f>
        <v>1300208.5714285716</v>
      </c>
      <c r="L19" s="89">
        <v>0</v>
      </c>
      <c r="M19" s="89">
        <v>8050</v>
      </c>
      <c r="N19" s="89">
        <v>7</v>
      </c>
      <c r="O19" s="87">
        <f t="shared" si="1"/>
        <v>1173000</v>
      </c>
      <c r="P19" s="90">
        <f t="shared" si="2"/>
        <v>1314780</v>
      </c>
      <c r="Q19" s="90">
        <f t="shared" si="3"/>
        <v>149598.9039848533</v>
      </c>
      <c r="R19" s="91">
        <f t="shared" si="5"/>
        <v>6.118853089115321</v>
      </c>
    </row>
    <row r="20" spans="2:18" ht="15" thickBot="1"/>
    <row r="21" spans="2:18" ht="55" customHeight="1" thickBot="1">
      <c r="B21" s="92" t="s">
        <v>4</v>
      </c>
      <c r="C21" s="92" t="s">
        <v>202</v>
      </c>
      <c r="D21" s="92" t="s">
        <v>203</v>
      </c>
      <c r="E21" s="92" t="s">
        <v>204</v>
      </c>
      <c r="F21" s="92" t="s">
        <v>205</v>
      </c>
      <c r="G21" s="93" t="s">
        <v>206</v>
      </c>
      <c r="H21" s="94" t="s">
        <v>207</v>
      </c>
      <c r="I21" s="94" t="s">
        <v>208</v>
      </c>
      <c r="J21" s="94" t="s">
        <v>209</v>
      </c>
      <c r="K21" s="94" t="s">
        <v>210</v>
      </c>
      <c r="L21" s="94" t="s">
        <v>211</v>
      </c>
      <c r="M21" s="95" t="s">
        <v>212</v>
      </c>
    </row>
    <row r="23" spans="2:18">
      <c r="B23" s="88" t="s">
        <v>186</v>
      </c>
      <c r="C23" s="96">
        <v>16.382114410400391</v>
      </c>
      <c r="D23" s="96">
        <v>16.2430419921875</v>
      </c>
      <c r="E23" s="96">
        <v>16.416009902954102</v>
      </c>
      <c r="F23" s="96">
        <f>AVERAGE(C23:E23)</f>
        <v>16.347055435180664</v>
      </c>
      <c r="G23" s="82">
        <f>15*180/4*1000/900</f>
        <v>750</v>
      </c>
      <c r="H23" s="82">
        <f>LOG(G23)/LOG(2)</f>
        <v>9.5507467853832431</v>
      </c>
      <c r="I23" s="89">
        <f>C23-H23</f>
        <v>6.8313676250171476</v>
      </c>
      <c r="J23" s="89">
        <f>D23-H23</f>
        <v>6.6922952068042569</v>
      </c>
      <c r="K23" s="89">
        <f>E23-H23</f>
        <v>6.8652631175708585</v>
      </c>
      <c r="L23" s="97">
        <f>AVERAGE(I23:K23)</f>
        <v>6.796308649797421</v>
      </c>
    </row>
    <row r="24" spans="2:18">
      <c r="B24" s="88" t="s">
        <v>187</v>
      </c>
      <c r="C24" s="96">
        <v>20.246736526489258</v>
      </c>
      <c r="D24" s="96">
        <v>20.337041854858398</v>
      </c>
      <c r="E24" s="96">
        <v>20.223323822021484</v>
      </c>
      <c r="F24" s="96">
        <f t="shared" ref="F24:F38" si="6">AVERAGE(C24:E24)</f>
        <v>20.269034067789715</v>
      </c>
      <c r="G24" s="82">
        <f t="shared" ref="G24:G26" si="7">15*180/4*1000/900</f>
        <v>750</v>
      </c>
      <c r="H24" s="82">
        <f t="shared" ref="H24:H38" si="8">LOG(G24)/LOG(2)</f>
        <v>9.5507467853832431</v>
      </c>
      <c r="I24" s="89">
        <f t="shared" ref="I24:I38" si="9">C24-H24</f>
        <v>10.695989741106015</v>
      </c>
      <c r="J24" s="89">
        <f t="shared" ref="J24:J38" si="10">D24-H24</f>
        <v>10.786295069475155</v>
      </c>
      <c r="K24" s="89">
        <f t="shared" ref="K24:K38" si="11">E24-H24</f>
        <v>10.672577036638241</v>
      </c>
      <c r="L24" s="97">
        <f t="shared" ref="L24:L38" si="12">AVERAGE(I24:K24)</f>
        <v>10.71828728240647</v>
      </c>
    </row>
    <row r="25" spans="2:18">
      <c r="B25" s="88" t="s">
        <v>188</v>
      </c>
      <c r="C25" s="96">
        <v>23.471084594726562</v>
      </c>
      <c r="D25" s="96">
        <v>23.434993743896484</v>
      </c>
      <c r="E25" s="96">
        <v>23.65556526184082</v>
      </c>
      <c r="F25" s="96">
        <f t="shared" si="6"/>
        <v>23.520547866821289</v>
      </c>
      <c r="G25" s="82">
        <f t="shared" si="7"/>
        <v>750</v>
      </c>
      <c r="H25" s="82">
        <f t="shared" si="8"/>
        <v>9.5507467853832431</v>
      </c>
      <c r="I25" s="89">
        <f t="shared" si="9"/>
        <v>13.920337809343319</v>
      </c>
      <c r="J25" s="89">
        <f t="shared" si="10"/>
        <v>13.884246958513241</v>
      </c>
      <c r="K25" s="89">
        <f t="shared" si="11"/>
        <v>14.104818476457577</v>
      </c>
      <c r="L25" s="97">
        <f t="shared" si="12"/>
        <v>13.969801081438044</v>
      </c>
    </row>
    <row r="26" spans="2:18">
      <c r="B26" s="88" t="s">
        <v>189</v>
      </c>
      <c r="C26" s="96">
        <v>27.687118530273438</v>
      </c>
      <c r="D26" s="96">
        <v>27.683933258056641</v>
      </c>
      <c r="E26" s="96">
        <v>27.721792221069336</v>
      </c>
      <c r="F26" s="96">
        <f t="shared" si="6"/>
        <v>27.697614669799805</v>
      </c>
      <c r="G26" s="82">
        <f t="shared" si="7"/>
        <v>750</v>
      </c>
      <c r="H26" s="82">
        <f t="shared" si="8"/>
        <v>9.5507467853832431</v>
      </c>
      <c r="I26" s="89">
        <f t="shared" si="9"/>
        <v>18.136371744890194</v>
      </c>
      <c r="J26" s="89">
        <f t="shared" si="10"/>
        <v>18.133186472673398</v>
      </c>
      <c r="K26" s="89">
        <f t="shared" si="11"/>
        <v>18.171045435686093</v>
      </c>
      <c r="L26" s="97">
        <f t="shared" si="12"/>
        <v>18.146867884416562</v>
      </c>
    </row>
    <row r="27" spans="2:18">
      <c r="B27" s="88" t="s">
        <v>190</v>
      </c>
      <c r="C27" s="96">
        <v>31.580327987670898</v>
      </c>
      <c r="D27" s="96">
        <v>31.876550674438477</v>
      </c>
      <c r="E27" s="96">
        <v>31.972114562988281</v>
      </c>
      <c r="F27" s="96">
        <f t="shared" si="6"/>
        <v>31.809664408365887</v>
      </c>
      <c r="G27" s="82">
        <f>15*180/4*1000/900</f>
        <v>750</v>
      </c>
      <c r="H27" s="82">
        <f>LOG(G27)/LOG(2)</f>
        <v>9.5507467853832431</v>
      </c>
      <c r="I27" s="89">
        <f t="shared" si="9"/>
        <v>22.029581202287655</v>
      </c>
      <c r="J27" s="89">
        <f t="shared" si="10"/>
        <v>22.325803889055233</v>
      </c>
      <c r="K27" s="89">
        <f t="shared" si="11"/>
        <v>22.421367777605038</v>
      </c>
      <c r="L27" s="97">
        <f t="shared" si="12"/>
        <v>22.25891762298264</v>
      </c>
    </row>
    <row r="28" spans="2:18">
      <c r="B28" s="88" t="s">
        <v>191</v>
      </c>
      <c r="C28" s="96">
        <v>16.648801803588867</v>
      </c>
      <c r="D28" s="96">
        <v>17.485513687133789</v>
      </c>
      <c r="E28" s="96">
        <v>16.725131988525391</v>
      </c>
      <c r="F28" s="96">
        <f t="shared" si="6"/>
        <v>16.953149159749348</v>
      </c>
      <c r="G28" s="82">
        <f>15*180/4*1000/1000</f>
        <v>675</v>
      </c>
      <c r="H28" s="82">
        <f t="shared" si="8"/>
        <v>9.3987436919381935</v>
      </c>
      <c r="I28" s="89">
        <f t="shared" si="9"/>
        <v>7.2500581116506737</v>
      </c>
      <c r="J28" s="89">
        <f t="shared" si="10"/>
        <v>8.0867699951955956</v>
      </c>
      <c r="K28" s="89">
        <f t="shared" si="11"/>
        <v>7.3263882965871971</v>
      </c>
      <c r="L28" s="97">
        <f t="shared" si="12"/>
        <v>7.5544054678111552</v>
      </c>
    </row>
    <row r="29" spans="2:18">
      <c r="B29" s="88" t="s">
        <v>192</v>
      </c>
      <c r="C29" s="96">
        <v>19.15205192565918</v>
      </c>
      <c r="D29" s="96">
        <v>18.957448959350586</v>
      </c>
      <c r="E29" s="96">
        <v>18.855649948120117</v>
      </c>
      <c r="F29" s="96">
        <f t="shared" si="6"/>
        <v>18.988383611043293</v>
      </c>
      <c r="G29" s="82">
        <f>15*180/4*1000/500</f>
        <v>1350</v>
      </c>
      <c r="H29" s="82">
        <f t="shared" si="8"/>
        <v>10.398743691938193</v>
      </c>
      <c r="I29" s="89">
        <f t="shared" si="9"/>
        <v>8.7533082337209862</v>
      </c>
      <c r="J29" s="89">
        <f t="shared" si="10"/>
        <v>8.5587052674123925</v>
      </c>
      <c r="K29" s="89">
        <f t="shared" si="11"/>
        <v>8.4569062561819237</v>
      </c>
      <c r="L29" s="97">
        <f t="shared" si="12"/>
        <v>8.5896399191051014</v>
      </c>
    </row>
    <row r="30" spans="2:18">
      <c r="B30" s="88" t="s">
        <v>193</v>
      </c>
      <c r="C30" s="96">
        <v>19.934587478637695</v>
      </c>
      <c r="D30" s="96">
        <v>19.768661499023438</v>
      </c>
      <c r="E30" s="96">
        <v>19.823604583740234</v>
      </c>
      <c r="F30" s="96">
        <f t="shared" si="6"/>
        <v>19.842284520467121</v>
      </c>
      <c r="G30" s="82">
        <f t="shared" ref="G30:G38" si="13">15*180/4*1000/500</f>
        <v>1350</v>
      </c>
      <c r="H30" s="82">
        <f t="shared" si="8"/>
        <v>10.398743691938193</v>
      </c>
      <c r="I30" s="89">
        <f t="shared" si="9"/>
        <v>9.5358437866995018</v>
      </c>
      <c r="J30" s="89">
        <f t="shared" si="10"/>
        <v>9.369917807085244</v>
      </c>
      <c r="K30" s="89">
        <f t="shared" si="11"/>
        <v>9.4248608918020409</v>
      </c>
      <c r="L30" s="97">
        <f t="shared" si="12"/>
        <v>9.4435408285289295</v>
      </c>
    </row>
    <row r="31" spans="2:18">
      <c r="B31" s="88" t="s">
        <v>194</v>
      </c>
      <c r="C31" s="96">
        <v>20.650510787963867</v>
      </c>
      <c r="D31" s="96">
        <v>20.447122573852539</v>
      </c>
      <c r="E31" s="96">
        <v>20.447004318237305</v>
      </c>
      <c r="F31" s="96">
        <f t="shared" si="6"/>
        <v>20.51487922668457</v>
      </c>
      <c r="G31" s="82">
        <f t="shared" si="13"/>
        <v>1350</v>
      </c>
      <c r="H31" s="82">
        <f t="shared" si="8"/>
        <v>10.398743691938193</v>
      </c>
      <c r="I31" s="89">
        <f t="shared" si="9"/>
        <v>10.251767096025674</v>
      </c>
      <c r="J31" s="89">
        <f t="shared" si="10"/>
        <v>10.048378881914346</v>
      </c>
      <c r="K31" s="89">
        <f t="shared" si="11"/>
        <v>10.048260626299111</v>
      </c>
      <c r="L31" s="97">
        <f t="shared" si="12"/>
        <v>10.116135534746377</v>
      </c>
    </row>
    <row r="32" spans="2:18">
      <c r="B32" s="88" t="s">
        <v>195</v>
      </c>
      <c r="C32" s="96">
        <v>21.825428009033203</v>
      </c>
      <c r="D32" s="96">
        <v>21.617404937744141</v>
      </c>
      <c r="E32" s="96">
        <v>21.863065719604492</v>
      </c>
      <c r="F32" s="96">
        <f t="shared" si="6"/>
        <v>21.768632888793945</v>
      </c>
      <c r="G32" s="82">
        <f t="shared" si="13"/>
        <v>1350</v>
      </c>
      <c r="H32" s="82">
        <f t="shared" si="8"/>
        <v>10.398743691938193</v>
      </c>
      <c r="I32" s="89">
        <f t="shared" si="9"/>
        <v>11.42668431709501</v>
      </c>
      <c r="J32" s="89">
        <f t="shared" si="10"/>
        <v>11.218661245805947</v>
      </c>
      <c r="K32" s="89">
        <f t="shared" si="11"/>
        <v>11.464322027666299</v>
      </c>
      <c r="L32" s="97">
        <f t="shared" si="12"/>
        <v>11.369889196855752</v>
      </c>
    </row>
    <row r="33" spans="2:12">
      <c r="B33" s="88" t="s">
        <v>196</v>
      </c>
      <c r="C33" s="96">
        <v>22.909189224243164</v>
      </c>
      <c r="D33" s="96">
        <v>22.986705780029297</v>
      </c>
      <c r="E33" s="96">
        <v>23.151363372802734</v>
      </c>
      <c r="F33" s="96">
        <f t="shared" si="6"/>
        <v>23.015752792358398</v>
      </c>
      <c r="G33" s="82">
        <f>15*180/4*1000/500</f>
        <v>1350</v>
      </c>
      <c r="H33" s="82">
        <f t="shared" si="8"/>
        <v>10.398743691938193</v>
      </c>
      <c r="I33" s="89">
        <f t="shared" si="9"/>
        <v>12.510445532304971</v>
      </c>
      <c r="J33" s="89">
        <f t="shared" si="10"/>
        <v>12.587962088091103</v>
      </c>
      <c r="K33" s="89">
        <f t="shared" si="11"/>
        <v>12.752619680864541</v>
      </c>
      <c r="L33" s="97">
        <f t="shared" si="12"/>
        <v>12.617009100420205</v>
      </c>
    </row>
    <row r="34" spans="2:12">
      <c r="B34" s="88" t="s">
        <v>197</v>
      </c>
      <c r="C34" s="96">
        <v>24.431295394897461</v>
      </c>
      <c r="D34" s="96">
        <v>24.009675979614258</v>
      </c>
      <c r="E34" s="96">
        <v>23.951196670532227</v>
      </c>
      <c r="F34" s="96">
        <f t="shared" si="6"/>
        <v>24.130722681681316</v>
      </c>
      <c r="G34" s="82">
        <f t="shared" si="13"/>
        <v>1350</v>
      </c>
      <c r="H34" s="82">
        <f t="shared" si="8"/>
        <v>10.398743691938193</v>
      </c>
      <c r="I34" s="89">
        <f t="shared" si="9"/>
        <v>14.032551702959267</v>
      </c>
      <c r="J34" s="89">
        <f t="shared" si="10"/>
        <v>13.610932287676064</v>
      </c>
      <c r="K34" s="89">
        <f t="shared" si="11"/>
        <v>13.552452978594033</v>
      </c>
      <c r="L34" s="97">
        <f t="shared" si="12"/>
        <v>13.731978989743121</v>
      </c>
    </row>
    <row r="35" spans="2:12">
      <c r="B35" s="88" t="s">
        <v>198</v>
      </c>
      <c r="C35" s="96">
        <v>25.132335662841797</v>
      </c>
      <c r="D35" s="96">
        <v>24.967596054077148</v>
      </c>
      <c r="E35" s="96">
        <v>25.03386116027832</v>
      </c>
      <c r="F35" s="96">
        <f t="shared" si="6"/>
        <v>25.044597625732422</v>
      </c>
      <c r="G35" s="82">
        <f t="shared" si="13"/>
        <v>1350</v>
      </c>
      <c r="H35" s="82">
        <f t="shared" si="8"/>
        <v>10.398743691938193</v>
      </c>
      <c r="I35" s="89">
        <f t="shared" si="9"/>
        <v>14.733591970903603</v>
      </c>
      <c r="J35" s="89">
        <f t="shared" si="10"/>
        <v>14.568852362138955</v>
      </c>
      <c r="K35" s="89">
        <f t="shared" si="11"/>
        <v>14.635117468340127</v>
      </c>
      <c r="L35" s="97">
        <f t="shared" si="12"/>
        <v>14.645853933794228</v>
      </c>
    </row>
    <row r="36" spans="2:12">
      <c r="B36" s="88" t="s">
        <v>199</v>
      </c>
      <c r="C36" s="96">
        <v>26.708147048950195</v>
      </c>
      <c r="D36" s="96">
        <v>26.763067245483398</v>
      </c>
      <c r="E36" s="96"/>
      <c r="F36" s="96">
        <f t="shared" si="6"/>
        <v>26.735607147216797</v>
      </c>
      <c r="G36" s="82">
        <f t="shared" si="13"/>
        <v>1350</v>
      </c>
      <c r="H36" s="82">
        <f t="shared" si="8"/>
        <v>10.398743691938193</v>
      </c>
      <c r="I36" s="89">
        <f t="shared" si="9"/>
        <v>16.309403357012002</v>
      </c>
      <c r="J36" s="89">
        <f t="shared" si="10"/>
        <v>16.364323553545205</v>
      </c>
      <c r="K36" s="89"/>
      <c r="L36" s="97">
        <f t="shared" si="12"/>
        <v>16.336863455278603</v>
      </c>
    </row>
    <row r="37" spans="2:12">
      <c r="B37" s="88" t="s">
        <v>200</v>
      </c>
      <c r="C37" s="96">
        <v>27.613700866699219</v>
      </c>
      <c r="D37" s="96">
        <v>27.812423706054688</v>
      </c>
      <c r="E37" s="96">
        <v>27.789873123168945</v>
      </c>
      <c r="F37" s="96">
        <f t="shared" si="6"/>
        <v>27.738665898640949</v>
      </c>
      <c r="G37" s="82">
        <f t="shared" si="13"/>
        <v>1350</v>
      </c>
      <c r="H37" s="82">
        <f t="shared" si="8"/>
        <v>10.398743691938193</v>
      </c>
      <c r="I37" s="89">
        <f t="shared" si="9"/>
        <v>17.214957174761025</v>
      </c>
      <c r="J37" s="89">
        <f t="shared" si="10"/>
        <v>17.413680014116494</v>
      </c>
      <c r="K37" s="89">
        <f t="shared" si="11"/>
        <v>17.391129431230752</v>
      </c>
      <c r="L37" s="97">
        <f t="shared" si="12"/>
        <v>17.339922206702756</v>
      </c>
    </row>
    <row r="38" spans="2:12">
      <c r="B38" s="88" t="s">
        <v>201</v>
      </c>
      <c r="C38" s="96">
        <v>29.07282829284668</v>
      </c>
      <c r="D38" s="96">
        <v>28.964012145996094</v>
      </c>
      <c r="E38" s="96">
        <v>29.311826705932617</v>
      </c>
      <c r="F38" s="96">
        <f t="shared" si="6"/>
        <v>29.116222381591797</v>
      </c>
      <c r="G38" s="82">
        <f t="shared" si="13"/>
        <v>1350</v>
      </c>
      <c r="H38" s="82">
        <f t="shared" si="8"/>
        <v>10.398743691938193</v>
      </c>
      <c r="I38" s="89">
        <f t="shared" si="9"/>
        <v>18.674084600908486</v>
      </c>
      <c r="J38" s="89">
        <f t="shared" si="10"/>
        <v>18.5652684540579</v>
      </c>
      <c r="K38" s="89">
        <f t="shared" si="11"/>
        <v>18.913083013994424</v>
      </c>
      <c r="L38" s="97">
        <f t="shared" si="12"/>
        <v>18.717478689653603</v>
      </c>
    </row>
    <row r="40" spans="2:12">
      <c r="B40" s="88" t="s">
        <v>213</v>
      </c>
      <c r="C40" s="96">
        <v>15.713388442993164</v>
      </c>
      <c r="D40" s="96">
        <v>15.726656913757324</v>
      </c>
      <c r="E40" s="96">
        <v>15.612536430358887</v>
      </c>
      <c r="F40" s="96">
        <f>AVERAGE(C40:E40)</f>
        <v>15.684193929036459</v>
      </c>
    </row>
    <row r="42" spans="2:12">
      <c r="B42" s="98" t="s">
        <v>214</v>
      </c>
      <c r="C42" s="82" t="s">
        <v>215</v>
      </c>
    </row>
    <row r="43" spans="2:12">
      <c r="B43" s="95" t="s">
        <v>216</v>
      </c>
      <c r="C43" s="82" t="s">
        <v>215</v>
      </c>
    </row>
    <row r="44" spans="2:12">
      <c r="C44" s="99" t="s">
        <v>217</v>
      </c>
      <c r="D44" s="97">
        <v>-3.6977000000000002</v>
      </c>
    </row>
    <row r="45" spans="2:12">
      <c r="C45" s="99" t="s">
        <v>218</v>
      </c>
      <c r="D45" s="97">
        <v>41.616</v>
      </c>
    </row>
    <row r="48" spans="2:12">
      <c r="B48" s="95" t="s">
        <v>219</v>
      </c>
      <c r="D48" s="82">
        <f>-1+ POWER(10,-(1/D44))</f>
        <v>0.86396769252626071</v>
      </c>
    </row>
  </sheetData>
  <mergeCells count="6">
    <mergeCell ref="P3:R3"/>
    <mergeCell ref="B1:B2"/>
    <mergeCell ref="C1:C2"/>
    <mergeCell ref="D1:G1"/>
    <mergeCell ref="H1:K1"/>
    <mergeCell ref="L1:O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E112"/>
  <sheetViews>
    <sheetView topLeftCell="A86" workbookViewId="0">
      <selection activeCell="A105" sqref="A105:H109"/>
    </sheetView>
  </sheetViews>
  <sheetFormatPr baseColWidth="10" defaultColWidth="8.83203125" defaultRowHeight="14" x14ac:dyDescent="0"/>
  <cols>
    <col min="1" max="1" width="13.33203125" style="82" bestFit="1" customWidth="1"/>
    <col min="2" max="4" width="8.83203125" style="82"/>
    <col min="5" max="6" width="13.33203125" style="82" bestFit="1" customWidth="1"/>
    <col min="7" max="10" width="13.6640625" style="82" customWidth="1"/>
    <col min="11" max="11" width="16.5" style="82" bestFit="1" customWidth="1"/>
    <col min="12" max="12" width="17" style="82" customWidth="1"/>
    <col min="13" max="13" width="19.1640625" style="82" customWidth="1"/>
    <col min="14" max="14" width="17" style="82" customWidth="1"/>
    <col min="15" max="15" width="18.83203125" style="82" customWidth="1"/>
    <col min="16" max="16" width="18" style="82" customWidth="1"/>
    <col min="17" max="17" width="23.5" style="82" customWidth="1"/>
    <col min="18" max="18" width="18.5" style="82" customWidth="1"/>
    <col min="19" max="19" width="23.5" style="82" customWidth="1"/>
    <col min="20" max="16384" width="8.83203125" style="82"/>
  </cols>
  <sheetData>
    <row r="1" spans="1:31">
      <c r="A1" s="100" t="s">
        <v>220</v>
      </c>
    </row>
    <row r="2" spans="1:31">
      <c r="A2" s="133" t="s">
        <v>4</v>
      </c>
      <c r="B2" s="133" t="s">
        <v>117</v>
      </c>
      <c r="C2" s="133" t="s">
        <v>117</v>
      </c>
      <c r="D2" s="133" t="s">
        <v>5</v>
      </c>
      <c r="E2" s="145" t="s">
        <v>221</v>
      </c>
      <c r="F2" s="145" t="s">
        <v>222</v>
      </c>
      <c r="G2" s="145" t="s">
        <v>223</v>
      </c>
      <c r="H2" s="147" t="s">
        <v>224</v>
      </c>
      <c r="I2" s="147" t="s">
        <v>225</v>
      </c>
      <c r="J2" s="147" t="s">
        <v>226</v>
      </c>
      <c r="K2" s="145" t="s">
        <v>227</v>
      </c>
      <c r="L2" s="145" t="s">
        <v>228</v>
      </c>
      <c r="M2" s="145" t="s">
        <v>229</v>
      </c>
      <c r="N2" s="145" t="s">
        <v>230</v>
      </c>
      <c r="O2" s="145" t="s">
        <v>231</v>
      </c>
      <c r="P2" s="147" t="s">
        <v>232</v>
      </c>
      <c r="Q2" s="147" t="s">
        <v>233</v>
      </c>
      <c r="R2" s="151" t="s">
        <v>234</v>
      </c>
      <c r="S2" s="147" t="s">
        <v>235</v>
      </c>
      <c r="U2" s="153" t="s">
        <v>234</v>
      </c>
      <c r="V2" s="154"/>
      <c r="W2" s="154"/>
      <c r="X2" s="154"/>
      <c r="Y2" s="59"/>
      <c r="Z2" s="153" t="s">
        <v>235</v>
      </c>
      <c r="AA2" s="154"/>
      <c r="AB2" s="154"/>
      <c r="AC2" s="154"/>
      <c r="AD2" s="154"/>
      <c r="AE2" s="154"/>
    </row>
    <row r="3" spans="1:31">
      <c r="A3" s="134"/>
      <c r="B3" s="134"/>
      <c r="C3" s="134"/>
      <c r="D3" s="134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52"/>
      <c r="S3" s="146"/>
      <c r="U3" s="155"/>
      <c r="V3" s="156"/>
      <c r="W3" s="156"/>
      <c r="X3" s="156"/>
      <c r="Y3" s="59"/>
      <c r="Z3" s="153"/>
      <c r="AA3" s="154"/>
      <c r="AB3" s="154"/>
      <c r="AC3" s="154"/>
      <c r="AD3" s="154"/>
      <c r="AE3" s="154"/>
    </row>
    <row r="4" spans="1:31">
      <c r="A4" s="39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96">
        <v>24.090469360351562</v>
      </c>
      <c r="F4" s="96">
        <v>24.088253021240234</v>
      </c>
      <c r="G4" s="96">
        <v>25.235528945922852</v>
      </c>
      <c r="H4" s="96">
        <f>E4-$H$108+$H$112</f>
        <v>23.870789155815586</v>
      </c>
      <c r="I4" s="96">
        <f t="shared" ref="I4:J4" si="1">F4-$H$108+$H$112</f>
        <v>23.868572816704258</v>
      </c>
      <c r="J4" s="96">
        <f t="shared" si="1"/>
        <v>25.015848741386876</v>
      </c>
      <c r="K4" s="102">
        <f>((H4-'Calibration R. intestinalis '!$D$45)/('Calibration R. intestinalis '!$D$44))+$B$63</f>
        <v>8.452198598147902</v>
      </c>
      <c r="L4" s="102">
        <f>((I4-'Calibration R. intestinalis '!$D$45)/('Calibration R. intestinalis '!$D$44))+$B$63</f>
        <v>8.4527979813080645</v>
      </c>
      <c r="M4" s="102">
        <f>((J4-'Calibration R. intestinalis '!$D$45)/('Calibration R. intestinalis '!$D$44))+$B$63</f>
        <v>8.142530538118347</v>
      </c>
      <c r="N4" s="103">
        <f>AVERAGE(K4:M4)</f>
        <v>8.3491757058581051</v>
      </c>
      <c r="O4" s="103">
        <f>STDEV(K4:M4)</f>
        <v>0.17896021576788385</v>
      </c>
      <c r="P4" s="97">
        <f>(AVERAGE(POWER(10,K4),POWER(10,L4),POWER(10,M4)))*(Calculation!$I4/Calculation!$K3)</f>
        <v>235553643.51638058</v>
      </c>
      <c r="Q4" s="104">
        <f>(STDEV(POWER(10,K4),POWER(10,L4),POWER(10,M4)))*(Calculation!$I4/Calculation!$K3)</f>
        <v>83601135.797007367</v>
      </c>
      <c r="R4" s="103">
        <f>LOG(P4)</f>
        <v>8.3720898262427763</v>
      </c>
      <c r="S4" s="103">
        <f>O4*(Calculation!$I4/Calculation!$K3)</f>
        <v>0.17918518146966619</v>
      </c>
      <c r="U4" s="105"/>
      <c r="V4" s="106"/>
      <c r="W4" s="107"/>
      <c r="X4" s="106"/>
      <c r="Y4" s="59"/>
      <c r="Z4" s="108"/>
      <c r="AA4" s="108"/>
      <c r="AB4" s="108"/>
      <c r="AC4" s="108"/>
      <c r="AD4" s="59"/>
      <c r="AE4" s="108"/>
    </row>
    <row r="5" spans="1:31">
      <c r="A5" s="39">
        <v>1</v>
      </c>
      <c r="B5" s="31">
        <v>110</v>
      </c>
      <c r="C5" s="31">
        <f>C4+B5</f>
        <v>120</v>
      </c>
      <c r="D5" s="13">
        <f t="shared" si="0"/>
        <v>2</v>
      </c>
      <c r="E5" s="109">
        <v>23.758783340454102</v>
      </c>
      <c r="F5" s="96">
        <v>23.889871597290039</v>
      </c>
      <c r="G5" s="96">
        <v>24.535793304443359</v>
      </c>
      <c r="H5" s="96">
        <f t="shared" ref="H5:H20" si="2">E5-$H$108+$H$112</f>
        <v>23.539103135918126</v>
      </c>
      <c r="I5" s="96">
        <f t="shared" ref="I5:I20" si="3">F5-$H$108+$H$112</f>
        <v>23.670191392754063</v>
      </c>
      <c r="J5" s="96">
        <f t="shared" ref="J5:J20" si="4">G5-$H$108+$H$112</f>
        <v>24.316113099907383</v>
      </c>
      <c r="K5" s="102">
        <f>((H5-'Calibration R. intestinalis '!$D$45)/('Calibration R. intestinalis '!$D$44))+$B$63</f>
        <v>8.5418992282415989</v>
      </c>
      <c r="L5" s="102">
        <f>((I5-'Calibration R. intestinalis '!$D$45)/('Calibration R. intestinalis '!$D$44))+$B$63</f>
        <v>8.5064479323452478</v>
      </c>
      <c r="M5" s="102">
        <f>((J5-'Calibration R. intestinalis '!$D$45)/('Calibration R. intestinalis '!$D$44))+$B$63</f>
        <v>8.3317659118586427</v>
      </c>
      <c r="N5" s="103">
        <f t="shared" ref="N5:N19" si="5">AVERAGE(K5:M5)</f>
        <v>8.4600376908151631</v>
      </c>
      <c r="O5" s="103">
        <f t="shared" ref="O5:O19" si="6">STDEV(K5:M5)</f>
        <v>0.11249193550066372</v>
      </c>
      <c r="P5" s="97">
        <f>(AVERAGE(POWER(10,K5),POWER(10,L5),POWER(10,M5)))*(Calculation!$I5/Calculation!$K4)</f>
        <v>295764792.84699762</v>
      </c>
      <c r="Q5" s="104">
        <f>(STDEV(POWER(10,K5),POWER(10,L5),POWER(10,M5)))*(Calculation!$I5/Calculation!$K4)</f>
        <v>70852209.908904046</v>
      </c>
      <c r="R5" s="103">
        <f>LOG(P5)</f>
        <v>8.4709464753326262</v>
      </c>
      <c r="S5" s="103">
        <f>O5*(Calculation!$I5/Calculation!$K4)</f>
        <v>0.11292628043286539</v>
      </c>
      <c r="U5" s="105"/>
      <c r="V5" s="106"/>
      <c r="W5" s="107"/>
      <c r="X5" s="106"/>
      <c r="Y5" s="59"/>
      <c r="Z5" s="108"/>
      <c r="AA5" s="108"/>
      <c r="AB5" s="108"/>
      <c r="AC5" s="59"/>
      <c r="AD5" s="59"/>
      <c r="AE5" s="59"/>
    </row>
    <row r="6" spans="1:31">
      <c r="A6" s="39">
        <v>2</v>
      </c>
      <c r="B6" s="31">
        <v>80</v>
      </c>
      <c r="C6" s="31">
        <f>C5+B6</f>
        <v>200</v>
      </c>
      <c r="D6" s="13">
        <f t="shared" si="0"/>
        <v>3.3333333333333335</v>
      </c>
      <c r="E6" s="96">
        <v>21.292184829711914</v>
      </c>
      <c r="F6" s="96">
        <v>21.655961990356445</v>
      </c>
      <c r="G6" s="96">
        <v>21.700838088989258</v>
      </c>
      <c r="H6" s="96">
        <f>E6-$H$109+$H$112</f>
        <v>21.01943264946793</v>
      </c>
      <c r="I6" s="96">
        <f t="shared" ref="I6:J7" si="7">F6-$H$109+$H$112</f>
        <v>21.383209810112461</v>
      </c>
      <c r="J6" s="96">
        <f t="shared" si="7"/>
        <v>21.428085908745274</v>
      </c>
      <c r="K6" s="102">
        <f>((H6-'Calibration R. intestinalis '!$D$45)/('Calibration R. intestinalis '!$D$44))+$B$63</f>
        <v>9.22331483428054</v>
      </c>
      <c r="L6" s="102">
        <f>((I6-'Calibration R. intestinalis '!$D$45)/('Calibration R. intestinalis '!$D$44))+$B$63</f>
        <v>9.12493552805112</v>
      </c>
      <c r="M6" s="102">
        <f>((J6-'Calibration R. intestinalis '!$D$45)/('Calibration R. intestinalis '!$D$44))+$B$63</f>
        <v>9.1127993086085439</v>
      </c>
      <c r="N6" s="103">
        <f t="shared" si="5"/>
        <v>9.1536832236467358</v>
      </c>
      <c r="O6" s="103">
        <f t="shared" si="6"/>
        <v>6.060728384594543E-2</v>
      </c>
      <c r="P6" s="97">
        <f>(AVERAGE(POWER(10,K6),POWER(10,L6),POWER(10,M6)))*(Calculation!$I6/Calculation!$K5)</f>
        <v>1449241672.653168</v>
      </c>
      <c r="Q6" s="104">
        <f>(STDEV(POWER(10,K6),POWER(10,L6),POWER(10,M6)))*(Calculation!$I6/Calculation!$K5)</f>
        <v>209324459.28435054</v>
      </c>
      <c r="R6" s="103">
        <f t="shared" ref="R6:R18" si="8">LOG(P6)</f>
        <v>9.1611408135926329</v>
      </c>
      <c r="S6" s="103">
        <f>O6*(Calculation!$I6/Calculation!$K5)</f>
        <v>6.1248533469126426E-2</v>
      </c>
      <c r="U6" s="105"/>
      <c r="V6" s="106"/>
      <c r="W6" s="107"/>
      <c r="X6" s="106"/>
      <c r="Y6" s="59"/>
      <c r="Z6" s="108"/>
      <c r="AA6" s="108"/>
      <c r="AB6" s="108"/>
      <c r="AC6" s="59"/>
      <c r="AD6" s="59"/>
      <c r="AE6" s="59"/>
    </row>
    <row r="7" spans="1:31">
      <c r="A7" s="39">
        <v>3</v>
      </c>
      <c r="B7" s="31">
        <v>80</v>
      </c>
      <c r="C7" s="31">
        <f>C6+B7</f>
        <v>280</v>
      </c>
      <c r="D7" s="13">
        <f t="shared" si="0"/>
        <v>4.666666666666667</v>
      </c>
      <c r="E7" s="96">
        <v>20.823379516601562</v>
      </c>
      <c r="F7" s="96">
        <v>20.690925598144531</v>
      </c>
      <c r="G7" s="96">
        <v>20.276790618896484</v>
      </c>
      <c r="H7" s="96">
        <f>E7-$H$109+$H$112</f>
        <v>20.550627336357579</v>
      </c>
      <c r="I7" s="96">
        <f t="shared" si="7"/>
        <v>20.418173417900547</v>
      </c>
      <c r="J7" s="96">
        <f t="shared" si="7"/>
        <v>20.004038438652501</v>
      </c>
      <c r="K7" s="102">
        <f>((H7-'Calibration R. intestinalis '!$D$45)/('Calibration R. intestinalis '!$D$44))+$B$63</f>
        <v>9.350097783981802</v>
      </c>
      <c r="L7" s="102">
        <f>((I7-'Calibration R. intestinalis '!$D$45)/('Calibration R. intestinalis '!$D$44))+$B$63</f>
        <v>9.3859184071954296</v>
      </c>
      <c r="M7" s="102">
        <f>((J7-'Calibration R. intestinalis '!$D$45)/('Calibration R. intestinalis '!$D$44))+$B$63</f>
        <v>9.4979164003392889</v>
      </c>
      <c r="N7" s="103">
        <f t="shared" si="5"/>
        <v>9.4113108638388407</v>
      </c>
      <c r="O7" s="103">
        <f t="shared" si="6"/>
        <v>7.7111403023489872E-2</v>
      </c>
      <c r="P7" s="97">
        <f>(AVERAGE(POWER(10,K7),POWER(10,L7),POWER(10,M7)))*(Calculation!$I7/Calculation!$K6)</f>
        <v>2671440098.189177</v>
      </c>
      <c r="Q7" s="104">
        <f>(STDEV(POWER(10,K7),POWER(10,L7),POWER(10,M7)))*(Calculation!$I7/Calculation!$K6)</f>
        <v>490400593.02570218</v>
      </c>
      <c r="R7" s="103">
        <f t="shared" si="8"/>
        <v>9.4267454404251332</v>
      </c>
      <c r="S7" s="103">
        <f>O7*(Calculation!$I7/Calculation!$K6)</f>
        <v>7.9046611309040671E-2</v>
      </c>
      <c r="U7" s="105"/>
      <c r="V7" s="106"/>
      <c r="W7" s="107"/>
      <c r="X7" s="106"/>
      <c r="Y7" s="59"/>
      <c r="Z7" s="108"/>
      <c r="AA7" s="108"/>
      <c r="AB7" s="108"/>
      <c r="AC7" s="59"/>
      <c r="AD7" s="59"/>
      <c r="AE7" s="59"/>
    </row>
    <row r="8" spans="1:31">
      <c r="A8" s="39">
        <v>4</v>
      </c>
      <c r="B8" s="31">
        <v>80</v>
      </c>
      <c r="C8" s="31">
        <f t="shared" ref="C8:C18" si="9">C7+B8</f>
        <v>360</v>
      </c>
      <c r="D8" s="13">
        <f t="shared" si="0"/>
        <v>6</v>
      </c>
      <c r="E8" s="96">
        <v>18.796533584594727</v>
      </c>
      <c r="F8" s="96">
        <v>19.200164794921875</v>
      </c>
      <c r="G8" s="96">
        <v>19.802619934082031</v>
      </c>
      <c r="H8" s="96">
        <f t="shared" si="2"/>
        <v>18.576853380058751</v>
      </c>
      <c r="I8" s="96">
        <f t="shared" si="3"/>
        <v>18.980484590385899</v>
      </c>
      <c r="J8" s="96">
        <f t="shared" si="4"/>
        <v>19.582939729546055</v>
      </c>
      <c r="K8" s="102">
        <f>((H8-'Calibration R. intestinalis '!$D$45)/('Calibration R. intestinalis '!$D$44))+$B$63</f>
        <v>9.8838820164232732</v>
      </c>
      <c r="L8" s="102">
        <f>((I8-'Calibration R. intestinalis '!$D$45)/('Calibration R. intestinalis '!$D$44))+$B$63</f>
        <v>9.774724645536736</v>
      </c>
      <c r="M8" s="102">
        <f>((J8-'Calibration R. intestinalis '!$D$45)/('Calibration R. intestinalis '!$D$44))+$B$63</f>
        <v>9.6117976533090932</v>
      </c>
      <c r="N8" s="103">
        <f t="shared" si="5"/>
        <v>9.7568014384230342</v>
      </c>
      <c r="O8" s="103">
        <f t="shared" si="6"/>
        <v>0.13692481943658985</v>
      </c>
      <c r="P8" s="97">
        <f>(AVERAGE(POWER(10,K8),POWER(10,L8),POWER(10,M8)))*(Calculation!$I8/Calculation!$K7)</f>
        <v>6198580745.1678925</v>
      </c>
      <c r="Q8" s="104">
        <f>(STDEV(POWER(10,K8),POWER(10,L8),POWER(10,M8)))*(Calculation!$I8/Calculation!$K7)</f>
        <v>1872663298.9994702</v>
      </c>
      <c r="R8" s="103">
        <f t="shared" si="8"/>
        <v>9.7922922628691325</v>
      </c>
      <c r="S8" s="103">
        <f>O8*(Calculation!$I8/Calculation!$K7)</f>
        <v>0.14387502959038914</v>
      </c>
      <c r="U8" s="105"/>
      <c r="V8" s="106"/>
      <c r="W8" s="107"/>
      <c r="X8" s="106"/>
      <c r="Y8" s="59"/>
      <c r="Z8" s="108"/>
      <c r="AA8" s="108"/>
      <c r="AB8" s="108"/>
      <c r="AC8" s="59"/>
      <c r="AD8" s="59"/>
      <c r="AE8" s="59"/>
    </row>
    <row r="9" spans="1:31">
      <c r="A9" s="39">
        <v>5</v>
      </c>
      <c r="B9" s="31">
        <v>80</v>
      </c>
      <c r="C9" s="31">
        <f t="shared" si="9"/>
        <v>440</v>
      </c>
      <c r="D9" s="13">
        <f t="shared" si="0"/>
        <v>7.333333333333333</v>
      </c>
      <c r="E9" s="96">
        <v>18.356962203979492</v>
      </c>
      <c r="F9" s="96">
        <v>18.772577285766602</v>
      </c>
      <c r="G9" s="96">
        <v>18.957019805908203</v>
      </c>
      <c r="H9" s="96">
        <f t="shared" si="2"/>
        <v>18.137281999443516</v>
      </c>
      <c r="I9" s="96">
        <f t="shared" si="3"/>
        <v>18.552897081230626</v>
      </c>
      <c r="J9" s="96">
        <f t="shared" si="4"/>
        <v>18.737339601372227</v>
      </c>
      <c r="K9" s="102">
        <f>((H9-'Calibration R. intestinalis '!$D$45)/('Calibration R. intestinalis '!$D$44))+$B$63</f>
        <v>10.002758988761546</v>
      </c>
      <c r="L9" s="102">
        <f>((I9-'Calibration R. intestinalis '!$D$45)/('Calibration R. intestinalis '!$D$44))+$B$63</f>
        <v>9.8903607190838798</v>
      </c>
      <c r="M9" s="102">
        <f>((J9-'Calibration R. intestinalis '!$D$45)/('Calibration R. intestinalis '!$D$44))+$B$63</f>
        <v>9.8404803826202389</v>
      </c>
      <c r="N9" s="103">
        <f t="shared" si="5"/>
        <v>9.9112000301552214</v>
      </c>
      <c r="O9" s="103">
        <f t="shared" si="6"/>
        <v>8.3122164115459821E-2</v>
      </c>
      <c r="P9" s="97">
        <f>(AVERAGE(POWER(10,K9),POWER(10,L9),POWER(10,M9)))*(Calculation!$I9/Calculation!$K8)</f>
        <v>8750452173.8967323</v>
      </c>
      <c r="Q9" s="104">
        <f>(STDEV(POWER(10,K9),POWER(10,L9),POWER(10,M9)))*(Calculation!$I9/Calculation!$K8)</f>
        <v>1721806346.4285698</v>
      </c>
      <c r="R9" s="103">
        <f t="shared" si="8"/>
        <v>9.9420304954856622</v>
      </c>
      <c r="S9" s="103">
        <f>O9*(Calculation!$I9/Calculation!$K8)</f>
        <v>8.8133738643107709E-2</v>
      </c>
      <c r="U9" s="105"/>
      <c r="V9" s="106"/>
      <c r="W9" s="107"/>
      <c r="X9" s="106"/>
      <c r="Y9" s="59"/>
      <c r="Z9" s="108"/>
      <c r="AA9" s="108"/>
      <c r="AB9" s="108"/>
      <c r="AC9" s="59"/>
      <c r="AD9" s="59"/>
      <c r="AE9" s="59"/>
    </row>
    <row r="10" spans="1:31">
      <c r="A10" s="39">
        <v>6</v>
      </c>
      <c r="B10" s="31">
        <v>80</v>
      </c>
      <c r="C10" s="31">
        <f t="shared" si="9"/>
        <v>520</v>
      </c>
      <c r="D10" s="13">
        <f t="shared" si="0"/>
        <v>8.6666666666666661</v>
      </c>
      <c r="E10" s="96">
        <v>18.431779861450195</v>
      </c>
      <c r="F10" s="96">
        <v>18.619548797607422</v>
      </c>
      <c r="G10" s="96">
        <v>18.678749084472656</v>
      </c>
      <c r="H10" s="96">
        <f t="shared" si="2"/>
        <v>18.212099656914219</v>
      </c>
      <c r="I10" s="96">
        <f t="shared" si="3"/>
        <v>18.399868593071446</v>
      </c>
      <c r="J10" s="96">
        <f t="shared" si="4"/>
        <v>18.45906887993668</v>
      </c>
      <c r="K10" s="102">
        <f>((H10-'Calibration R. intestinalis '!$D$45)/('Calibration R. intestinalis '!$D$44))+$B$63</f>
        <v>9.9825254226337634</v>
      </c>
      <c r="L10" s="102">
        <f>((I10-'Calibration R. intestinalis '!$D$45)/('Calibration R. intestinalis '!$D$44))+$B$63</f>
        <v>9.9317454956096061</v>
      </c>
      <c r="M10" s="102">
        <f>((J10-'Calibration R. intestinalis '!$D$45)/('Calibration R. intestinalis '!$D$44))+$B$63</f>
        <v>9.9157354658978303</v>
      </c>
      <c r="N10" s="103">
        <f t="shared" si="5"/>
        <v>9.9433354613803999</v>
      </c>
      <c r="O10" s="103">
        <f t="shared" si="6"/>
        <v>3.4870762253255728E-2</v>
      </c>
      <c r="P10" s="97">
        <f>(AVERAGE(POWER(10,K10),POWER(10,L10),POWER(10,M10)))*(Calculation!$I10/Calculation!$K9)</f>
        <v>9359506533.6038723</v>
      </c>
      <c r="Q10" s="104">
        <f>(STDEV(POWER(10,K10),POWER(10,L10),POWER(10,M10)))*(Calculation!$I10/Calculation!$K9)</f>
        <v>764120320.8677938</v>
      </c>
      <c r="R10" s="103">
        <f t="shared" si="8"/>
        <v>9.9712529517955488</v>
      </c>
      <c r="S10" s="103">
        <f>O10*(Calculation!$I10/Calculation!$K9)</f>
        <v>3.7105225995490244E-2</v>
      </c>
      <c r="U10" s="105"/>
      <c r="V10" s="106"/>
      <c r="W10" s="107"/>
      <c r="X10" s="106"/>
      <c r="Y10" s="59"/>
      <c r="Z10" s="108"/>
      <c r="AA10" s="108"/>
      <c r="AB10" s="108"/>
      <c r="AC10" s="59"/>
      <c r="AD10" s="59"/>
      <c r="AE10" s="59"/>
    </row>
    <row r="11" spans="1:31">
      <c r="A11" s="39">
        <v>7</v>
      </c>
      <c r="B11" s="31">
        <v>80</v>
      </c>
      <c r="C11" s="31">
        <f t="shared" si="9"/>
        <v>600</v>
      </c>
      <c r="D11" s="13">
        <f t="shared" si="0"/>
        <v>10</v>
      </c>
      <c r="E11" s="96">
        <v>18.483198165893555</v>
      </c>
      <c r="F11" s="96">
        <v>18.884614944458008</v>
      </c>
      <c r="G11" s="96">
        <v>18.653303146362305</v>
      </c>
      <c r="H11" s="96">
        <f t="shared" si="2"/>
        <v>18.263517961357579</v>
      </c>
      <c r="I11" s="96">
        <f t="shared" si="3"/>
        <v>18.664934739922032</v>
      </c>
      <c r="J11" s="96">
        <f t="shared" si="4"/>
        <v>18.433622941826329</v>
      </c>
      <c r="K11" s="102">
        <f>((H11-'Calibration R. intestinalis '!$D$45)/('Calibration R. intestinalis '!$D$44))+$B$63</f>
        <v>9.9686199396461337</v>
      </c>
      <c r="L11" s="102">
        <f>((I11-'Calibration R. intestinalis '!$D$45)/('Calibration R. intestinalis '!$D$44))+$B$63</f>
        <v>9.8600614360994818</v>
      </c>
      <c r="M11" s="102">
        <f>((J11-'Calibration R. intestinalis '!$D$45)/('Calibration R. intestinalis '!$D$44))+$B$63</f>
        <v>9.922617024193622</v>
      </c>
      <c r="N11" s="103">
        <f t="shared" si="5"/>
        <v>9.9170994666464125</v>
      </c>
      <c r="O11" s="103">
        <f t="shared" si="6"/>
        <v>5.4489170979536684E-2</v>
      </c>
      <c r="P11" s="97">
        <f>(AVERAGE(POWER(10,K11),POWER(10,L11),POWER(10,M11)))*(Calculation!$I11/Calculation!$K10)</f>
        <v>8857116329.3092289</v>
      </c>
      <c r="Q11" s="104">
        <f>(STDEV(POWER(10,K11),POWER(10,L11),POWER(10,M11)))*(Calculation!$I11/Calculation!$K10)</f>
        <v>1098631029.9243865</v>
      </c>
      <c r="R11" s="103">
        <f t="shared" si="8"/>
        <v>9.9472923487362053</v>
      </c>
      <c r="S11" s="103">
        <f>O11*(Calculation!$I11/Calculation!$K10)</f>
        <v>5.8108744405972419E-2</v>
      </c>
      <c r="U11" s="105"/>
      <c r="V11" s="106"/>
      <c r="W11" s="107"/>
      <c r="X11" s="106"/>
      <c r="Y11" s="59"/>
      <c r="Z11" s="108"/>
      <c r="AA11" s="108"/>
      <c r="AB11" s="108"/>
      <c r="AC11" s="59"/>
      <c r="AD11" s="59"/>
      <c r="AE11" s="59"/>
    </row>
    <row r="12" spans="1:31">
      <c r="A12" s="39">
        <v>8</v>
      </c>
      <c r="B12" s="31">
        <v>80</v>
      </c>
      <c r="C12" s="31">
        <f t="shared" si="9"/>
        <v>680</v>
      </c>
      <c r="D12" s="13">
        <f t="shared" si="0"/>
        <v>11.333333333333334</v>
      </c>
      <c r="E12" s="96">
        <v>18.465404510498047</v>
      </c>
      <c r="F12" s="96">
        <v>18.631538391113281</v>
      </c>
      <c r="G12" s="96">
        <v>18.982294082641602</v>
      </c>
      <c r="H12" s="96">
        <f t="shared" si="2"/>
        <v>18.245724305962071</v>
      </c>
      <c r="I12" s="96">
        <f t="shared" si="3"/>
        <v>18.411858186577305</v>
      </c>
      <c r="J12" s="96">
        <f t="shared" si="4"/>
        <v>18.762613878105626</v>
      </c>
      <c r="K12" s="102">
        <f>((H12-'Calibration R. intestinalis '!$D$45)/('Calibration R. intestinalis '!$D$44))+$B$63</f>
        <v>9.973432026996516</v>
      </c>
      <c r="L12" s="102">
        <f>((I12-'Calibration R. intestinalis '!$D$45)/('Calibration R. intestinalis '!$D$44))+$B$63</f>
        <v>9.9285030493576496</v>
      </c>
      <c r="M12" s="102">
        <f>((J12-'Calibration R. intestinalis '!$D$45)/('Calibration R. intestinalis '!$D$44))+$B$63</f>
        <v>9.833645248149244</v>
      </c>
      <c r="N12" s="103">
        <f t="shared" si="5"/>
        <v>9.9118601081678026</v>
      </c>
      <c r="O12" s="103">
        <f t="shared" si="6"/>
        <v>7.1364042092012595E-2</v>
      </c>
      <c r="P12" s="97">
        <f>(AVERAGE(POWER(10,K12),POWER(10,L12),POWER(10,M12)))*(Calculation!$I12/Calculation!$K11)</f>
        <v>8802551602.0794334</v>
      </c>
      <c r="Q12" s="104">
        <f>(STDEV(POWER(10,K12),POWER(10,L12),POWER(10,M12)))*(Calculation!$I12/Calculation!$K11)</f>
        <v>1402213560.15642</v>
      </c>
      <c r="R12" s="103">
        <f t="shared" si="8"/>
        <v>9.9446085796590253</v>
      </c>
      <c r="S12" s="103">
        <f>O12*(Calculation!$I12/Calculation!$K11)</f>
        <v>7.6277796563359895E-2</v>
      </c>
      <c r="U12" s="105"/>
      <c r="V12" s="106"/>
      <c r="W12" s="107"/>
      <c r="X12" s="106"/>
      <c r="Y12" s="59"/>
      <c r="Z12" s="108"/>
      <c r="AA12" s="108"/>
      <c r="AB12" s="108"/>
      <c r="AC12" s="59"/>
      <c r="AD12" s="59"/>
      <c r="AE12" s="59"/>
    </row>
    <row r="13" spans="1:31">
      <c r="A13" s="39">
        <v>9</v>
      </c>
      <c r="B13" s="31">
        <v>80</v>
      </c>
      <c r="C13" s="31">
        <f t="shared" si="9"/>
        <v>760</v>
      </c>
      <c r="D13" s="13">
        <f t="shared" si="0"/>
        <v>12.666666666666666</v>
      </c>
      <c r="E13" s="96">
        <v>18.533046722412109</v>
      </c>
      <c r="F13" s="96">
        <v>18.629724502563477</v>
      </c>
      <c r="G13" s="96">
        <v>18.635074615478516</v>
      </c>
      <c r="H13" s="96">
        <f t="shared" si="2"/>
        <v>18.313366517876133</v>
      </c>
      <c r="I13" s="96">
        <f t="shared" si="3"/>
        <v>18.410044298027501</v>
      </c>
      <c r="J13" s="96">
        <f t="shared" si="4"/>
        <v>18.41539441094254</v>
      </c>
      <c r="K13" s="102">
        <f>((H13-'Calibration R. intestinalis '!$D$45)/('Calibration R. intestinalis '!$D$44))+$B$63</f>
        <v>9.9551389767452605</v>
      </c>
      <c r="L13" s="102">
        <f>((I13-'Calibration R. intestinalis '!$D$45)/('Calibration R. intestinalis '!$D$44))+$B$63</f>
        <v>9.9289935944396746</v>
      </c>
      <c r="M13" s="102">
        <f>((J13-'Calibration R. intestinalis '!$D$45)/('Calibration R. intestinalis '!$D$44))+$B$63</f>
        <v>9.9275467185668251</v>
      </c>
      <c r="N13" s="103">
        <f t="shared" si="5"/>
        <v>9.9372264299172528</v>
      </c>
      <c r="O13" s="103">
        <f t="shared" si="6"/>
        <v>1.5529580253407329E-2</v>
      </c>
      <c r="P13" s="97">
        <f>(AVERAGE(POWER(10,K13),POWER(10,L13),POWER(10,M13)))*(Calculation!$I13/Calculation!$K12)</f>
        <v>9261305907.9895592</v>
      </c>
      <c r="Q13" s="104">
        <f>(STDEV(POWER(10,K13),POWER(10,L13),POWER(10,M13)))*(Calculation!$I13/Calculation!$K12)</f>
        <v>334480538.25748485</v>
      </c>
      <c r="R13" s="103">
        <f t="shared" si="8"/>
        <v>9.9666722295162682</v>
      </c>
      <c r="S13" s="103">
        <f>O13*(Calculation!$I13/Calculation!$K12)</f>
        <v>1.6611894816323098E-2</v>
      </c>
      <c r="U13" s="105"/>
      <c r="V13" s="106"/>
      <c r="W13" s="107"/>
      <c r="X13" s="106"/>
      <c r="Y13" s="59"/>
      <c r="Z13" s="108"/>
      <c r="AA13" s="108"/>
      <c r="AB13" s="108"/>
      <c r="AC13" s="59"/>
      <c r="AD13" s="59"/>
      <c r="AE13" s="59"/>
    </row>
    <row r="14" spans="1:31">
      <c r="A14" s="39">
        <v>10</v>
      </c>
      <c r="B14" s="31">
        <v>80</v>
      </c>
      <c r="C14" s="31">
        <f t="shared" si="9"/>
        <v>840</v>
      </c>
      <c r="D14" s="13">
        <f t="shared" si="0"/>
        <v>14</v>
      </c>
      <c r="E14" s="96">
        <v>18.753530502319336</v>
      </c>
      <c r="F14" s="96">
        <v>18.810714721679688</v>
      </c>
      <c r="G14" s="96">
        <v>18.996791839599609</v>
      </c>
      <c r="H14" s="96">
        <f t="shared" si="2"/>
        <v>18.53385029778336</v>
      </c>
      <c r="I14" s="96">
        <f t="shared" si="3"/>
        <v>18.591034517143711</v>
      </c>
      <c r="J14" s="96">
        <f t="shared" si="4"/>
        <v>18.777111635063633</v>
      </c>
      <c r="K14" s="102">
        <f>((H14-'Calibration R. intestinalis '!$D$45)/('Calibration R. intestinalis '!$D$44))+$B$63</f>
        <v>9.8955117003552822</v>
      </c>
      <c r="L14" s="102">
        <f>((I14-'Calibration R. intestinalis '!$D$45)/('Calibration R. intestinalis '!$D$44))+$B$63</f>
        <v>9.880046892674736</v>
      </c>
      <c r="M14" s="102">
        <f>((J14-'Calibration R. intestinalis '!$D$45)/('Calibration R. intestinalis '!$D$44))+$B$63</f>
        <v>9.8297244982349703</v>
      </c>
      <c r="N14" s="103">
        <f t="shared" si="5"/>
        <v>9.8684276970883307</v>
      </c>
      <c r="O14" s="103">
        <f t="shared" si="6"/>
        <v>3.4398303304975203E-2</v>
      </c>
      <c r="P14" s="97">
        <f>(AVERAGE(POWER(10,K14),POWER(10,L14),POWER(10,M14)))*(Calculation!$I14/Calculation!$K13)</f>
        <v>7923880346.5651274</v>
      </c>
      <c r="Q14" s="104">
        <f>(STDEV(POWER(10,K14),POWER(10,L14),POWER(10,M14)))*(Calculation!$I14/Calculation!$K13)</f>
        <v>615894029.92642295</v>
      </c>
      <c r="R14" s="103">
        <f t="shared" si="8"/>
        <v>9.8989379089136005</v>
      </c>
      <c r="S14" s="103">
        <f>O14*(Calculation!$I14/Calculation!$K13)</f>
        <v>3.6825638092842623E-2</v>
      </c>
      <c r="U14" s="105"/>
      <c r="V14" s="106"/>
      <c r="W14" s="107"/>
      <c r="X14" s="106"/>
      <c r="Y14" s="59"/>
      <c r="Z14" s="108"/>
      <c r="AA14" s="108"/>
      <c r="AB14" s="108"/>
      <c r="AC14" s="59"/>
      <c r="AD14" s="59"/>
      <c r="AE14" s="59"/>
    </row>
    <row r="15" spans="1:31">
      <c r="A15" s="39">
        <v>11</v>
      </c>
      <c r="B15" s="31">
        <v>80</v>
      </c>
      <c r="C15" s="31">
        <f t="shared" si="9"/>
        <v>920</v>
      </c>
      <c r="D15" s="13">
        <f t="shared" si="0"/>
        <v>15.333333333333334</v>
      </c>
      <c r="E15" s="96">
        <v>19.020278930664062</v>
      </c>
      <c r="F15" s="96">
        <v>19.560722351074219</v>
      </c>
      <c r="G15" s="96">
        <v>19.278190612792969</v>
      </c>
      <c r="H15" s="96">
        <f t="shared" si="2"/>
        <v>18.800598726128086</v>
      </c>
      <c r="I15" s="96">
        <f t="shared" si="3"/>
        <v>19.341042146538243</v>
      </c>
      <c r="J15" s="96">
        <f t="shared" si="4"/>
        <v>19.058510408256993</v>
      </c>
      <c r="K15" s="102">
        <f>((H15-'Calibration R. intestinalis '!$D$45)/('Calibration R. intestinalis '!$D$44))+$B$63</f>
        <v>9.8233726873621432</v>
      </c>
      <c r="L15" s="102">
        <f>((I15-'Calibration R. intestinalis '!$D$45)/('Calibration R. intestinalis '!$D$44))+$B$63</f>
        <v>9.6772160439324022</v>
      </c>
      <c r="M15" s="102">
        <f>((J15-'Calibration R. intestinalis '!$D$45)/('Calibration R. intestinalis '!$D$44))+$B$63</f>
        <v>9.7536234697055182</v>
      </c>
      <c r="N15" s="103">
        <f t="shared" si="5"/>
        <v>9.7514040670000224</v>
      </c>
      <c r="O15" s="103">
        <f t="shared" si="6"/>
        <v>7.3103593727935082E-2</v>
      </c>
      <c r="P15" s="97">
        <f>(AVERAGE(POWER(10,K15),POWER(10,L15),POWER(10,M15)))*(Calculation!$I15/Calculation!$K14)</f>
        <v>6101908719.7255163</v>
      </c>
      <c r="Q15" s="104">
        <f>(STDEV(POWER(10,K15),POWER(10,L15),POWER(10,M15)))*(Calculation!$I15/Calculation!$K14)</f>
        <v>1019607191.9875973</v>
      </c>
      <c r="R15" s="103">
        <f t="shared" si="8"/>
        <v>9.7854657066141524</v>
      </c>
      <c r="S15" s="103">
        <f>O15*(Calculation!$I15/Calculation!$K14)</f>
        <v>7.8328287989007303E-2</v>
      </c>
      <c r="U15" s="105"/>
      <c r="V15" s="106"/>
      <c r="W15" s="107"/>
      <c r="X15" s="106"/>
      <c r="Y15" s="59"/>
      <c r="Z15" s="108"/>
      <c r="AA15" s="108"/>
      <c r="AB15" s="108"/>
      <c r="AC15" s="59"/>
      <c r="AD15" s="59"/>
      <c r="AE15" s="59"/>
    </row>
    <row r="16" spans="1:31">
      <c r="A16" s="39">
        <v>12</v>
      </c>
      <c r="B16" s="31">
        <v>80</v>
      </c>
      <c r="C16" s="31">
        <f t="shared" si="9"/>
        <v>1000</v>
      </c>
      <c r="D16" s="13">
        <f t="shared" si="0"/>
        <v>16.666666666666668</v>
      </c>
      <c r="E16" s="96">
        <v>19.417568206787109</v>
      </c>
      <c r="F16" s="96">
        <v>19.948951721191406</v>
      </c>
      <c r="G16" s="96">
        <v>19.947973251342773</v>
      </c>
      <c r="H16" s="96">
        <f t="shared" si="2"/>
        <v>19.197888002251133</v>
      </c>
      <c r="I16" s="96">
        <f t="shared" si="3"/>
        <v>19.72927151665543</v>
      </c>
      <c r="J16" s="96">
        <f t="shared" si="4"/>
        <v>19.728293046806797</v>
      </c>
      <c r="K16" s="102">
        <f>((H16-'Calibration R. intestinalis '!$D$45)/('Calibration R. intestinalis '!$D$44))+$B$63</f>
        <v>9.7159304188917304</v>
      </c>
      <c r="L16" s="102">
        <f>((I16-'Calibration R. intestinalis '!$D$45)/('Calibration R. intestinalis '!$D$44))+$B$63</f>
        <v>9.5722239217707372</v>
      </c>
      <c r="M16" s="102">
        <f>((J16-'Calibration R. intestinalis '!$D$45)/('Calibration R. intestinalis '!$D$44))+$B$63</f>
        <v>9.5724885375720827</v>
      </c>
      <c r="N16" s="103">
        <f t="shared" si="5"/>
        <v>9.6202142927448495</v>
      </c>
      <c r="O16" s="103">
        <f t="shared" si="6"/>
        <v>8.2892702385702816E-2</v>
      </c>
      <c r="P16" s="97">
        <f>(AVERAGE(POWER(10,K16),POWER(10,L16),POWER(10,M16)))*(Calculation!$I16/Calculation!$K15)</f>
        <v>4525265299.5685539</v>
      </c>
      <c r="Q16" s="104">
        <f>(STDEV(POWER(10,K16),POWER(10,L16),POWER(10,M16)))*(Calculation!$I16/Calculation!$K15)</f>
        <v>905379996.54093051</v>
      </c>
      <c r="R16" s="103">
        <f t="shared" si="8"/>
        <v>9.6556440453669019</v>
      </c>
      <c r="S16" s="103">
        <f>O16*(Calculation!$I16/Calculation!$K15)</f>
        <v>8.8817021620283085E-2</v>
      </c>
      <c r="U16" s="105"/>
      <c r="V16" s="106"/>
      <c r="W16" s="107"/>
      <c r="X16" s="106"/>
      <c r="Y16" s="59"/>
      <c r="Z16" s="108"/>
      <c r="AA16" s="108"/>
      <c r="AB16" s="108"/>
      <c r="AC16" s="59"/>
      <c r="AD16" s="59"/>
      <c r="AE16" s="59"/>
    </row>
    <row r="17" spans="1:31">
      <c r="A17" s="39">
        <v>13</v>
      </c>
      <c r="B17" s="31">
        <v>80</v>
      </c>
      <c r="C17" s="31">
        <f t="shared" si="9"/>
        <v>1080</v>
      </c>
      <c r="D17" s="13">
        <f t="shared" si="0"/>
        <v>18</v>
      </c>
      <c r="E17" s="96">
        <v>19.594310760498047</v>
      </c>
      <c r="F17" s="96">
        <v>20.429143905639648</v>
      </c>
      <c r="G17" s="96">
        <v>20.453340530395508</v>
      </c>
      <c r="H17" s="96">
        <f t="shared" si="2"/>
        <v>19.374630555962071</v>
      </c>
      <c r="I17" s="96">
        <f t="shared" si="3"/>
        <v>20.209463701103672</v>
      </c>
      <c r="J17" s="96">
        <f t="shared" si="4"/>
        <v>20.233660325859532</v>
      </c>
      <c r="K17" s="102">
        <f>((H17-'Calibration R. intestinalis '!$D$45)/('Calibration R. intestinalis '!$D$44))+$B$63</f>
        <v>9.6681324488803888</v>
      </c>
      <c r="L17" s="102">
        <f>((I17-'Calibration R. intestinalis '!$D$45)/('Calibration R. intestinalis '!$D$44))+$B$63</f>
        <v>9.4423615250245874</v>
      </c>
      <c r="M17" s="102">
        <f>((J17-'Calibration R. intestinalis '!$D$45)/('Calibration R. intestinalis '!$D$44))+$B$63</f>
        <v>9.4358178290092631</v>
      </c>
      <c r="N17" s="103">
        <f t="shared" si="5"/>
        <v>9.5154372676380792</v>
      </c>
      <c r="O17" s="103">
        <f t="shared" si="6"/>
        <v>0.13227837604972117</v>
      </c>
      <c r="P17" s="97">
        <f>(AVERAGE(POWER(10,K17),POWER(10,L17),POWER(10,M17)))*(Calculation!$I17/Calculation!$K16)</f>
        <v>3626696573.6200118</v>
      </c>
      <c r="Q17" s="104">
        <f>(STDEV(POWER(10,K17),POWER(10,L17),POWER(10,M17)))*(Calculation!$I17/Calculation!$K16)</f>
        <v>1180981337.9865615</v>
      </c>
      <c r="R17" s="103">
        <f t="shared" si="8"/>
        <v>9.5595112219948675</v>
      </c>
      <c r="S17" s="103">
        <f>O17*(Calculation!$I17/Calculation!$K16)</f>
        <v>0.14173227615185574</v>
      </c>
      <c r="U17" s="105"/>
      <c r="V17" s="106"/>
      <c r="W17" s="107"/>
      <c r="X17" s="106"/>
      <c r="Y17" s="59"/>
      <c r="Z17" s="108"/>
      <c r="AA17" s="108"/>
      <c r="AB17" s="108"/>
      <c r="AC17" s="59"/>
      <c r="AD17" s="59"/>
      <c r="AE17" s="59"/>
    </row>
    <row r="18" spans="1:31">
      <c r="A18" s="39">
        <v>14</v>
      </c>
      <c r="B18" s="31">
        <v>360</v>
      </c>
      <c r="C18" s="31">
        <f t="shared" si="9"/>
        <v>1440</v>
      </c>
      <c r="D18" s="13">
        <f t="shared" si="0"/>
        <v>24</v>
      </c>
      <c r="E18" s="96">
        <v>20.150728225708008</v>
      </c>
      <c r="F18" s="96">
        <v>22.052888870239258</v>
      </c>
      <c r="G18" s="96">
        <v>21.574495315551758</v>
      </c>
      <c r="H18" s="96">
        <f t="shared" si="2"/>
        <v>19.931048021172032</v>
      </c>
      <c r="I18" s="96">
        <f t="shared" si="3"/>
        <v>21.833208665703282</v>
      </c>
      <c r="J18" s="96">
        <f t="shared" si="4"/>
        <v>21.354815111015782</v>
      </c>
      <c r="K18" s="102">
        <f>((H18-'Calibration R. intestinalis '!$D$45)/('Calibration R. intestinalis '!$D$44))+$B$63</f>
        <v>9.5176558106431166</v>
      </c>
      <c r="L18" s="102">
        <f>((I18-'Calibration R. intestinalis '!$D$45)/('Calibration R. intestinalis '!$D$44))+$B$63</f>
        <v>9.0032385662665444</v>
      </c>
      <c r="M18" s="102">
        <f>((J18-'Calibration R. intestinalis '!$D$45)/('Calibration R. intestinalis '!$D$44))+$B$63</f>
        <v>9.1326145444928759</v>
      </c>
      <c r="N18" s="103">
        <f t="shared" si="5"/>
        <v>9.2178363071341778</v>
      </c>
      <c r="O18" s="103">
        <f t="shared" si="6"/>
        <v>0.26758799851406728</v>
      </c>
      <c r="P18" s="97">
        <f>(AVERAGE(POWER(10,K18),POWER(10,L18),POWER(10,M18)))*(Calculation!$I18/Calculation!$K17)</f>
        <v>2020820230.979249</v>
      </c>
      <c r="Q18" s="104">
        <f>(STDEV(POWER(10,K18),POWER(10,L18),POWER(10,M18)))*(Calculation!$I18/Calculation!$K17)</f>
        <v>1319372954.2221193</v>
      </c>
      <c r="R18" s="103">
        <f t="shared" si="8"/>
        <v>9.3055276810728298</v>
      </c>
      <c r="S18" s="103">
        <f>O18*(Calculation!$I18/Calculation!$K17)</f>
        <v>0.28671244108759292</v>
      </c>
      <c r="U18" s="105"/>
      <c r="V18" s="106"/>
      <c r="W18" s="107"/>
      <c r="X18" s="106"/>
      <c r="Y18" s="59"/>
      <c r="Z18" s="108"/>
      <c r="AA18" s="108"/>
      <c r="AB18" s="108"/>
      <c r="AC18" s="59"/>
      <c r="AD18" s="59"/>
      <c r="AE18" s="59"/>
    </row>
    <row r="19" spans="1:31">
      <c r="A19" s="39">
        <v>15</v>
      </c>
      <c r="B19" s="31">
        <v>360</v>
      </c>
      <c r="C19" s="31">
        <f>C18+B19</f>
        <v>1800</v>
      </c>
      <c r="D19" s="13">
        <f t="shared" si="0"/>
        <v>30</v>
      </c>
      <c r="E19" s="96">
        <v>20.656583786010742</v>
      </c>
      <c r="F19" s="96">
        <v>21.794118881225586</v>
      </c>
      <c r="G19" s="96">
        <v>21.494701385498047</v>
      </c>
      <c r="H19" s="96">
        <f t="shared" si="2"/>
        <v>20.436903581474766</v>
      </c>
      <c r="I19" s="96">
        <f t="shared" si="3"/>
        <v>21.57443867668961</v>
      </c>
      <c r="J19" s="96">
        <f t="shared" si="4"/>
        <v>21.275021180962071</v>
      </c>
      <c r="K19" s="102">
        <f>((H19-'Calibration R. intestinalis '!$D$45)/('Calibration R. intestinalis '!$D$44))+$B$63</f>
        <v>9.3808530520897637</v>
      </c>
      <c r="L19" s="102">
        <f>((I19-'Calibration R. intestinalis '!$D$45)/('Calibration R. intestinalis '!$D$44))+$B$63</f>
        <v>9.0732199030471588</v>
      </c>
      <c r="M19" s="102">
        <f>((J19-'Calibration R. intestinalis '!$D$45)/('Calibration R. intestinalis '!$D$44))+$B$63</f>
        <v>9.154193885719506</v>
      </c>
      <c r="N19" s="103">
        <f t="shared" si="5"/>
        <v>9.2027556136188107</v>
      </c>
      <c r="O19" s="103">
        <f t="shared" si="6"/>
        <v>0.15946228287558126</v>
      </c>
      <c r="P19" s="97">
        <f>(AVERAGE(POWER(10,K19),POWER(10,L19),POWER(10,M19)))*(Calculation!$I19/Calculation!$K18)</f>
        <v>1790581040.4940426</v>
      </c>
      <c r="Q19" s="104">
        <f>(STDEV(POWER(10,K19),POWER(10,L19),POWER(10,M19)))*(Calculation!$I19/Calculation!$K18)</f>
        <v>691929328.173334</v>
      </c>
      <c r="R19" s="103">
        <f>LOG(P19)</f>
        <v>9.2529939816690057</v>
      </c>
      <c r="S19" s="103">
        <f>O19*(Calculation!$I19/Calculation!$K18)</f>
        <v>0.17085900951665683</v>
      </c>
      <c r="U19" s="105"/>
      <c r="V19" s="106"/>
      <c r="W19" s="107"/>
      <c r="X19" s="106"/>
      <c r="Y19" s="59"/>
      <c r="Z19" s="108"/>
      <c r="AA19" s="108"/>
      <c r="AB19" s="108"/>
      <c r="AC19" s="59"/>
      <c r="AD19" s="59"/>
      <c r="AE19" s="59"/>
    </row>
    <row r="20" spans="1:31">
      <c r="A20" s="39">
        <v>16</v>
      </c>
      <c r="B20" s="31">
        <v>1080</v>
      </c>
      <c r="C20" s="31">
        <f>C19+B20</f>
        <v>2880</v>
      </c>
      <c r="D20" s="13">
        <f t="shared" si="0"/>
        <v>48</v>
      </c>
      <c r="E20" s="96">
        <v>21.294912338256836</v>
      </c>
      <c r="F20" s="96">
        <v>22.752706527709961</v>
      </c>
      <c r="G20" s="96">
        <v>23.885536193847656</v>
      </c>
      <c r="H20" s="96">
        <f t="shared" si="2"/>
        <v>21.07523213372086</v>
      </c>
      <c r="I20" s="96">
        <f t="shared" si="3"/>
        <v>22.533026323173985</v>
      </c>
      <c r="J20" s="96">
        <f t="shared" si="4"/>
        <v>23.66585598931168</v>
      </c>
      <c r="K20" s="102">
        <f>((H20-'Calibration R. intestinalis '!$D$45)/('Calibration R. intestinalis '!$D$44))+$B$63</f>
        <v>9.2082245121200277</v>
      </c>
      <c r="L20" s="102">
        <f>((I20-'Calibration R. intestinalis '!$D$45)/('Calibration R. intestinalis '!$D$44))+$B$63</f>
        <v>8.813981012254402</v>
      </c>
      <c r="M20" s="102">
        <f>((J20-'Calibration R. intestinalis '!$D$45)/('Calibration R. intestinalis '!$D$44))+$B$63</f>
        <v>8.5076203918315194</v>
      </c>
      <c r="N20" s="103">
        <f t="shared" ref="N20" si="10">AVERAGE(K20:M20)</f>
        <v>8.843275305401983</v>
      </c>
      <c r="O20" s="103">
        <f t="shared" ref="O20" si="11">STDEV(K20:M20)</f>
        <v>0.35121951832090842</v>
      </c>
      <c r="P20" s="97">
        <f>(AVERAGE(POWER(10,K20),POWER(10,L20),POWER(10,M20)))*(Calculation!$I20/Calculation!$K19)</f>
        <v>925517446.35241127</v>
      </c>
      <c r="Q20" s="104">
        <f>(STDEV(POWER(10,K20),POWER(10,L20),POWER(10,M20)))*(Calculation!$I20/Calculation!$K19)</f>
        <v>720861655.863662</v>
      </c>
      <c r="R20" s="103">
        <f>LOG(P20)</f>
        <v>8.9663846097806221</v>
      </c>
      <c r="S20" s="103">
        <f>O20*(Calculation!$I20/Calculation!$K19)</f>
        <v>0.37671804638013745</v>
      </c>
    </row>
    <row r="21" spans="1:31">
      <c r="A21" s="10"/>
      <c r="B21" s="10"/>
      <c r="C21" s="10"/>
      <c r="D21" s="123"/>
    </row>
    <row r="22" spans="1:31">
      <c r="A22" s="100" t="s">
        <v>236</v>
      </c>
    </row>
    <row r="23" spans="1:31">
      <c r="A23" s="133" t="s">
        <v>4</v>
      </c>
      <c r="B23" s="133" t="s">
        <v>117</v>
      </c>
      <c r="C23" s="133" t="s">
        <v>117</v>
      </c>
      <c r="D23" s="133" t="s">
        <v>5</v>
      </c>
      <c r="E23" s="145" t="s">
        <v>221</v>
      </c>
      <c r="F23" s="145" t="s">
        <v>222</v>
      </c>
      <c r="G23" s="145" t="s">
        <v>223</v>
      </c>
      <c r="H23" s="147" t="s">
        <v>224</v>
      </c>
      <c r="I23" s="147" t="s">
        <v>225</v>
      </c>
      <c r="J23" s="147" t="s">
        <v>226</v>
      </c>
      <c r="K23" s="145" t="s">
        <v>227</v>
      </c>
      <c r="L23" s="145" t="s">
        <v>228</v>
      </c>
      <c r="M23" s="145" t="s">
        <v>229</v>
      </c>
      <c r="N23" s="145" t="s">
        <v>230</v>
      </c>
      <c r="O23" s="145" t="s">
        <v>231</v>
      </c>
      <c r="P23" s="147" t="s">
        <v>232</v>
      </c>
      <c r="Q23" s="147" t="s">
        <v>233</v>
      </c>
      <c r="R23" s="151" t="s">
        <v>234</v>
      </c>
      <c r="S23" s="147" t="s">
        <v>235</v>
      </c>
    </row>
    <row r="24" spans="1:31">
      <c r="A24" s="134"/>
      <c r="B24" s="134"/>
      <c r="C24" s="134"/>
      <c r="D24" s="134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52"/>
      <c r="S24" s="146"/>
    </row>
    <row r="25" spans="1:31">
      <c r="A25" s="31">
        <v>0</v>
      </c>
      <c r="B25" s="62">
        <v>10</v>
      </c>
      <c r="C25" s="101">
        <v>10</v>
      </c>
      <c r="D25" s="61">
        <f t="shared" ref="D25:D40" si="12">C25/60</f>
        <v>0.16666666666666666</v>
      </c>
      <c r="E25" s="96"/>
      <c r="F25" s="96"/>
      <c r="G25" s="96"/>
      <c r="H25" s="96">
        <f t="shared" ref="H25:H40" si="13">E25-$H$79+$H$112</f>
        <v>-3.8105255907231239E-2</v>
      </c>
      <c r="I25" s="96">
        <f t="shared" ref="I25:I40" si="14">F25-$H$79+$H$112</f>
        <v>-3.8105255907231239E-2</v>
      </c>
      <c r="J25" s="96">
        <f t="shared" ref="J25:J40" si="15">G25-$H$79+$H$112</f>
        <v>-3.8105255907231239E-2</v>
      </c>
      <c r="K25" s="102">
        <f>((H25-'[1]Calibration R. intestinalis '!$D$45)/('[1]Calibration R. intestinalis '!$D$44))+$B$63</f>
        <v>14.918081285148693</v>
      </c>
      <c r="L25" s="102">
        <f>((I25-'[1]Calibration R. intestinalis '!$D$45)/('[1]Calibration R. intestinalis '!$D$44))+$B$63</f>
        <v>14.918081285148693</v>
      </c>
      <c r="M25" s="102">
        <f>((J25-'[1]Calibration R. intestinalis '!$D$45)/('[1]Calibration R. intestinalis '!$D$44))+$B$63</f>
        <v>14.918081285148693</v>
      </c>
      <c r="N25" s="103">
        <f>AVERAGE(K25:M25)</f>
        <v>14.918081285148693</v>
      </c>
      <c r="O25" s="103">
        <f>STDEV(K25:M25)</f>
        <v>0</v>
      </c>
      <c r="P25" s="97">
        <f>(AVERAGE(POWER(10,K25),POWER(10,L25),POWER(10,M25)))*([1]Calculation!$I4/[1]Calculation!$K3)</f>
        <v>828097140814655.5</v>
      </c>
      <c r="Q25" s="104">
        <f>(STDEV(POWER(10,K25),POWER(10,L25),POWER(10,M25)))*([1]Calculation!$I4/[1]Calculation!$K3)</f>
        <v>0</v>
      </c>
      <c r="R25" s="103">
        <f>LOG(P25)</f>
        <v>14.918081285148695</v>
      </c>
      <c r="S25" s="103">
        <f>O25*([1]Calculation!$I4/[1]Calculation!$K3)</f>
        <v>0</v>
      </c>
    </row>
    <row r="26" spans="1:31">
      <c r="A26" s="31">
        <v>1</v>
      </c>
      <c r="B26" s="62">
        <v>110</v>
      </c>
      <c r="C26" s="101">
        <f>C25+B26</f>
        <v>120</v>
      </c>
      <c r="D26" s="61">
        <f t="shared" si="12"/>
        <v>2</v>
      </c>
      <c r="E26" s="109"/>
      <c r="F26" s="96"/>
      <c r="G26" s="96"/>
      <c r="H26" s="96">
        <f t="shared" si="13"/>
        <v>-3.8105255907231239E-2</v>
      </c>
      <c r="I26" s="96">
        <f t="shared" si="14"/>
        <v>-3.8105255907231239E-2</v>
      </c>
      <c r="J26" s="96">
        <f t="shared" si="15"/>
        <v>-3.8105255907231239E-2</v>
      </c>
      <c r="K26" s="102">
        <f>((H26-'[1]Calibration R. intestinalis '!$D$45)/('[1]Calibration R. intestinalis '!$D$44))+$B$63</f>
        <v>14.918081285148693</v>
      </c>
      <c r="L26" s="102">
        <f>((I26-'[1]Calibration R. intestinalis '!$D$45)/('[1]Calibration R. intestinalis '!$D$44))+$B$63</f>
        <v>14.918081285148693</v>
      </c>
      <c r="M26" s="102">
        <f>((J26-'[1]Calibration R. intestinalis '!$D$45)/('[1]Calibration R. intestinalis '!$D$44))+$B$63</f>
        <v>14.918081285148693</v>
      </c>
      <c r="N26" s="103">
        <f t="shared" ref="N26:N40" si="16">AVERAGE(K26:M26)</f>
        <v>14.918081285148693</v>
      </c>
      <c r="O26" s="103">
        <f t="shared" ref="O26:O40" si="17">STDEV(K26:M26)</f>
        <v>0</v>
      </c>
      <c r="P26" s="97">
        <f>(AVERAGE(POWER(10,K26),POWER(10,L26),POWER(10,M26)))*([1]Calculation!$I5/[1]Calculation!$K4)</f>
        <v>828656288107575.5</v>
      </c>
      <c r="Q26" s="104">
        <f>(STDEV(POWER(10,K26),POWER(10,L26),POWER(10,M26)))*([1]Calculation!$I5/[1]Calculation!$K4)</f>
        <v>0</v>
      </c>
      <c r="R26" s="103">
        <f>LOG(P26)</f>
        <v>14.918374430270795</v>
      </c>
      <c r="S26" s="103">
        <f>O26*([1]Calculation!$I5/[1]Calculation!$K4)</f>
        <v>0</v>
      </c>
    </row>
    <row r="27" spans="1:31">
      <c r="A27" s="31">
        <v>2</v>
      </c>
      <c r="B27" s="62">
        <v>80</v>
      </c>
      <c r="C27" s="101">
        <f t="shared" ref="C27" si="18">C26+B27</f>
        <v>200</v>
      </c>
      <c r="D27" s="61">
        <f t="shared" si="12"/>
        <v>3.3333333333333335</v>
      </c>
      <c r="E27" s="96"/>
      <c r="F27" s="96"/>
      <c r="G27" s="96"/>
      <c r="H27" s="96">
        <f t="shared" si="13"/>
        <v>-3.8105255907231239E-2</v>
      </c>
      <c r="I27" s="96">
        <f t="shared" si="14"/>
        <v>-3.8105255907231239E-2</v>
      </c>
      <c r="J27" s="96">
        <f t="shared" si="15"/>
        <v>-3.8105255907231239E-2</v>
      </c>
      <c r="K27" s="102">
        <f>((H27-'[1]Calibration R. intestinalis '!$D$45)/('[1]Calibration R. intestinalis '!$D$44))+$B$63</f>
        <v>14.918081285148693</v>
      </c>
      <c r="L27" s="102">
        <f>((I27-'[1]Calibration R. intestinalis '!$D$45)/('[1]Calibration R. intestinalis '!$D$44))+$B$63</f>
        <v>14.918081285148693</v>
      </c>
      <c r="M27" s="102">
        <f>((J27-'[1]Calibration R. intestinalis '!$D$45)/('[1]Calibration R. intestinalis '!$D$44))+$B$63</f>
        <v>14.918081285148693</v>
      </c>
      <c r="N27" s="103">
        <f t="shared" si="16"/>
        <v>14.918081285148693</v>
      </c>
      <c r="O27" s="103">
        <f t="shared" si="17"/>
        <v>0</v>
      </c>
      <c r="P27" s="97">
        <f>(AVERAGE(POWER(10,K27),POWER(10,L27),POWER(10,M27)))*([1]Calculation!$I6/[1]Calculation!$K5)</f>
        <v>829807999418357.5</v>
      </c>
      <c r="Q27" s="104">
        <f>(STDEV(POWER(10,K27),POWER(10,L27),POWER(10,M27)))*([1]Calculation!$I6/[1]Calculation!$K5)</f>
        <v>0</v>
      </c>
      <c r="R27" s="103">
        <f t="shared" ref="R27:R39" si="19">LOG(P27)</f>
        <v>14.91897761714818</v>
      </c>
      <c r="S27" s="103">
        <f>O27*([1]Calculation!$I6/[1]Calculation!$K5)</f>
        <v>0</v>
      </c>
    </row>
    <row r="28" spans="1:31">
      <c r="A28" s="31">
        <v>3</v>
      </c>
      <c r="B28" s="62">
        <v>80</v>
      </c>
      <c r="C28" s="101">
        <f>C27+B28</f>
        <v>280</v>
      </c>
      <c r="D28" s="61">
        <f t="shared" si="12"/>
        <v>4.666666666666667</v>
      </c>
      <c r="E28" s="96"/>
      <c r="F28" s="96"/>
      <c r="G28" s="96"/>
      <c r="H28" s="96">
        <f t="shared" si="13"/>
        <v>-3.8105255907231239E-2</v>
      </c>
      <c r="I28" s="96">
        <f t="shared" si="14"/>
        <v>-3.8105255907231239E-2</v>
      </c>
      <c r="J28" s="96">
        <f t="shared" si="15"/>
        <v>-3.8105255907231239E-2</v>
      </c>
      <c r="K28" s="102">
        <f>((H28-'[1]Calibration R. intestinalis '!$D$45)/('[1]Calibration R. intestinalis '!$D$44))+$B$63</f>
        <v>14.918081285148693</v>
      </c>
      <c r="L28" s="102">
        <f>((I28-'[1]Calibration R. intestinalis '!$D$45)/('[1]Calibration R. intestinalis '!$D$44))+$B$63</f>
        <v>14.918081285148693</v>
      </c>
      <c r="M28" s="102">
        <f>((J28-'[1]Calibration R. intestinalis '!$D$45)/('[1]Calibration R. intestinalis '!$D$44))+$B$63</f>
        <v>14.918081285148693</v>
      </c>
      <c r="N28" s="103">
        <f t="shared" si="16"/>
        <v>14.918081285148693</v>
      </c>
      <c r="O28" s="103">
        <f t="shared" si="17"/>
        <v>0</v>
      </c>
      <c r="P28" s="97">
        <f>(AVERAGE(POWER(10,K28),POWER(10,L28),POWER(10,M28)))*([1]Calculation!$I7/[1]Calculation!$K6)</f>
        <v>830998541741769.75</v>
      </c>
      <c r="Q28" s="104">
        <f>(STDEV(POWER(10,K28),POWER(10,L28),POWER(10,M28)))*([1]Calculation!$I7/[1]Calculation!$K6)</f>
        <v>0</v>
      </c>
      <c r="R28" s="103">
        <f t="shared" si="19"/>
        <v>14.919600261673331</v>
      </c>
      <c r="S28" s="103">
        <f>O28*([1]Calculation!$I7/[1]Calculation!$K6)</f>
        <v>0</v>
      </c>
    </row>
    <row r="29" spans="1:31">
      <c r="A29" s="31">
        <v>4</v>
      </c>
      <c r="B29" s="62">
        <v>80</v>
      </c>
      <c r="C29" s="101">
        <f t="shared" ref="C29:C39" si="20">C28+B29</f>
        <v>360</v>
      </c>
      <c r="D29" s="61">
        <f t="shared" si="12"/>
        <v>6</v>
      </c>
      <c r="E29" s="96"/>
      <c r="F29" s="96"/>
      <c r="G29" s="96"/>
      <c r="H29" s="96">
        <f t="shared" si="13"/>
        <v>-3.8105255907231239E-2</v>
      </c>
      <c r="I29" s="96">
        <f t="shared" si="14"/>
        <v>-3.8105255907231239E-2</v>
      </c>
      <c r="J29" s="96">
        <f t="shared" si="15"/>
        <v>-3.8105255907231239E-2</v>
      </c>
      <c r="K29" s="102">
        <f>((H29-'[1]Calibration R. intestinalis '!$D$45)/('[1]Calibration R. intestinalis '!$D$44))+$B$63</f>
        <v>14.918081285148693</v>
      </c>
      <c r="L29" s="102">
        <f>((I29-'[1]Calibration R. intestinalis '!$D$45)/('[1]Calibration R. intestinalis '!$D$44))+$B$63</f>
        <v>14.918081285148693</v>
      </c>
      <c r="M29" s="102">
        <f>((J29-'[1]Calibration R. intestinalis '!$D$45)/('[1]Calibration R. intestinalis '!$D$44))+$B$63</f>
        <v>14.918081285148693</v>
      </c>
      <c r="N29" s="103">
        <f t="shared" si="16"/>
        <v>14.918081285148693</v>
      </c>
      <c r="O29" s="103">
        <f t="shared" si="17"/>
        <v>0</v>
      </c>
      <c r="P29" s="97">
        <f>(AVERAGE(POWER(10,K29),POWER(10,L29),POWER(10,M29)))*([1]Calculation!$I8/[1]Calculation!$K7)</f>
        <v>833460759643226.88</v>
      </c>
      <c r="Q29" s="104">
        <f>(STDEV(POWER(10,K29),POWER(10,L29),POWER(10,M29)))*([1]Calculation!$I8/[1]Calculation!$K7)</f>
        <v>0</v>
      </c>
      <c r="R29" s="103">
        <f t="shared" si="19"/>
        <v>14.920885157527451</v>
      </c>
      <c r="S29" s="103">
        <f>O29*([1]Calculation!$I8/[1]Calculation!$K7)</f>
        <v>0</v>
      </c>
    </row>
    <row r="30" spans="1:31">
      <c r="A30" s="31">
        <v>5</v>
      </c>
      <c r="B30" s="62">
        <v>80</v>
      </c>
      <c r="C30" s="101">
        <f t="shared" si="20"/>
        <v>440</v>
      </c>
      <c r="D30" s="61">
        <f t="shared" si="12"/>
        <v>7.333333333333333</v>
      </c>
      <c r="E30" s="96"/>
      <c r="F30" s="96"/>
      <c r="G30" s="96"/>
      <c r="H30" s="96">
        <f t="shared" si="13"/>
        <v>-3.8105255907231239E-2</v>
      </c>
      <c r="I30" s="96">
        <f t="shared" si="14"/>
        <v>-3.8105255907231239E-2</v>
      </c>
      <c r="J30" s="96">
        <f t="shared" si="15"/>
        <v>-3.8105255907231239E-2</v>
      </c>
      <c r="K30" s="102">
        <f>((H30-'[1]Calibration R. intestinalis '!$D$45)/('[1]Calibration R. intestinalis '!$D$44))+$B$63</f>
        <v>14.918081285148693</v>
      </c>
      <c r="L30" s="102">
        <f>((I30-'[1]Calibration R. intestinalis '!$D$45)/('[1]Calibration R. intestinalis '!$D$44))+$B$63</f>
        <v>14.918081285148693</v>
      </c>
      <c r="M30" s="102">
        <f>((J30-'[1]Calibration R. intestinalis '!$D$45)/('[1]Calibration R. intestinalis '!$D$44))+$B$63</f>
        <v>14.918081285148693</v>
      </c>
      <c r="N30" s="103">
        <f t="shared" si="16"/>
        <v>14.918081285148693</v>
      </c>
      <c r="O30" s="103">
        <f t="shared" si="17"/>
        <v>0</v>
      </c>
      <c r="P30" s="97">
        <f>(AVERAGE(POWER(10,K30),POWER(10,L30),POWER(10,M30)))*([1]Calculation!$I9/[1]Calculation!$K8)</f>
        <v>836649209374073.12</v>
      </c>
      <c r="Q30" s="104">
        <f>(STDEV(POWER(10,K30),POWER(10,L30),POWER(10,M30)))*([1]Calculation!$I9/[1]Calculation!$K8)</f>
        <v>0</v>
      </c>
      <c r="R30" s="103">
        <f t="shared" si="19"/>
        <v>14.922543404986547</v>
      </c>
      <c r="S30" s="103">
        <f>O30*([1]Calculation!$I9/[1]Calculation!$K8)</f>
        <v>0</v>
      </c>
    </row>
    <row r="31" spans="1:31">
      <c r="A31" s="31">
        <v>6</v>
      </c>
      <c r="B31" s="62">
        <v>180</v>
      </c>
      <c r="C31" s="101">
        <f t="shared" si="20"/>
        <v>620</v>
      </c>
      <c r="D31" s="61">
        <f t="shared" si="12"/>
        <v>10.333333333333334</v>
      </c>
      <c r="E31" s="96"/>
      <c r="F31" s="96"/>
      <c r="G31" s="96"/>
      <c r="H31" s="96">
        <f t="shared" si="13"/>
        <v>-3.8105255907231239E-2</v>
      </c>
      <c r="I31" s="96">
        <f t="shared" si="14"/>
        <v>-3.8105255907231239E-2</v>
      </c>
      <c r="J31" s="96">
        <f t="shared" si="15"/>
        <v>-3.8105255907231239E-2</v>
      </c>
      <c r="K31" s="102">
        <f>((H31-'[1]Calibration R. intestinalis '!$D$45)/('[1]Calibration R. intestinalis '!$D$44))+$B$63</f>
        <v>14.918081285148693</v>
      </c>
      <c r="L31" s="102">
        <f>((I31-'[1]Calibration R. intestinalis '!$D$45)/('[1]Calibration R. intestinalis '!$D$44))+$B$63</f>
        <v>14.918081285148693</v>
      </c>
      <c r="M31" s="102">
        <f>((J31-'[1]Calibration R. intestinalis '!$D$45)/('[1]Calibration R. intestinalis '!$D$44))+$B$63</f>
        <v>14.918081285148693</v>
      </c>
      <c r="N31" s="103">
        <f t="shared" si="16"/>
        <v>14.918081285148693</v>
      </c>
      <c r="O31" s="103">
        <f t="shared" si="17"/>
        <v>0</v>
      </c>
      <c r="P31" s="97">
        <f>(AVERAGE(POWER(10,K31),POWER(10,L31),POWER(10,M31)))*([1]Calculation!$I10/[1]Calculation!$K9)</f>
        <v>846593534366633.62</v>
      </c>
      <c r="Q31" s="104">
        <f>(STDEV(POWER(10,K31),POWER(10,L31),POWER(10,M31)))*([1]Calculation!$I10/[1]Calculation!$K9)</f>
        <v>0</v>
      </c>
      <c r="R31" s="103">
        <f t="shared" si="19"/>
        <v>14.927674947341847</v>
      </c>
      <c r="S31" s="103">
        <f>O31*([1]Calculation!$I10/[1]Calculation!$K9)</f>
        <v>0</v>
      </c>
    </row>
    <row r="32" spans="1:31">
      <c r="A32" s="31">
        <v>7</v>
      </c>
      <c r="B32" s="62">
        <v>80</v>
      </c>
      <c r="C32" s="101">
        <f t="shared" si="20"/>
        <v>700</v>
      </c>
      <c r="D32" s="61">
        <f t="shared" si="12"/>
        <v>11.666666666666666</v>
      </c>
      <c r="E32" s="96"/>
      <c r="F32" s="96"/>
      <c r="G32" s="96"/>
      <c r="H32" s="96">
        <f t="shared" si="13"/>
        <v>-3.8105255907231239E-2</v>
      </c>
      <c r="I32" s="96">
        <f t="shared" si="14"/>
        <v>-3.8105255907231239E-2</v>
      </c>
      <c r="J32" s="96">
        <f t="shared" si="15"/>
        <v>-3.8105255907231239E-2</v>
      </c>
      <c r="K32" s="102">
        <f>((H32-'[1]Calibration R. intestinalis '!$D$45)/('[1]Calibration R. intestinalis '!$D$44))+$B$63</f>
        <v>14.918081285148693</v>
      </c>
      <c r="L32" s="102">
        <f>((I32-'[1]Calibration R. intestinalis '!$D$45)/('[1]Calibration R. intestinalis '!$D$44))+$B$63</f>
        <v>14.918081285148693</v>
      </c>
      <c r="M32" s="102">
        <f>((J32-'[1]Calibration R. intestinalis '!$D$45)/('[1]Calibration R. intestinalis '!$D$44))+$B$63</f>
        <v>14.918081285148693</v>
      </c>
      <c r="N32" s="103">
        <f t="shared" si="16"/>
        <v>14.918081285148693</v>
      </c>
      <c r="O32" s="103">
        <f t="shared" si="17"/>
        <v>0</v>
      </c>
      <c r="P32" s="97">
        <f>(AVERAGE(POWER(10,K32),POWER(10,L32),POWER(10,M32)))*([1]Calculation!$I11/[1]Calculation!$K10)</f>
        <v>852081985156692.75</v>
      </c>
      <c r="Q32" s="104">
        <f>(STDEV(POWER(10,K32),POWER(10,L32),POWER(10,M32)))*([1]Calculation!$I11/[1]Calculation!$K10)</f>
        <v>0</v>
      </c>
      <c r="R32" s="103">
        <f t="shared" si="19"/>
        <v>14.930481383485185</v>
      </c>
      <c r="S32" s="103">
        <f>O32*([1]Calculation!$I11/[1]Calculation!$K10)</f>
        <v>0</v>
      </c>
    </row>
    <row r="33" spans="1:19">
      <c r="A33" s="31">
        <v>8</v>
      </c>
      <c r="B33" s="62">
        <v>80</v>
      </c>
      <c r="C33" s="101">
        <f t="shared" si="20"/>
        <v>780</v>
      </c>
      <c r="D33" s="61">
        <f t="shared" si="12"/>
        <v>13</v>
      </c>
      <c r="E33" s="96"/>
      <c r="F33" s="96"/>
      <c r="G33" s="96"/>
      <c r="H33" s="96">
        <f t="shared" si="13"/>
        <v>-3.8105255907231239E-2</v>
      </c>
      <c r="I33" s="96">
        <f t="shared" si="14"/>
        <v>-3.8105255907231239E-2</v>
      </c>
      <c r="J33" s="96">
        <f t="shared" si="15"/>
        <v>-3.8105255907231239E-2</v>
      </c>
      <c r="K33" s="102">
        <f>((H33-'[1]Calibration R. intestinalis '!$D$45)/('[1]Calibration R. intestinalis '!$D$44))+$B$63</f>
        <v>14.918081285148693</v>
      </c>
      <c r="L33" s="102">
        <f>((I33-'[1]Calibration R. intestinalis '!$D$45)/('[1]Calibration R. intestinalis '!$D$44))+$B$63</f>
        <v>14.918081285148693</v>
      </c>
      <c r="M33" s="102">
        <f>((J33-'[1]Calibration R. intestinalis '!$D$45)/('[1]Calibration R. intestinalis '!$D$44))+$B$63</f>
        <v>14.918081285148693</v>
      </c>
      <c r="N33" s="103">
        <f t="shared" si="16"/>
        <v>14.918081285148693</v>
      </c>
      <c r="O33" s="103">
        <f t="shared" si="17"/>
        <v>0</v>
      </c>
      <c r="P33" s="97">
        <f>(AVERAGE(POWER(10,K33),POWER(10,L33),POWER(10,M33)))*([1]Calculation!$I12/[1]Calculation!$K11)</f>
        <v>857069087076506.12</v>
      </c>
      <c r="Q33" s="104">
        <f>(STDEV(POWER(10,K33),POWER(10,L33),POWER(10,M33)))*([1]Calculation!$I12/[1]Calculation!$K11)</f>
        <v>0</v>
      </c>
      <c r="R33" s="103">
        <f t="shared" si="19"/>
        <v>14.933015831172639</v>
      </c>
      <c r="S33" s="103">
        <f>O33*([1]Calculation!$I12/[1]Calculation!$K11)</f>
        <v>0</v>
      </c>
    </row>
    <row r="34" spans="1:19">
      <c r="A34" s="31">
        <v>9</v>
      </c>
      <c r="B34" s="62">
        <v>80</v>
      </c>
      <c r="C34" s="101">
        <f t="shared" si="20"/>
        <v>860</v>
      </c>
      <c r="D34" s="61">
        <f t="shared" si="12"/>
        <v>14.333333333333334</v>
      </c>
      <c r="E34" s="96"/>
      <c r="F34" s="96"/>
      <c r="G34" s="96"/>
      <c r="H34" s="96">
        <f t="shared" si="13"/>
        <v>-3.8105255907231239E-2</v>
      </c>
      <c r="I34" s="96">
        <f t="shared" si="14"/>
        <v>-3.8105255907231239E-2</v>
      </c>
      <c r="J34" s="96">
        <f t="shared" si="15"/>
        <v>-3.8105255907231239E-2</v>
      </c>
      <c r="K34" s="102">
        <f>((H34-'[1]Calibration R. intestinalis '!$D$45)/('[1]Calibration R. intestinalis '!$D$44))+$B$63</f>
        <v>14.918081285148693</v>
      </c>
      <c r="L34" s="102">
        <f>((I34-'[1]Calibration R. intestinalis '!$D$45)/('[1]Calibration R. intestinalis '!$D$44))+$B$63</f>
        <v>14.918081285148693</v>
      </c>
      <c r="M34" s="102">
        <f>((J34-'[1]Calibration R. intestinalis '!$D$45)/('[1]Calibration R. intestinalis '!$D$44))+$B$63</f>
        <v>14.918081285148693</v>
      </c>
      <c r="N34" s="103">
        <f t="shared" si="16"/>
        <v>14.918081285148693</v>
      </c>
      <c r="O34" s="103">
        <f t="shared" si="17"/>
        <v>0</v>
      </c>
      <c r="P34" s="97">
        <f>(AVERAGE(POWER(10,K34),POWER(10,L34),POWER(10,M34)))*([1]Calculation!$I13/[1]Calculation!$K12)</f>
        <v>861521394022358</v>
      </c>
      <c r="Q34" s="104">
        <f>(STDEV(POWER(10,K34),POWER(10,L34),POWER(10,M34)))*([1]Calculation!$I13/[1]Calculation!$K12)</f>
        <v>0</v>
      </c>
      <c r="R34" s="103">
        <f t="shared" si="19"/>
        <v>14.935266066683049</v>
      </c>
      <c r="S34" s="103">
        <f>O34*([1]Calculation!$I13/[1]Calculation!$K12)</f>
        <v>0</v>
      </c>
    </row>
    <row r="35" spans="1:19">
      <c r="A35" s="31">
        <v>10</v>
      </c>
      <c r="B35" s="62">
        <v>80</v>
      </c>
      <c r="C35" s="101">
        <f t="shared" si="20"/>
        <v>940</v>
      </c>
      <c r="D35" s="61">
        <f t="shared" si="12"/>
        <v>15.666666666666666</v>
      </c>
      <c r="E35" s="96"/>
      <c r="F35" s="96"/>
      <c r="G35" s="96"/>
      <c r="H35" s="96">
        <f t="shared" si="13"/>
        <v>-3.8105255907231239E-2</v>
      </c>
      <c r="I35" s="96">
        <f t="shared" si="14"/>
        <v>-3.8105255907231239E-2</v>
      </c>
      <c r="J35" s="96">
        <f t="shared" si="15"/>
        <v>-3.8105255907231239E-2</v>
      </c>
      <c r="K35" s="102">
        <f>((H35-'[1]Calibration R. intestinalis '!$D$45)/('[1]Calibration R. intestinalis '!$D$44))+$B$63</f>
        <v>14.918081285148693</v>
      </c>
      <c r="L35" s="102">
        <f>((I35-'[1]Calibration R. intestinalis '!$D$45)/('[1]Calibration R. intestinalis '!$D$44))+$B$63</f>
        <v>14.918081285148693</v>
      </c>
      <c r="M35" s="102">
        <f>((J35-'[1]Calibration R. intestinalis '!$D$45)/('[1]Calibration R. intestinalis '!$D$44))+$B$63</f>
        <v>14.918081285148693</v>
      </c>
      <c r="N35" s="103">
        <f t="shared" si="16"/>
        <v>14.918081285148693</v>
      </c>
      <c r="O35" s="103">
        <f t="shared" si="17"/>
        <v>0</v>
      </c>
      <c r="P35" s="97">
        <f>(AVERAGE(POWER(10,K35),POWER(10,L35),POWER(10,M35)))*([1]Calculation!$I14/[1]Calculation!$K13)</f>
        <v>869296857867325.12</v>
      </c>
      <c r="Q35" s="104">
        <f>(STDEV(POWER(10,K35),POWER(10,L35),POWER(10,M35)))*([1]Calculation!$I14/[1]Calculation!$K13)</f>
        <v>0</v>
      </c>
      <c r="R35" s="103">
        <f t="shared" si="19"/>
        <v>14.939168109841043</v>
      </c>
      <c r="S35" s="103">
        <f>O35*([1]Calculation!$I14/[1]Calculation!$K13)</f>
        <v>0</v>
      </c>
    </row>
    <row r="36" spans="1:19">
      <c r="A36" s="31">
        <v>11</v>
      </c>
      <c r="B36" s="62">
        <v>80</v>
      </c>
      <c r="C36" s="101">
        <f t="shared" si="20"/>
        <v>1020</v>
      </c>
      <c r="D36" s="61">
        <f t="shared" si="12"/>
        <v>17</v>
      </c>
      <c r="E36" s="96"/>
      <c r="F36" s="96"/>
      <c r="G36" s="96"/>
      <c r="H36" s="96">
        <f t="shared" si="13"/>
        <v>-3.8105255907231239E-2</v>
      </c>
      <c r="I36" s="96">
        <f t="shared" si="14"/>
        <v>-3.8105255907231239E-2</v>
      </c>
      <c r="J36" s="96">
        <f t="shared" si="15"/>
        <v>-3.8105255907231239E-2</v>
      </c>
      <c r="K36" s="102">
        <f>((H36-'[1]Calibration R. intestinalis '!$D$45)/('[1]Calibration R. intestinalis '!$D$44))+$B$63</f>
        <v>14.918081285148693</v>
      </c>
      <c r="L36" s="102">
        <f>((I36-'[1]Calibration R. intestinalis '!$D$45)/('[1]Calibration R. intestinalis '!$D$44))+$B$63</f>
        <v>14.918081285148693</v>
      </c>
      <c r="M36" s="102">
        <f>((J36-'[1]Calibration R. intestinalis '!$D$45)/('[1]Calibration R. intestinalis '!$D$44))+$B$63</f>
        <v>14.918081285148693</v>
      </c>
      <c r="N36" s="103">
        <f t="shared" si="16"/>
        <v>14.918081285148693</v>
      </c>
      <c r="O36" s="103">
        <f t="shared" si="17"/>
        <v>0</v>
      </c>
      <c r="P36" s="97">
        <f>(AVERAGE(POWER(10,K36),POWER(10,L36),POWER(10,M36)))*([1]Calculation!$I15/[1]Calculation!$K14)</f>
        <v>870923231782886.12</v>
      </c>
      <c r="Q36" s="104">
        <f>(STDEV(POWER(10,K36),POWER(10,L36),POWER(10,M36)))*([1]Calculation!$I15/[1]Calculation!$K14)</f>
        <v>0</v>
      </c>
      <c r="R36" s="103">
        <f t="shared" si="19"/>
        <v>14.93997987546412</v>
      </c>
      <c r="S36" s="103">
        <f>O36*([1]Calculation!$I15/[1]Calculation!$K14)</f>
        <v>0</v>
      </c>
    </row>
    <row r="37" spans="1:19">
      <c r="A37" s="31">
        <v>12</v>
      </c>
      <c r="B37" s="62">
        <v>80</v>
      </c>
      <c r="C37" s="101">
        <f t="shared" si="20"/>
        <v>1100</v>
      </c>
      <c r="D37" s="61">
        <f t="shared" si="12"/>
        <v>18.333333333333332</v>
      </c>
      <c r="E37" s="96"/>
      <c r="F37" s="96"/>
      <c r="G37" s="96"/>
      <c r="H37" s="96">
        <f t="shared" si="13"/>
        <v>-3.8105255907231239E-2</v>
      </c>
      <c r="I37" s="96">
        <f t="shared" si="14"/>
        <v>-3.8105255907231239E-2</v>
      </c>
      <c r="J37" s="96">
        <f t="shared" si="15"/>
        <v>-3.8105255907231239E-2</v>
      </c>
      <c r="K37" s="102">
        <f>((H37-'[1]Calibration R. intestinalis '!$D$45)/('[1]Calibration R. intestinalis '!$D$44))+$B$63</f>
        <v>14.918081285148693</v>
      </c>
      <c r="L37" s="102">
        <f>((I37-'[1]Calibration R. intestinalis '!$D$45)/('[1]Calibration R. intestinalis '!$D$44))+$B$63</f>
        <v>14.918081285148693</v>
      </c>
      <c r="M37" s="102">
        <f>((J37-'[1]Calibration R. intestinalis '!$D$45)/('[1]Calibration R. intestinalis '!$D$44))+$B$63</f>
        <v>14.918081285148693</v>
      </c>
      <c r="N37" s="103">
        <f t="shared" si="16"/>
        <v>14.918081285148693</v>
      </c>
      <c r="O37" s="103">
        <f t="shared" si="17"/>
        <v>0</v>
      </c>
      <c r="P37" s="97">
        <f>(AVERAGE(POWER(10,K37),POWER(10,L37),POWER(10,M37)))*([1]Calculation!$I16/[1]Calculation!$K15)</f>
        <v>871778755586209.25</v>
      </c>
      <c r="Q37" s="104">
        <f>(STDEV(POWER(10,K37),POWER(10,L37),POWER(10,M37)))*([1]Calculation!$I16/[1]Calculation!$K15)</f>
        <v>0</v>
      </c>
      <c r="R37" s="103">
        <f t="shared" si="19"/>
        <v>14.940406281469807</v>
      </c>
      <c r="S37" s="103">
        <f>O37*([1]Calculation!$I16/[1]Calculation!$K15)</f>
        <v>0</v>
      </c>
    </row>
    <row r="38" spans="1:19">
      <c r="A38" s="31">
        <v>13</v>
      </c>
      <c r="B38" s="62">
        <v>340</v>
      </c>
      <c r="C38" s="101">
        <f t="shared" si="20"/>
        <v>1440</v>
      </c>
      <c r="D38" s="61">
        <f t="shared" si="12"/>
        <v>24</v>
      </c>
      <c r="E38" s="96"/>
      <c r="F38" s="96"/>
      <c r="G38" s="96"/>
      <c r="H38" s="96">
        <f t="shared" si="13"/>
        <v>-3.8105255907231239E-2</v>
      </c>
      <c r="I38" s="96">
        <f t="shared" si="14"/>
        <v>-3.8105255907231239E-2</v>
      </c>
      <c r="J38" s="96">
        <f t="shared" si="15"/>
        <v>-3.8105255907231239E-2</v>
      </c>
      <c r="K38" s="102">
        <f>((H38-'[1]Calibration R. intestinalis '!$D$45)/('[1]Calibration R. intestinalis '!$D$44))+$B$63</f>
        <v>14.918081285148693</v>
      </c>
      <c r="L38" s="102">
        <f>((I38-'[1]Calibration R. intestinalis '!$D$45)/('[1]Calibration R. intestinalis '!$D$44))+$B$63</f>
        <v>14.918081285148693</v>
      </c>
      <c r="M38" s="102">
        <f>((J38-'[1]Calibration R. intestinalis '!$D$45)/('[1]Calibration R. intestinalis '!$D$44))+$B$63</f>
        <v>14.918081285148693</v>
      </c>
      <c r="N38" s="103">
        <f t="shared" si="16"/>
        <v>14.918081285148693</v>
      </c>
      <c r="O38" s="103">
        <f t="shared" si="17"/>
        <v>0</v>
      </c>
      <c r="P38" s="97">
        <f>(AVERAGE(POWER(10,K38),POWER(10,L38),POWER(10,M38)))*([1]Calculation!$I17/[1]Calculation!$K16)</f>
        <v>872679353474211.38</v>
      </c>
      <c r="Q38" s="104">
        <f>(STDEV(POWER(10,K38),POWER(10,L38),POWER(10,M38)))*([1]Calculation!$I17/[1]Calculation!$K16)</f>
        <v>0</v>
      </c>
      <c r="R38" s="103">
        <f t="shared" si="19"/>
        <v>14.940854701212178</v>
      </c>
      <c r="S38" s="103">
        <f>O38*([1]Calculation!$I17/[1]Calculation!$K16)</f>
        <v>0</v>
      </c>
    </row>
    <row r="39" spans="1:19">
      <c r="A39" s="31">
        <v>14</v>
      </c>
      <c r="B39" s="62">
        <v>360</v>
      </c>
      <c r="C39" s="101">
        <f t="shared" si="20"/>
        <v>1800</v>
      </c>
      <c r="D39" s="61">
        <f t="shared" si="12"/>
        <v>30</v>
      </c>
      <c r="E39" s="96"/>
      <c r="F39" s="96"/>
      <c r="G39" s="96"/>
      <c r="H39" s="96">
        <f t="shared" si="13"/>
        <v>-3.8105255907231239E-2</v>
      </c>
      <c r="I39" s="96">
        <f t="shared" si="14"/>
        <v>-3.8105255907231239E-2</v>
      </c>
      <c r="J39" s="96">
        <f t="shared" si="15"/>
        <v>-3.8105255907231239E-2</v>
      </c>
      <c r="K39" s="102">
        <f>((H39-'[1]Calibration R. intestinalis '!$D$45)/('[1]Calibration R. intestinalis '!$D$44))+$B$63</f>
        <v>14.918081285148693</v>
      </c>
      <c r="L39" s="102">
        <f>((I39-'[1]Calibration R. intestinalis '!$D$45)/('[1]Calibration R. intestinalis '!$D$44))+$B$63</f>
        <v>14.918081285148693</v>
      </c>
      <c r="M39" s="102">
        <f>((J39-'[1]Calibration R. intestinalis '!$D$45)/('[1]Calibration R. intestinalis '!$D$44))+$B$63</f>
        <v>14.918081285148693</v>
      </c>
      <c r="N39" s="103">
        <f t="shared" si="16"/>
        <v>14.918081285148693</v>
      </c>
      <c r="O39" s="103">
        <f t="shared" si="17"/>
        <v>0</v>
      </c>
      <c r="P39" s="97">
        <f>(AVERAGE(POWER(10,K39),POWER(10,L39),POWER(10,M39)))*([1]Calculation!$I18/[1]Calculation!$K17)</f>
        <v>873636238730213.88</v>
      </c>
      <c r="Q39" s="104">
        <f>(STDEV(POWER(10,K39),POWER(10,L39),POWER(10,M39)))*([1]Calculation!$I18/[1]Calculation!$K17)</f>
        <v>0</v>
      </c>
      <c r="R39" s="103">
        <f t="shared" si="19"/>
        <v>14.941330640418061</v>
      </c>
      <c r="S39" s="103">
        <f>O39*([1]Calculation!$I18/[1]Calculation!$K17)</f>
        <v>0</v>
      </c>
    </row>
    <row r="40" spans="1:19">
      <c r="A40" s="31">
        <v>15</v>
      </c>
      <c r="B40" s="62">
        <v>1080</v>
      </c>
      <c r="C40" s="101">
        <f>C39+B40</f>
        <v>2880</v>
      </c>
      <c r="D40" s="61">
        <f t="shared" si="12"/>
        <v>48</v>
      </c>
      <c r="E40" s="96"/>
      <c r="F40" s="96"/>
      <c r="G40" s="96"/>
      <c r="H40" s="96">
        <f t="shared" si="13"/>
        <v>-3.8105255907231239E-2</v>
      </c>
      <c r="I40" s="96">
        <f t="shared" si="14"/>
        <v>-3.8105255907231239E-2</v>
      </c>
      <c r="J40" s="96">
        <f t="shared" si="15"/>
        <v>-3.8105255907231239E-2</v>
      </c>
      <c r="K40" s="102">
        <f>((H40-'[1]Calibration R. intestinalis '!$D$45)/('[1]Calibration R. intestinalis '!$D$44))+$B$63</f>
        <v>14.918081285148693</v>
      </c>
      <c r="L40" s="102">
        <f>((I40-'[1]Calibration R. intestinalis '!$D$45)/('[1]Calibration R. intestinalis '!$D$44))+$B$63</f>
        <v>14.918081285148693</v>
      </c>
      <c r="M40" s="102">
        <f>((J40-'[1]Calibration R. intestinalis '!$D$45)/('[1]Calibration R. intestinalis '!$D$44))+$B$63</f>
        <v>14.918081285148693</v>
      </c>
      <c r="N40" s="103">
        <f t="shared" si="16"/>
        <v>14.918081285148693</v>
      </c>
      <c r="O40" s="103">
        <f t="shared" si="17"/>
        <v>0</v>
      </c>
      <c r="P40" s="97">
        <f>(AVERAGE(POWER(10,K40),POWER(10,L40),POWER(10,M40)))*([1]Calculation!$I19/[1]Calculation!$K18)</f>
        <v>873636238730213.88</v>
      </c>
      <c r="Q40" s="104">
        <f>(STDEV(POWER(10,K40),POWER(10,L40),POWER(10,M40)))*([1]Calculation!$I19/[1]Calculation!$K18)</f>
        <v>0</v>
      </c>
      <c r="R40" s="103">
        <f>LOG(P40)</f>
        <v>14.941330640418061</v>
      </c>
      <c r="S40" s="103">
        <f>O40*([1]Calculation!$I19/[1]Calculation!$K18)</f>
        <v>0</v>
      </c>
    </row>
    <row r="42" spans="1:19">
      <c r="A42" s="100" t="s">
        <v>236</v>
      </c>
    </row>
    <row r="43" spans="1:19">
      <c r="A43" s="133" t="s">
        <v>4</v>
      </c>
      <c r="B43" s="133" t="s">
        <v>117</v>
      </c>
      <c r="C43" s="133" t="s">
        <v>117</v>
      </c>
      <c r="D43" s="133" t="s">
        <v>5</v>
      </c>
      <c r="E43" s="145" t="s">
        <v>221</v>
      </c>
      <c r="F43" s="145" t="s">
        <v>222</v>
      </c>
      <c r="G43" s="145" t="s">
        <v>223</v>
      </c>
      <c r="H43" s="147" t="s">
        <v>224</v>
      </c>
      <c r="I43" s="147" t="s">
        <v>225</v>
      </c>
      <c r="J43" s="147" t="s">
        <v>226</v>
      </c>
      <c r="K43" s="145" t="s">
        <v>227</v>
      </c>
      <c r="L43" s="145" t="s">
        <v>228</v>
      </c>
      <c r="M43" s="145" t="s">
        <v>229</v>
      </c>
      <c r="N43" s="145" t="s">
        <v>230</v>
      </c>
      <c r="O43" s="145" t="s">
        <v>231</v>
      </c>
      <c r="P43" s="147" t="s">
        <v>232</v>
      </c>
      <c r="Q43" s="147" t="s">
        <v>233</v>
      </c>
      <c r="R43" s="151" t="s">
        <v>234</v>
      </c>
      <c r="S43" s="147" t="s">
        <v>235</v>
      </c>
    </row>
    <row r="44" spans="1:19">
      <c r="A44" s="134"/>
      <c r="B44" s="134"/>
      <c r="C44" s="134"/>
      <c r="D44" s="134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52"/>
      <c r="S44" s="146"/>
    </row>
    <row r="45" spans="1:19">
      <c r="A45" s="31">
        <v>0</v>
      </c>
      <c r="B45" s="62">
        <v>10</v>
      </c>
      <c r="C45" s="101">
        <v>10</v>
      </c>
      <c r="D45" s="61">
        <f t="shared" ref="D45:D60" si="21">C45/60</f>
        <v>0.16666666666666666</v>
      </c>
      <c r="E45" s="96"/>
      <c r="F45" s="96"/>
      <c r="G45" s="96"/>
      <c r="H45" s="96">
        <f t="shared" ref="H45:H60" si="22">E45-$H$79+$H$112</f>
        <v>-3.8105255907231239E-2</v>
      </c>
      <c r="I45" s="96">
        <f t="shared" ref="I45:I60" si="23">F45-$H$79+$H$112</f>
        <v>-3.8105255907231239E-2</v>
      </c>
      <c r="J45" s="96">
        <f t="shared" ref="J45:J60" si="24">G45-$H$79+$H$112</f>
        <v>-3.8105255907231239E-2</v>
      </c>
      <c r="K45" s="102">
        <f>((H45-'[1]Calibration R. intestinalis '!$D$45)/('[1]Calibration R. intestinalis '!$D$44))+$B$63</f>
        <v>14.918081285148693</v>
      </c>
      <c r="L45" s="102">
        <f>((I45-'[1]Calibration R. intestinalis '!$D$45)/('[1]Calibration R. intestinalis '!$D$44))+$B$63</f>
        <v>14.918081285148693</v>
      </c>
      <c r="M45" s="102">
        <f>((J45-'[1]Calibration R. intestinalis '!$D$45)/('[1]Calibration R. intestinalis '!$D$44))+$B$63</f>
        <v>14.918081285148693</v>
      </c>
      <c r="N45" s="103">
        <f>AVERAGE(K45:M45)</f>
        <v>14.918081285148693</v>
      </c>
      <c r="O45" s="103">
        <f>STDEV(K45:M45)</f>
        <v>0</v>
      </c>
      <c r="P45" s="97">
        <f>(AVERAGE(POWER(10,K45),POWER(10,L45),POWER(10,M45)))*([1]Calculation!$I4/[1]Calculation!$K3)</f>
        <v>828097140814655.5</v>
      </c>
      <c r="Q45" s="104">
        <f>(STDEV(POWER(10,K45),POWER(10,L45),POWER(10,M45)))*([1]Calculation!$I4/[1]Calculation!$K3)</f>
        <v>0</v>
      </c>
      <c r="R45" s="103">
        <f>LOG(P45)</f>
        <v>14.918081285148695</v>
      </c>
      <c r="S45" s="103">
        <f>O45*([1]Calculation!$I4/[1]Calculation!$K3)</f>
        <v>0</v>
      </c>
    </row>
    <row r="46" spans="1:19">
      <c r="A46" s="31">
        <v>1</v>
      </c>
      <c r="B46" s="62">
        <v>110</v>
      </c>
      <c r="C46" s="101">
        <f>C45+B46</f>
        <v>120</v>
      </c>
      <c r="D46" s="61">
        <f t="shared" si="21"/>
        <v>2</v>
      </c>
      <c r="E46" s="109"/>
      <c r="F46" s="96"/>
      <c r="G46" s="96"/>
      <c r="H46" s="96">
        <f t="shared" si="22"/>
        <v>-3.8105255907231239E-2</v>
      </c>
      <c r="I46" s="96">
        <f t="shared" si="23"/>
        <v>-3.8105255907231239E-2</v>
      </c>
      <c r="J46" s="96">
        <f t="shared" si="24"/>
        <v>-3.8105255907231239E-2</v>
      </c>
      <c r="K46" s="102">
        <f>((H46-'[1]Calibration R. intestinalis '!$D$45)/('[1]Calibration R. intestinalis '!$D$44))+$B$63</f>
        <v>14.918081285148693</v>
      </c>
      <c r="L46" s="102">
        <f>((I46-'[1]Calibration R. intestinalis '!$D$45)/('[1]Calibration R. intestinalis '!$D$44))+$B$63</f>
        <v>14.918081285148693</v>
      </c>
      <c r="M46" s="102">
        <f>((J46-'[1]Calibration R. intestinalis '!$D$45)/('[1]Calibration R. intestinalis '!$D$44))+$B$63</f>
        <v>14.918081285148693</v>
      </c>
      <c r="N46" s="103">
        <f t="shared" ref="N46:N60" si="25">AVERAGE(K46:M46)</f>
        <v>14.918081285148693</v>
      </c>
      <c r="O46" s="103">
        <f t="shared" ref="O46:O60" si="26">STDEV(K46:M46)</f>
        <v>0</v>
      </c>
      <c r="P46" s="97">
        <f>(AVERAGE(POWER(10,K46),POWER(10,L46),POWER(10,M46)))*([1]Calculation!$I5/[1]Calculation!$K4)</f>
        <v>828656288107575.5</v>
      </c>
      <c r="Q46" s="104">
        <f>(STDEV(POWER(10,K46),POWER(10,L46),POWER(10,M46)))*([1]Calculation!$I5/[1]Calculation!$K4)</f>
        <v>0</v>
      </c>
      <c r="R46" s="103">
        <f>LOG(P46)</f>
        <v>14.918374430270795</v>
      </c>
      <c r="S46" s="103">
        <f>O46*([1]Calculation!$I5/[1]Calculation!$K4)</f>
        <v>0</v>
      </c>
    </row>
    <row r="47" spans="1:19">
      <c r="A47" s="31">
        <v>2</v>
      </c>
      <c r="B47" s="62">
        <v>80</v>
      </c>
      <c r="C47" s="101">
        <f t="shared" ref="C47" si="27">C46+B47</f>
        <v>200</v>
      </c>
      <c r="D47" s="61">
        <f t="shared" si="21"/>
        <v>3.3333333333333335</v>
      </c>
      <c r="E47" s="96"/>
      <c r="F47" s="96"/>
      <c r="G47" s="96"/>
      <c r="H47" s="96">
        <f t="shared" si="22"/>
        <v>-3.8105255907231239E-2</v>
      </c>
      <c r="I47" s="96">
        <f t="shared" si="23"/>
        <v>-3.8105255907231239E-2</v>
      </c>
      <c r="J47" s="96">
        <f t="shared" si="24"/>
        <v>-3.8105255907231239E-2</v>
      </c>
      <c r="K47" s="102">
        <f>((H47-'[1]Calibration R. intestinalis '!$D$45)/('[1]Calibration R. intestinalis '!$D$44))+$B$63</f>
        <v>14.918081285148693</v>
      </c>
      <c r="L47" s="102">
        <f>((I47-'[1]Calibration R. intestinalis '!$D$45)/('[1]Calibration R. intestinalis '!$D$44))+$B$63</f>
        <v>14.918081285148693</v>
      </c>
      <c r="M47" s="102">
        <f>((J47-'[1]Calibration R. intestinalis '!$D$45)/('[1]Calibration R. intestinalis '!$D$44))+$B$63</f>
        <v>14.918081285148693</v>
      </c>
      <c r="N47" s="103">
        <f t="shared" si="25"/>
        <v>14.918081285148693</v>
      </c>
      <c r="O47" s="103">
        <f t="shared" si="26"/>
        <v>0</v>
      </c>
      <c r="P47" s="97">
        <f>(AVERAGE(POWER(10,K47),POWER(10,L47),POWER(10,M47)))*([1]Calculation!$I6/[1]Calculation!$K5)</f>
        <v>829807999418357.5</v>
      </c>
      <c r="Q47" s="104">
        <f>(STDEV(POWER(10,K47),POWER(10,L47),POWER(10,M47)))*([1]Calculation!$I6/[1]Calculation!$K5)</f>
        <v>0</v>
      </c>
      <c r="R47" s="103">
        <f t="shared" ref="R47:R59" si="28">LOG(P47)</f>
        <v>14.91897761714818</v>
      </c>
      <c r="S47" s="103">
        <f>O47*([1]Calculation!$I6/[1]Calculation!$K5)</f>
        <v>0</v>
      </c>
    </row>
    <row r="48" spans="1:19">
      <c r="A48" s="31">
        <v>3</v>
      </c>
      <c r="B48" s="62">
        <v>80</v>
      </c>
      <c r="C48" s="101">
        <f>C47+B48</f>
        <v>280</v>
      </c>
      <c r="D48" s="61">
        <f t="shared" si="21"/>
        <v>4.666666666666667</v>
      </c>
      <c r="E48" s="96"/>
      <c r="F48" s="96"/>
      <c r="G48" s="96"/>
      <c r="H48" s="96">
        <f t="shared" si="22"/>
        <v>-3.8105255907231239E-2</v>
      </c>
      <c r="I48" s="96">
        <f t="shared" si="23"/>
        <v>-3.8105255907231239E-2</v>
      </c>
      <c r="J48" s="96">
        <f t="shared" si="24"/>
        <v>-3.8105255907231239E-2</v>
      </c>
      <c r="K48" s="102">
        <f>((H48-'[1]Calibration R. intestinalis '!$D$45)/('[1]Calibration R. intestinalis '!$D$44))+$B$63</f>
        <v>14.918081285148693</v>
      </c>
      <c r="L48" s="102">
        <f>((I48-'[1]Calibration R. intestinalis '!$D$45)/('[1]Calibration R. intestinalis '!$D$44))+$B$63</f>
        <v>14.918081285148693</v>
      </c>
      <c r="M48" s="102">
        <f>((J48-'[1]Calibration R. intestinalis '!$D$45)/('[1]Calibration R. intestinalis '!$D$44))+$B$63</f>
        <v>14.918081285148693</v>
      </c>
      <c r="N48" s="103">
        <f t="shared" si="25"/>
        <v>14.918081285148693</v>
      </c>
      <c r="O48" s="103">
        <f t="shared" si="26"/>
        <v>0</v>
      </c>
      <c r="P48" s="97">
        <f>(AVERAGE(POWER(10,K48),POWER(10,L48),POWER(10,M48)))*([1]Calculation!$I7/[1]Calculation!$K6)</f>
        <v>830998541741769.75</v>
      </c>
      <c r="Q48" s="104">
        <f>(STDEV(POWER(10,K48),POWER(10,L48),POWER(10,M48)))*([1]Calculation!$I7/[1]Calculation!$K6)</f>
        <v>0</v>
      </c>
      <c r="R48" s="103">
        <f t="shared" si="28"/>
        <v>14.919600261673331</v>
      </c>
      <c r="S48" s="103">
        <f>O48*([1]Calculation!$I7/[1]Calculation!$K6)</f>
        <v>0</v>
      </c>
    </row>
    <row r="49" spans="1:19">
      <c r="A49" s="31">
        <v>4</v>
      </c>
      <c r="B49" s="62">
        <v>80</v>
      </c>
      <c r="C49" s="101">
        <f t="shared" ref="C49:C59" si="29">C48+B49</f>
        <v>360</v>
      </c>
      <c r="D49" s="61">
        <f t="shared" si="21"/>
        <v>6</v>
      </c>
      <c r="E49" s="96"/>
      <c r="F49" s="96"/>
      <c r="G49" s="96"/>
      <c r="H49" s="96">
        <f t="shared" si="22"/>
        <v>-3.8105255907231239E-2</v>
      </c>
      <c r="I49" s="96">
        <f t="shared" si="23"/>
        <v>-3.8105255907231239E-2</v>
      </c>
      <c r="J49" s="96">
        <f t="shared" si="24"/>
        <v>-3.8105255907231239E-2</v>
      </c>
      <c r="K49" s="102">
        <f>((H49-'[1]Calibration R. intestinalis '!$D$45)/('[1]Calibration R. intestinalis '!$D$44))+$B$63</f>
        <v>14.918081285148693</v>
      </c>
      <c r="L49" s="102">
        <f>((I49-'[1]Calibration R. intestinalis '!$D$45)/('[1]Calibration R. intestinalis '!$D$44))+$B$63</f>
        <v>14.918081285148693</v>
      </c>
      <c r="M49" s="102">
        <f>((J49-'[1]Calibration R. intestinalis '!$D$45)/('[1]Calibration R. intestinalis '!$D$44))+$B$63</f>
        <v>14.918081285148693</v>
      </c>
      <c r="N49" s="103">
        <f t="shared" si="25"/>
        <v>14.918081285148693</v>
      </c>
      <c r="O49" s="103">
        <f t="shared" si="26"/>
        <v>0</v>
      </c>
      <c r="P49" s="97">
        <f>(AVERAGE(POWER(10,K49),POWER(10,L49),POWER(10,M49)))*([1]Calculation!$I8/[1]Calculation!$K7)</f>
        <v>833460759643226.88</v>
      </c>
      <c r="Q49" s="104">
        <f>(STDEV(POWER(10,K49),POWER(10,L49),POWER(10,M49)))*([1]Calculation!$I8/[1]Calculation!$K7)</f>
        <v>0</v>
      </c>
      <c r="R49" s="103">
        <f t="shared" si="28"/>
        <v>14.920885157527451</v>
      </c>
      <c r="S49" s="103">
        <f>O49*([1]Calculation!$I8/[1]Calculation!$K7)</f>
        <v>0</v>
      </c>
    </row>
    <row r="50" spans="1:19">
      <c r="A50" s="31">
        <v>5</v>
      </c>
      <c r="B50" s="62">
        <v>80</v>
      </c>
      <c r="C50" s="101">
        <f t="shared" si="29"/>
        <v>440</v>
      </c>
      <c r="D50" s="61">
        <f t="shared" si="21"/>
        <v>7.333333333333333</v>
      </c>
      <c r="E50" s="96"/>
      <c r="F50" s="96"/>
      <c r="G50" s="96"/>
      <c r="H50" s="96">
        <f t="shared" si="22"/>
        <v>-3.8105255907231239E-2</v>
      </c>
      <c r="I50" s="96">
        <f t="shared" si="23"/>
        <v>-3.8105255907231239E-2</v>
      </c>
      <c r="J50" s="96">
        <f t="shared" si="24"/>
        <v>-3.8105255907231239E-2</v>
      </c>
      <c r="K50" s="102">
        <f>((H50-'[1]Calibration R. intestinalis '!$D$45)/('[1]Calibration R. intestinalis '!$D$44))+$B$63</f>
        <v>14.918081285148693</v>
      </c>
      <c r="L50" s="102">
        <f>((I50-'[1]Calibration R. intestinalis '!$D$45)/('[1]Calibration R. intestinalis '!$D$44))+$B$63</f>
        <v>14.918081285148693</v>
      </c>
      <c r="M50" s="102">
        <f>((J50-'[1]Calibration R. intestinalis '!$D$45)/('[1]Calibration R. intestinalis '!$D$44))+$B$63</f>
        <v>14.918081285148693</v>
      </c>
      <c r="N50" s="103">
        <f t="shared" si="25"/>
        <v>14.918081285148693</v>
      </c>
      <c r="O50" s="103">
        <f t="shared" si="26"/>
        <v>0</v>
      </c>
      <c r="P50" s="97">
        <f>(AVERAGE(POWER(10,K50),POWER(10,L50),POWER(10,M50)))*([1]Calculation!$I9/[1]Calculation!$K8)</f>
        <v>836649209374073.12</v>
      </c>
      <c r="Q50" s="104">
        <f>(STDEV(POWER(10,K50),POWER(10,L50),POWER(10,M50)))*([1]Calculation!$I9/[1]Calculation!$K8)</f>
        <v>0</v>
      </c>
      <c r="R50" s="103">
        <f t="shared" si="28"/>
        <v>14.922543404986547</v>
      </c>
      <c r="S50" s="103">
        <f>O50*([1]Calculation!$I9/[1]Calculation!$K8)</f>
        <v>0</v>
      </c>
    </row>
    <row r="51" spans="1:19">
      <c r="A51" s="31">
        <v>6</v>
      </c>
      <c r="B51" s="62">
        <v>180</v>
      </c>
      <c r="C51" s="101">
        <f t="shared" si="29"/>
        <v>620</v>
      </c>
      <c r="D51" s="61">
        <f t="shared" si="21"/>
        <v>10.333333333333334</v>
      </c>
      <c r="E51" s="96"/>
      <c r="F51" s="96"/>
      <c r="G51" s="96"/>
      <c r="H51" s="96">
        <f t="shared" si="22"/>
        <v>-3.8105255907231239E-2</v>
      </c>
      <c r="I51" s="96">
        <f t="shared" si="23"/>
        <v>-3.8105255907231239E-2</v>
      </c>
      <c r="J51" s="96">
        <f t="shared" si="24"/>
        <v>-3.8105255907231239E-2</v>
      </c>
      <c r="K51" s="102">
        <f>((H51-'[1]Calibration R. intestinalis '!$D$45)/('[1]Calibration R. intestinalis '!$D$44))+$B$63</f>
        <v>14.918081285148693</v>
      </c>
      <c r="L51" s="102">
        <f>((I51-'[1]Calibration R. intestinalis '!$D$45)/('[1]Calibration R. intestinalis '!$D$44))+$B$63</f>
        <v>14.918081285148693</v>
      </c>
      <c r="M51" s="102">
        <f>((J51-'[1]Calibration R. intestinalis '!$D$45)/('[1]Calibration R. intestinalis '!$D$44))+$B$63</f>
        <v>14.918081285148693</v>
      </c>
      <c r="N51" s="103">
        <f t="shared" si="25"/>
        <v>14.918081285148693</v>
      </c>
      <c r="O51" s="103">
        <f t="shared" si="26"/>
        <v>0</v>
      </c>
      <c r="P51" s="97">
        <f>(AVERAGE(POWER(10,K51),POWER(10,L51),POWER(10,M51)))*([1]Calculation!$I10/[1]Calculation!$K9)</f>
        <v>846593534366633.62</v>
      </c>
      <c r="Q51" s="104">
        <f>(STDEV(POWER(10,K51),POWER(10,L51),POWER(10,M51)))*([1]Calculation!$I10/[1]Calculation!$K9)</f>
        <v>0</v>
      </c>
      <c r="R51" s="103">
        <f t="shared" si="28"/>
        <v>14.927674947341847</v>
      </c>
      <c r="S51" s="103">
        <f>O51*([1]Calculation!$I10/[1]Calculation!$K9)</f>
        <v>0</v>
      </c>
    </row>
    <row r="52" spans="1:19">
      <c r="A52" s="31">
        <v>7</v>
      </c>
      <c r="B52" s="62">
        <v>80</v>
      </c>
      <c r="C52" s="101">
        <f t="shared" si="29"/>
        <v>700</v>
      </c>
      <c r="D52" s="61">
        <f t="shared" si="21"/>
        <v>11.666666666666666</v>
      </c>
      <c r="E52" s="96"/>
      <c r="F52" s="96"/>
      <c r="G52" s="96"/>
      <c r="H52" s="96">
        <f t="shared" si="22"/>
        <v>-3.8105255907231239E-2</v>
      </c>
      <c r="I52" s="96">
        <f t="shared" si="23"/>
        <v>-3.8105255907231239E-2</v>
      </c>
      <c r="J52" s="96">
        <f t="shared" si="24"/>
        <v>-3.8105255907231239E-2</v>
      </c>
      <c r="K52" s="102">
        <f>((H52-'[1]Calibration R. intestinalis '!$D$45)/('[1]Calibration R. intestinalis '!$D$44))+$B$63</f>
        <v>14.918081285148693</v>
      </c>
      <c r="L52" s="102">
        <f>((I52-'[1]Calibration R. intestinalis '!$D$45)/('[1]Calibration R. intestinalis '!$D$44))+$B$63</f>
        <v>14.918081285148693</v>
      </c>
      <c r="M52" s="102">
        <f>((J52-'[1]Calibration R. intestinalis '!$D$45)/('[1]Calibration R. intestinalis '!$D$44))+$B$63</f>
        <v>14.918081285148693</v>
      </c>
      <c r="N52" s="103">
        <f t="shared" si="25"/>
        <v>14.918081285148693</v>
      </c>
      <c r="O52" s="103">
        <f t="shared" si="26"/>
        <v>0</v>
      </c>
      <c r="P52" s="97">
        <f>(AVERAGE(POWER(10,K52),POWER(10,L52),POWER(10,M52)))*([1]Calculation!$I11/[1]Calculation!$K10)</f>
        <v>852081985156692.75</v>
      </c>
      <c r="Q52" s="104">
        <f>(STDEV(POWER(10,K52),POWER(10,L52),POWER(10,M52)))*([1]Calculation!$I11/[1]Calculation!$K10)</f>
        <v>0</v>
      </c>
      <c r="R52" s="103">
        <f t="shared" si="28"/>
        <v>14.930481383485185</v>
      </c>
      <c r="S52" s="103">
        <f>O52*([1]Calculation!$I11/[1]Calculation!$K10)</f>
        <v>0</v>
      </c>
    </row>
    <row r="53" spans="1:19">
      <c r="A53" s="31">
        <v>8</v>
      </c>
      <c r="B53" s="62">
        <v>80</v>
      </c>
      <c r="C53" s="101">
        <f t="shared" si="29"/>
        <v>780</v>
      </c>
      <c r="D53" s="61">
        <f t="shared" si="21"/>
        <v>13</v>
      </c>
      <c r="E53" s="96"/>
      <c r="F53" s="96"/>
      <c r="G53" s="96"/>
      <c r="H53" s="96">
        <f t="shared" si="22"/>
        <v>-3.8105255907231239E-2</v>
      </c>
      <c r="I53" s="96">
        <f t="shared" si="23"/>
        <v>-3.8105255907231239E-2</v>
      </c>
      <c r="J53" s="96">
        <f t="shared" si="24"/>
        <v>-3.8105255907231239E-2</v>
      </c>
      <c r="K53" s="102">
        <f>((H53-'[1]Calibration R. intestinalis '!$D$45)/('[1]Calibration R. intestinalis '!$D$44))+$B$63</f>
        <v>14.918081285148693</v>
      </c>
      <c r="L53" s="102">
        <f>((I53-'[1]Calibration R. intestinalis '!$D$45)/('[1]Calibration R. intestinalis '!$D$44))+$B$63</f>
        <v>14.918081285148693</v>
      </c>
      <c r="M53" s="102">
        <f>((J53-'[1]Calibration R. intestinalis '!$D$45)/('[1]Calibration R. intestinalis '!$D$44))+$B$63</f>
        <v>14.918081285148693</v>
      </c>
      <c r="N53" s="103">
        <f t="shared" si="25"/>
        <v>14.918081285148693</v>
      </c>
      <c r="O53" s="103">
        <f t="shared" si="26"/>
        <v>0</v>
      </c>
      <c r="P53" s="97">
        <f>(AVERAGE(POWER(10,K53),POWER(10,L53),POWER(10,M53)))*([1]Calculation!$I12/[1]Calculation!$K11)</f>
        <v>857069087076506.12</v>
      </c>
      <c r="Q53" s="104">
        <f>(STDEV(POWER(10,K53),POWER(10,L53),POWER(10,M53)))*([1]Calculation!$I12/[1]Calculation!$K11)</f>
        <v>0</v>
      </c>
      <c r="R53" s="103">
        <f t="shared" si="28"/>
        <v>14.933015831172639</v>
      </c>
      <c r="S53" s="103">
        <f>O53*([1]Calculation!$I12/[1]Calculation!$K11)</f>
        <v>0</v>
      </c>
    </row>
    <row r="54" spans="1:19">
      <c r="A54" s="31">
        <v>9</v>
      </c>
      <c r="B54" s="62">
        <v>80</v>
      </c>
      <c r="C54" s="101">
        <f t="shared" si="29"/>
        <v>860</v>
      </c>
      <c r="D54" s="61">
        <f t="shared" si="21"/>
        <v>14.333333333333334</v>
      </c>
      <c r="E54" s="96"/>
      <c r="F54" s="96"/>
      <c r="G54" s="96"/>
      <c r="H54" s="96">
        <f t="shared" si="22"/>
        <v>-3.8105255907231239E-2</v>
      </c>
      <c r="I54" s="96">
        <f t="shared" si="23"/>
        <v>-3.8105255907231239E-2</v>
      </c>
      <c r="J54" s="96">
        <f t="shared" si="24"/>
        <v>-3.8105255907231239E-2</v>
      </c>
      <c r="K54" s="102">
        <f>((H54-'[1]Calibration R. intestinalis '!$D$45)/('[1]Calibration R. intestinalis '!$D$44))+$B$63</f>
        <v>14.918081285148693</v>
      </c>
      <c r="L54" s="102">
        <f>((I54-'[1]Calibration R. intestinalis '!$D$45)/('[1]Calibration R. intestinalis '!$D$44))+$B$63</f>
        <v>14.918081285148693</v>
      </c>
      <c r="M54" s="102">
        <f>((J54-'[1]Calibration R. intestinalis '!$D$45)/('[1]Calibration R. intestinalis '!$D$44))+$B$63</f>
        <v>14.918081285148693</v>
      </c>
      <c r="N54" s="103">
        <f t="shared" si="25"/>
        <v>14.918081285148693</v>
      </c>
      <c r="O54" s="103">
        <f t="shared" si="26"/>
        <v>0</v>
      </c>
      <c r="P54" s="97">
        <f>(AVERAGE(POWER(10,K54),POWER(10,L54),POWER(10,M54)))*([1]Calculation!$I13/[1]Calculation!$K12)</f>
        <v>861521394022358</v>
      </c>
      <c r="Q54" s="104">
        <f>(STDEV(POWER(10,K54),POWER(10,L54),POWER(10,M54)))*([1]Calculation!$I13/[1]Calculation!$K12)</f>
        <v>0</v>
      </c>
      <c r="R54" s="103">
        <f t="shared" si="28"/>
        <v>14.935266066683049</v>
      </c>
      <c r="S54" s="103">
        <f>O54*([1]Calculation!$I13/[1]Calculation!$K12)</f>
        <v>0</v>
      </c>
    </row>
    <row r="55" spans="1:19">
      <c r="A55" s="31">
        <v>10</v>
      </c>
      <c r="B55" s="62">
        <v>80</v>
      </c>
      <c r="C55" s="101">
        <f t="shared" si="29"/>
        <v>940</v>
      </c>
      <c r="D55" s="61">
        <f t="shared" si="21"/>
        <v>15.666666666666666</v>
      </c>
      <c r="E55" s="96"/>
      <c r="F55" s="96"/>
      <c r="G55" s="96"/>
      <c r="H55" s="96">
        <f t="shared" si="22"/>
        <v>-3.8105255907231239E-2</v>
      </c>
      <c r="I55" s="96">
        <f t="shared" si="23"/>
        <v>-3.8105255907231239E-2</v>
      </c>
      <c r="J55" s="96">
        <f t="shared" si="24"/>
        <v>-3.8105255907231239E-2</v>
      </c>
      <c r="K55" s="102">
        <f>((H55-'[1]Calibration R. intestinalis '!$D$45)/('[1]Calibration R. intestinalis '!$D$44))+$B$63</f>
        <v>14.918081285148693</v>
      </c>
      <c r="L55" s="102">
        <f>((I55-'[1]Calibration R. intestinalis '!$D$45)/('[1]Calibration R. intestinalis '!$D$44))+$B$63</f>
        <v>14.918081285148693</v>
      </c>
      <c r="M55" s="102">
        <f>((J55-'[1]Calibration R. intestinalis '!$D$45)/('[1]Calibration R. intestinalis '!$D$44))+$B$63</f>
        <v>14.918081285148693</v>
      </c>
      <c r="N55" s="103">
        <f t="shared" si="25"/>
        <v>14.918081285148693</v>
      </c>
      <c r="O55" s="103">
        <f t="shared" si="26"/>
        <v>0</v>
      </c>
      <c r="P55" s="97">
        <f>(AVERAGE(POWER(10,K55),POWER(10,L55),POWER(10,M55)))*([1]Calculation!$I14/[1]Calculation!$K13)</f>
        <v>869296857867325.12</v>
      </c>
      <c r="Q55" s="104">
        <f>(STDEV(POWER(10,K55),POWER(10,L55),POWER(10,M55)))*([1]Calculation!$I14/[1]Calculation!$K13)</f>
        <v>0</v>
      </c>
      <c r="R55" s="103">
        <f t="shared" si="28"/>
        <v>14.939168109841043</v>
      </c>
      <c r="S55" s="103">
        <f>O55*([1]Calculation!$I14/[1]Calculation!$K13)</f>
        <v>0</v>
      </c>
    </row>
    <row r="56" spans="1:19">
      <c r="A56" s="31">
        <v>11</v>
      </c>
      <c r="B56" s="62">
        <v>80</v>
      </c>
      <c r="C56" s="101">
        <f t="shared" si="29"/>
        <v>1020</v>
      </c>
      <c r="D56" s="61">
        <f t="shared" si="21"/>
        <v>17</v>
      </c>
      <c r="E56" s="96"/>
      <c r="F56" s="96"/>
      <c r="G56" s="96"/>
      <c r="H56" s="96">
        <f t="shared" si="22"/>
        <v>-3.8105255907231239E-2</v>
      </c>
      <c r="I56" s="96">
        <f t="shared" si="23"/>
        <v>-3.8105255907231239E-2</v>
      </c>
      <c r="J56" s="96">
        <f t="shared" si="24"/>
        <v>-3.8105255907231239E-2</v>
      </c>
      <c r="K56" s="102">
        <f>((H56-'[1]Calibration R. intestinalis '!$D$45)/('[1]Calibration R. intestinalis '!$D$44))+$B$63</f>
        <v>14.918081285148693</v>
      </c>
      <c r="L56" s="102">
        <f>((I56-'[1]Calibration R. intestinalis '!$D$45)/('[1]Calibration R. intestinalis '!$D$44))+$B$63</f>
        <v>14.918081285148693</v>
      </c>
      <c r="M56" s="102">
        <f>((J56-'[1]Calibration R. intestinalis '!$D$45)/('[1]Calibration R. intestinalis '!$D$44))+$B$63</f>
        <v>14.918081285148693</v>
      </c>
      <c r="N56" s="103">
        <f t="shared" si="25"/>
        <v>14.918081285148693</v>
      </c>
      <c r="O56" s="103">
        <f t="shared" si="26"/>
        <v>0</v>
      </c>
      <c r="P56" s="97">
        <f>(AVERAGE(POWER(10,K56),POWER(10,L56),POWER(10,M56)))*([1]Calculation!$I15/[1]Calculation!$K14)</f>
        <v>870923231782886.12</v>
      </c>
      <c r="Q56" s="104">
        <f>(STDEV(POWER(10,K56),POWER(10,L56),POWER(10,M56)))*([1]Calculation!$I15/[1]Calculation!$K14)</f>
        <v>0</v>
      </c>
      <c r="R56" s="103">
        <f t="shared" si="28"/>
        <v>14.93997987546412</v>
      </c>
      <c r="S56" s="103">
        <f>O56*([1]Calculation!$I15/[1]Calculation!$K14)</f>
        <v>0</v>
      </c>
    </row>
    <row r="57" spans="1:19">
      <c r="A57" s="31">
        <v>12</v>
      </c>
      <c r="B57" s="62">
        <v>80</v>
      </c>
      <c r="C57" s="101">
        <f t="shared" si="29"/>
        <v>1100</v>
      </c>
      <c r="D57" s="61">
        <f t="shared" si="21"/>
        <v>18.333333333333332</v>
      </c>
      <c r="E57" s="96"/>
      <c r="F57" s="96"/>
      <c r="G57" s="96"/>
      <c r="H57" s="96">
        <f t="shared" si="22"/>
        <v>-3.8105255907231239E-2</v>
      </c>
      <c r="I57" s="96">
        <f t="shared" si="23"/>
        <v>-3.8105255907231239E-2</v>
      </c>
      <c r="J57" s="96">
        <f t="shared" si="24"/>
        <v>-3.8105255907231239E-2</v>
      </c>
      <c r="K57" s="102">
        <f>((H57-'[1]Calibration R. intestinalis '!$D$45)/('[1]Calibration R. intestinalis '!$D$44))+$B$63</f>
        <v>14.918081285148693</v>
      </c>
      <c r="L57" s="102">
        <f>((I57-'[1]Calibration R. intestinalis '!$D$45)/('[1]Calibration R. intestinalis '!$D$44))+$B$63</f>
        <v>14.918081285148693</v>
      </c>
      <c r="M57" s="102">
        <f>((J57-'[1]Calibration R. intestinalis '!$D$45)/('[1]Calibration R. intestinalis '!$D$44))+$B$63</f>
        <v>14.918081285148693</v>
      </c>
      <c r="N57" s="103">
        <f t="shared" si="25"/>
        <v>14.918081285148693</v>
      </c>
      <c r="O57" s="103">
        <f t="shared" si="26"/>
        <v>0</v>
      </c>
      <c r="P57" s="97">
        <f>(AVERAGE(POWER(10,K57),POWER(10,L57),POWER(10,M57)))*([1]Calculation!$I16/[1]Calculation!$K15)</f>
        <v>871778755586209.25</v>
      </c>
      <c r="Q57" s="104">
        <f>(STDEV(POWER(10,K57),POWER(10,L57),POWER(10,M57)))*([1]Calculation!$I16/[1]Calculation!$K15)</f>
        <v>0</v>
      </c>
      <c r="R57" s="103">
        <f t="shared" si="28"/>
        <v>14.940406281469807</v>
      </c>
      <c r="S57" s="103">
        <f>O57*([1]Calculation!$I16/[1]Calculation!$K15)</f>
        <v>0</v>
      </c>
    </row>
    <row r="58" spans="1:19">
      <c r="A58" s="31">
        <v>13</v>
      </c>
      <c r="B58" s="62">
        <v>340</v>
      </c>
      <c r="C58" s="101">
        <f t="shared" si="29"/>
        <v>1440</v>
      </c>
      <c r="D58" s="61">
        <f t="shared" si="21"/>
        <v>24</v>
      </c>
      <c r="E58" s="96"/>
      <c r="F58" s="96"/>
      <c r="G58" s="96"/>
      <c r="H58" s="96">
        <f t="shared" si="22"/>
        <v>-3.8105255907231239E-2</v>
      </c>
      <c r="I58" s="96">
        <f t="shared" si="23"/>
        <v>-3.8105255907231239E-2</v>
      </c>
      <c r="J58" s="96">
        <f t="shared" si="24"/>
        <v>-3.8105255907231239E-2</v>
      </c>
      <c r="K58" s="102">
        <f>((H58-'[1]Calibration R. intestinalis '!$D$45)/('[1]Calibration R. intestinalis '!$D$44))+$B$63</f>
        <v>14.918081285148693</v>
      </c>
      <c r="L58" s="102">
        <f>((I58-'[1]Calibration R. intestinalis '!$D$45)/('[1]Calibration R. intestinalis '!$D$44))+$B$63</f>
        <v>14.918081285148693</v>
      </c>
      <c r="M58" s="102">
        <f>((J58-'[1]Calibration R. intestinalis '!$D$45)/('[1]Calibration R. intestinalis '!$D$44))+$B$63</f>
        <v>14.918081285148693</v>
      </c>
      <c r="N58" s="103">
        <f t="shared" si="25"/>
        <v>14.918081285148693</v>
      </c>
      <c r="O58" s="103">
        <f t="shared" si="26"/>
        <v>0</v>
      </c>
      <c r="P58" s="97">
        <f>(AVERAGE(POWER(10,K58),POWER(10,L58),POWER(10,M58)))*([1]Calculation!$I17/[1]Calculation!$K16)</f>
        <v>872679353474211.38</v>
      </c>
      <c r="Q58" s="104">
        <f>(STDEV(POWER(10,K58),POWER(10,L58),POWER(10,M58)))*([1]Calculation!$I17/[1]Calculation!$K16)</f>
        <v>0</v>
      </c>
      <c r="R58" s="103">
        <f t="shared" si="28"/>
        <v>14.940854701212178</v>
      </c>
      <c r="S58" s="103">
        <f>O58*([1]Calculation!$I17/[1]Calculation!$K16)</f>
        <v>0</v>
      </c>
    </row>
    <row r="59" spans="1:19">
      <c r="A59" s="31">
        <v>14</v>
      </c>
      <c r="B59" s="62">
        <v>360</v>
      </c>
      <c r="C59" s="101">
        <f t="shared" si="29"/>
        <v>1800</v>
      </c>
      <c r="D59" s="61">
        <f t="shared" si="21"/>
        <v>30</v>
      </c>
      <c r="E59" s="96"/>
      <c r="F59" s="96"/>
      <c r="G59" s="96"/>
      <c r="H59" s="96">
        <f t="shared" si="22"/>
        <v>-3.8105255907231239E-2</v>
      </c>
      <c r="I59" s="96">
        <f t="shared" si="23"/>
        <v>-3.8105255907231239E-2</v>
      </c>
      <c r="J59" s="96">
        <f t="shared" si="24"/>
        <v>-3.8105255907231239E-2</v>
      </c>
      <c r="K59" s="102">
        <f>((H59-'[1]Calibration R. intestinalis '!$D$45)/('[1]Calibration R. intestinalis '!$D$44))+$B$63</f>
        <v>14.918081285148693</v>
      </c>
      <c r="L59" s="102">
        <f>((I59-'[1]Calibration R. intestinalis '!$D$45)/('[1]Calibration R. intestinalis '!$D$44))+$B$63</f>
        <v>14.918081285148693</v>
      </c>
      <c r="M59" s="102">
        <f>((J59-'[1]Calibration R. intestinalis '!$D$45)/('[1]Calibration R. intestinalis '!$D$44))+$B$63</f>
        <v>14.918081285148693</v>
      </c>
      <c r="N59" s="103">
        <f t="shared" si="25"/>
        <v>14.918081285148693</v>
      </c>
      <c r="O59" s="103">
        <f t="shared" si="26"/>
        <v>0</v>
      </c>
      <c r="P59" s="97">
        <f>(AVERAGE(POWER(10,K59),POWER(10,L59),POWER(10,M59)))*([1]Calculation!$I18/[1]Calculation!$K17)</f>
        <v>873636238730213.88</v>
      </c>
      <c r="Q59" s="104">
        <f>(STDEV(POWER(10,K59),POWER(10,L59),POWER(10,M59)))*([1]Calculation!$I18/[1]Calculation!$K17)</f>
        <v>0</v>
      </c>
      <c r="R59" s="103">
        <f t="shared" si="28"/>
        <v>14.941330640418061</v>
      </c>
      <c r="S59" s="103">
        <f>O59*([1]Calculation!$I18/[1]Calculation!$K17)</f>
        <v>0</v>
      </c>
    </row>
    <row r="60" spans="1:19">
      <c r="A60" s="31">
        <v>15</v>
      </c>
      <c r="B60" s="62">
        <v>1080</v>
      </c>
      <c r="C60" s="101">
        <f>C59+B60</f>
        <v>2880</v>
      </c>
      <c r="D60" s="61">
        <f t="shared" si="21"/>
        <v>48</v>
      </c>
      <c r="E60" s="96"/>
      <c r="F60" s="96"/>
      <c r="G60" s="96"/>
      <c r="H60" s="96">
        <f t="shared" si="22"/>
        <v>-3.8105255907231239E-2</v>
      </c>
      <c r="I60" s="96">
        <f t="shared" si="23"/>
        <v>-3.8105255907231239E-2</v>
      </c>
      <c r="J60" s="96">
        <f t="shared" si="24"/>
        <v>-3.8105255907231239E-2</v>
      </c>
      <c r="K60" s="102">
        <f>((H60-'[1]Calibration R. intestinalis '!$D$45)/('[1]Calibration R. intestinalis '!$D$44))+$B$63</f>
        <v>14.918081285148693</v>
      </c>
      <c r="L60" s="102">
        <f>((I60-'[1]Calibration R. intestinalis '!$D$45)/('[1]Calibration R. intestinalis '!$D$44))+$B$63</f>
        <v>14.918081285148693</v>
      </c>
      <c r="M60" s="102">
        <f>((J60-'[1]Calibration R. intestinalis '!$D$45)/('[1]Calibration R. intestinalis '!$D$44))+$B$63</f>
        <v>14.918081285148693</v>
      </c>
      <c r="N60" s="103">
        <f t="shared" si="25"/>
        <v>14.918081285148693</v>
      </c>
      <c r="O60" s="103">
        <f t="shared" si="26"/>
        <v>0</v>
      </c>
      <c r="P60" s="97">
        <f>(AVERAGE(POWER(10,K60),POWER(10,L60),POWER(10,M60)))*([1]Calculation!$I19/[1]Calculation!$K18)</f>
        <v>873636238730213.88</v>
      </c>
      <c r="Q60" s="104">
        <f>(STDEV(POWER(10,K60),POWER(10,L60),POWER(10,M60)))*([1]Calculation!$I19/[1]Calculation!$K18)</f>
        <v>0</v>
      </c>
      <c r="R60" s="103">
        <f>LOG(P60)</f>
        <v>14.941330640418061</v>
      </c>
      <c r="S60" s="103">
        <f>O60*([1]Calculation!$I19/[1]Calculation!$K18)</f>
        <v>0</v>
      </c>
    </row>
    <row r="63" spans="1:19">
      <c r="A63" s="99" t="s">
        <v>237</v>
      </c>
      <c r="B63" s="110">
        <f>LOG(B64)</f>
        <v>3.6532125137753435</v>
      </c>
    </row>
    <row r="64" spans="1:19">
      <c r="A64" s="82" t="s">
        <v>238</v>
      </c>
      <c r="B64" s="82">
        <f>20*1800/4/2</f>
        <v>4500</v>
      </c>
    </row>
    <row r="65" spans="1:8">
      <c r="E65" s="149" t="s">
        <v>220</v>
      </c>
      <c r="F65" s="150"/>
      <c r="G65" s="150"/>
      <c r="H65" s="150"/>
    </row>
    <row r="66" spans="1:8">
      <c r="A66" s="59" t="s">
        <v>239</v>
      </c>
      <c r="B66" s="59" t="s">
        <v>240</v>
      </c>
      <c r="C66" s="59"/>
      <c r="D66" s="59"/>
      <c r="E66" s="112">
        <v>15.7</v>
      </c>
      <c r="F66" s="111">
        <v>15.7</v>
      </c>
      <c r="G66" s="111">
        <v>15.6</v>
      </c>
      <c r="H66" s="111">
        <v>15.7</v>
      </c>
    </row>
    <row r="67" spans="1:8">
      <c r="A67" s="59" t="s">
        <v>239</v>
      </c>
      <c r="B67" s="59" t="s">
        <v>241</v>
      </c>
      <c r="C67" s="59"/>
      <c r="D67" s="59"/>
      <c r="E67" s="126">
        <v>15.2</v>
      </c>
      <c r="F67" s="127">
        <v>15.3</v>
      </c>
      <c r="G67" s="127">
        <v>15.3</v>
      </c>
      <c r="H67" s="127">
        <v>15.2</v>
      </c>
    </row>
    <row r="68" spans="1:8">
      <c r="A68" s="59" t="s">
        <v>239</v>
      </c>
      <c r="B68" s="59" t="s">
        <v>242</v>
      </c>
      <c r="C68" s="59"/>
      <c r="D68" s="59"/>
      <c r="E68" s="126">
        <v>15.9</v>
      </c>
      <c r="F68" s="127">
        <v>15.7</v>
      </c>
      <c r="G68" s="127">
        <v>15.7</v>
      </c>
      <c r="H68" s="127">
        <v>15.8</v>
      </c>
    </row>
    <row r="69" spans="1:8">
      <c r="A69" s="59" t="s">
        <v>239</v>
      </c>
      <c r="B69" s="59" t="s">
        <v>243</v>
      </c>
      <c r="C69" s="59"/>
      <c r="D69" s="59"/>
      <c r="E69" s="126">
        <v>16</v>
      </c>
      <c r="F69" s="127">
        <v>15.8</v>
      </c>
      <c r="G69" s="127">
        <v>15.7</v>
      </c>
      <c r="H69" s="127">
        <v>15.8</v>
      </c>
    </row>
    <row r="70" spans="1:8">
      <c r="A70" s="59" t="s">
        <v>244</v>
      </c>
      <c r="B70" s="59" t="s">
        <v>245</v>
      </c>
      <c r="C70" s="59"/>
      <c r="D70" s="59"/>
      <c r="E70" s="126">
        <v>15.8</v>
      </c>
      <c r="F70" s="127">
        <v>15.7</v>
      </c>
      <c r="G70" s="127">
        <v>15.7</v>
      </c>
      <c r="H70" s="127">
        <v>15.7</v>
      </c>
    </row>
    <row r="71" spans="1:8">
      <c r="A71" s="59" t="s">
        <v>244</v>
      </c>
      <c r="B71" s="59" t="s">
        <v>246</v>
      </c>
      <c r="C71" s="59"/>
      <c r="D71" s="59"/>
      <c r="E71" s="126">
        <v>15.8</v>
      </c>
      <c r="F71" s="127">
        <v>15.7</v>
      </c>
      <c r="G71" s="127">
        <v>15.7</v>
      </c>
      <c r="H71" s="127">
        <v>15.8</v>
      </c>
    </row>
    <row r="72" spans="1:8">
      <c r="A72" s="59" t="s">
        <v>244</v>
      </c>
      <c r="B72" s="59" t="s">
        <v>246</v>
      </c>
      <c r="C72" s="59"/>
      <c r="D72" s="59"/>
      <c r="E72" s="126">
        <v>15.4</v>
      </c>
      <c r="F72" s="127">
        <v>15.6</v>
      </c>
      <c r="G72" s="127">
        <v>15.5</v>
      </c>
      <c r="H72" s="127">
        <v>15.5</v>
      </c>
    </row>
    <row r="73" spans="1:8">
      <c r="A73" s="59" t="s">
        <v>244</v>
      </c>
      <c r="B73" s="59" t="s">
        <v>247</v>
      </c>
      <c r="C73" s="59"/>
      <c r="D73" s="59"/>
      <c r="E73" s="126">
        <v>15.3</v>
      </c>
      <c r="F73" s="127">
        <v>15.8</v>
      </c>
      <c r="G73" s="127">
        <v>15.7</v>
      </c>
      <c r="H73" s="127">
        <v>15.6</v>
      </c>
    </row>
    <row r="74" spans="1:8">
      <c r="A74" s="59" t="s">
        <v>248</v>
      </c>
      <c r="B74" s="59" t="s">
        <v>247</v>
      </c>
      <c r="C74" s="59"/>
      <c r="D74" s="59"/>
      <c r="E74" s="126">
        <v>15.8</v>
      </c>
      <c r="F74" s="127">
        <v>15.8</v>
      </c>
      <c r="G74" s="127">
        <v>15.8</v>
      </c>
      <c r="H74" s="127">
        <v>15.8</v>
      </c>
    </row>
    <row r="75" spans="1:8">
      <c r="A75" s="59" t="s">
        <v>248</v>
      </c>
      <c r="B75" s="59" t="s">
        <v>249</v>
      </c>
      <c r="C75" s="59"/>
      <c r="D75" s="59"/>
      <c r="E75" s="126">
        <v>15.8</v>
      </c>
      <c r="F75" s="127">
        <v>15.7</v>
      </c>
      <c r="G75" s="127">
        <v>16</v>
      </c>
      <c r="H75" s="127">
        <v>15.8</v>
      </c>
    </row>
    <row r="76" spans="1:8">
      <c r="A76" s="59" t="s">
        <v>248</v>
      </c>
      <c r="B76" s="59" t="s">
        <v>249</v>
      </c>
      <c r="C76" s="59"/>
      <c r="D76" s="59"/>
      <c r="E76" s="126">
        <v>15.7</v>
      </c>
      <c r="F76" s="127">
        <v>15.7</v>
      </c>
      <c r="G76" s="127">
        <v>15.6</v>
      </c>
      <c r="H76" s="127">
        <v>15.7</v>
      </c>
    </row>
    <row r="77" spans="1:8">
      <c r="A77" s="59" t="s">
        <v>248</v>
      </c>
      <c r="B77" s="59" t="s">
        <v>249</v>
      </c>
      <c r="C77" s="59"/>
      <c r="D77" s="59"/>
      <c r="E77" s="126">
        <v>15.6</v>
      </c>
      <c r="F77" s="127">
        <v>15.7</v>
      </c>
      <c r="G77" s="127">
        <v>15.6</v>
      </c>
      <c r="H77" s="127">
        <v>15.6</v>
      </c>
    </row>
    <row r="78" spans="1:8">
      <c r="A78" s="59" t="s">
        <v>250</v>
      </c>
      <c r="B78" s="59" t="s">
        <v>251</v>
      </c>
      <c r="C78" s="59"/>
      <c r="D78" s="59"/>
      <c r="E78" s="126">
        <v>15.8</v>
      </c>
      <c r="F78" s="127">
        <v>15.5</v>
      </c>
      <c r="G78" s="127">
        <v>15.7</v>
      </c>
      <c r="H78" s="127">
        <v>15.6</v>
      </c>
    </row>
    <row r="79" spans="1:8">
      <c r="A79" s="59" t="s">
        <v>250</v>
      </c>
      <c r="B79" s="59" t="s">
        <v>251</v>
      </c>
      <c r="C79" s="59"/>
      <c r="D79" s="59"/>
      <c r="E79" s="126">
        <v>15.6</v>
      </c>
      <c r="F79" s="127">
        <v>15.7</v>
      </c>
      <c r="G79" s="127">
        <v>15.7</v>
      </c>
      <c r="H79" s="127">
        <v>15.7</v>
      </c>
    </row>
    <row r="80" spans="1:8">
      <c r="A80" s="59" t="s">
        <v>250</v>
      </c>
      <c r="B80" s="59" t="s">
        <v>267</v>
      </c>
      <c r="C80" s="59"/>
      <c r="D80" s="59"/>
      <c r="E80" s="126">
        <v>15.8</v>
      </c>
      <c r="F80" s="127">
        <v>15.7</v>
      </c>
      <c r="G80" s="127">
        <v>15.8</v>
      </c>
      <c r="H80" s="127">
        <v>15.8</v>
      </c>
    </row>
    <row r="81" spans="1:8">
      <c r="A81" s="59" t="s">
        <v>250</v>
      </c>
      <c r="B81" s="59" t="s">
        <v>270</v>
      </c>
      <c r="C81" s="59"/>
      <c r="D81" s="59"/>
      <c r="E81" s="126">
        <v>15.8</v>
      </c>
      <c r="F81" s="127">
        <v>15.7</v>
      </c>
      <c r="G81" s="127">
        <v>15.6</v>
      </c>
      <c r="H81" s="127">
        <v>15.7</v>
      </c>
    </row>
    <row r="82" spans="1:8">
      <c r="A82" s="95" t="s">
        <v>272</v>
      </c>
      <c r="B82" s="95" t="s">
        <v>271</v>
      </c>
      <c r="E82" s="112">
        <v>15.258575439453125</v>
      </c>
      <c r="F82" s="111">
        <v>15.478802680969238</v>
      </c>
      <c r="G82" s="111">
        <v>15.974754333496094</v>
      </c>
      <c r="H82" s="111">
        <f t="shared" ref="H82:H107" si="30">AVERAGE(E82:G82)</f>
        <v>15.570710817972818</v>
      </c>
    </row>
    <row r="83" spans="1:8">
      <c r="A83" s="95" t="s">
        <v>272</v>
      </c>
      <c r="B83" s="95" t="s">
        <v>273</v>
      </c>
      <c r="E83" s="112">
        <v>15.35291576385498</v>
      </c>
      <c r="F83" s="111">
        <v>15.170954704284668</v>
      </c>
      <c r="G83" s="111">
        <v>15.236812591552734</v>
      </c>
      <c r="H83" s="111">
        <f t="shared" si="30"/>
        <v>15.253561019897461</v>
      </c>
    </row>
    <row r="84" spans="1:8">
      <c r="A84" s="95" t="s">
        <v>272</v>
      </c>
      <c r="B84" s="95" t="s">
        <v>274</v>
      </c>
      <c r="E84" s="112">
        <v>15.810567855834961</v>
      </c>
      <c r="F84" s="111">
        <v>15.790656089782715</v>
      </c>
      <c r="G84" s="111">
        <v>15.956247329711914</v>
      </c>
      <c r="H84" s="111">
        <f t="shared" si="30"/>
        <v>15.852490425109863</v>
      </c>
    </row>
    <row r="85" spans="1:8">
      <c r="A85" s="95" t="s">
        <v>272</v>
      </c>
      <c r="B85" s="95" t="s">
        <v>282</v>
      </c>
      <c r="E85" s="112">
        <v>15.760116577148438</v>
      </c>
      <c r="F85" s="111">
        <v>15.89314079284668</v>
      </c>
      <c r="G85" s="111">
        <v>15.903885841369629</v>
      </c>
      <c r="H85" s="111">
        <f t="shared" si="30"/>
        <v>15.852381070454916</v>
      </c>
    </row>
    <row r="86" spans="1:8">
      <c r="A86" s="95" t="s">
        <v>283</v>
      </c>
      <c r="B86" s="95" t="s">
        <v>284</v>
      </c>
      <c r="E86" s="112">
        <v>15.956473350524902</v>
      </c>
      <c r="F86" s="111">
        <v>15.595272064208984</v>
      </c>
      <c r="G86" s="111">
        <v>15.919502258300781</v>
      </c>
      <c r="H86" s="111">
        <f t="shared" si="30"/>
        <v>15.823749224344889</v>
      </c>
    </row>
    <row r="87" spans="1:8">
      <c r="A87" s="95" t="s">
        <v>283</v>
      </c>
      <c r="B87" s="95" t="s">
        <v>285</v>
      </c>
      <c r="E87" s="112">
        <v>15.711461067199707</v>
      </c>
      <c r="F87" s="111">
        <v>15.73438835144043</v>
      </c>
      <c r="G87" s="111">
        <v>15.689187049865723</v>
      </c>
      <c r="H87" s="111">
        <f t="shared" si="30"/>
        <v>15.711678822835287</v>
      </c>
    </row>
    <row r="88" spans="1:8">
      <c r="A88" s="95" t="s">
        <v>283</v>
      </c>
      <c r="B88" s="95" t="s">
        <v>286</v>
      </c>
      <c r="E88" s="112">
        <v>15.574808120727539</v>
      </c>
      <c r="F88" s="111">
        <v>15.501856803894043</v>
      </c>
      <c r="G88" s="111">
        <v>15.596255302429199</v>
      </c>
      <c r="H88" s="111">
        <f t="shared" si="30"/>
        <v>15.557640075683594</v>
      </c>
    </row>
    <row r="89" spans="1:8">
      <c r="A89" s="95" t="s">
        <v>283</v>
      </c>
      <c r="B89" s="95" t="s">
        <v>287</v>
      </c>
      <c r="E89" s="112">
        <v>15.60640811920166</v>
      </c>
      <c r="F89" s="111">
        <v>15.595258712768555</v>
      </c>
      <c r="G89" s="111">
        <v>15.58064079284668</v>
      </c>
      <c r="H89" s="111">
        <f t="shared" si="30"/>
        <v>15.594102541605631</v>
      </c>
    </row>
    <row r="90" spans="1:8">
      <c r="A90" s="95" t="s">
        <v>288</v>
      </c>
      <c r="B90" s="95" t="s">
        <v>289</v>
      </c>
      <c r="E90" s="112">
        <v>15.40764331817627</v>
      </c>
      <c r="F90" s="111">
        <v>15.702505111694336</v>
      </c>
      <c r="G90" s="111">
        <v>15.805522918701172</v>
      </c>
      <c r="H90" s="111">
        <f t="shared" si="30"/>
        <v>15.638557116190592</v>
      </c>
    </row>
    <row r="91" spans="1:8">
      <c r="A91" s="59" t="s">
        <v>288</v>
      </c>
      <c r="B91" s="59" t="s">
        <v>290</v>
      </c>
      <c r="C91" s="59"/>
      <c r="D91" s="59"/>
      <c r="E91" s="112">
        <v>15.5</v>
      </c>
      <c r="F91" s="111">
        <v>15.5</v>
      </c>
      <c r="G91" s="111">
        <v>15.4</v>
      </c>
      <c r="H91" s="111">
        <f t="shared" si="30"/>
        <v>15.466666666666667</v>
      </c>
    </row>
    <row r="92" spans="1:8">
      <c r="A92" s="59" t="s">
        <v>288</v>
      </c>
      <c r="B92" s="59" t="s">
        <v>290</v>
      </c>
      <c r="C92" s="59"/>
      <c r="D92" s="59"/>
      <c r="E92" s="126">
        <v>15.8</v>
      </c>
      <c r="F92" s="127">
        <v>15.4</v>
      </c>
      <c r="G92" s="127">
        <v>15.4</v>
      </c>
      <c r="H92" s="111">
        <f t="shared" si="30"/>
        <v>15.533333333333333</v>
      </c>
    </row>
    <row r="93" spans="1:8">
      <c r="A93" s="59" t="s">
        <v>288</v>
      </c>
      <c r="B93" s="59" t="s">
        <v>291</v>
      </c>
      <c r="C93" s="59"/>
      <c r="D93" s="59"/>
      <c r="E93" s="126">
        <v>15.6</v>
      </c>
      <c r="F93" s="127">
        <v>15.5</v>
      </c>
      <c r="G93" s="127">
        <v>15.6</v>
      </c>
      <c r="H93" s="111">
        <f t="shared" si="30"/>
        <v>15.566666666666668</v>
      </c>
    </row>
    <row r="94" spans="1:8">
      <c r="A94" s="59" t="s">
        <v>292</v>
      </c>
      <c r="B94" s="59" t="s">
        <v>293</v>
      </c>
      <c r="C94" s="59"/>
      <c r="D94" s="59"/>
      <c r="E94" s="126">
        <v>15.6</v>
      </c>
      <c r="F94" s="127">
        <v>15.6</v>
      </c>
      <c r="G94" s="127">
        <v>15.8</v>
      </c>
      <c r="H94" s="111">
        <f t="shared" si="30"/>
        <v>15.666666666666666</v>
      </c>
    </row>
    <row r="95" spans="1:8">
      <c r="A95" s="59" t="s">
        <v>292</v>
      </c>
      <c r="B95" s="59" t="s">
        <v>293</v>
      </c>
      <c r="C95" s="59"/>
      <c r="D95" s="59"/>
      <c r="E95" s="126">
        <v>15.577789306640625</v>
      </c>
      <c r="F95" s="127">
        <v>15.603015899658203</v>
      </c>
      <c r="G95" s="127">
        <v>15.626909255981445</v>
      </c>
      <c r="H95" s="111">
        <f t="shared" si="30"/>
        <v>15.602571487426758</v>
      </c>
    </row>
    <row r="96" spans="1:8">
      <c r="A96" s="95" t="s">
        <v>292</v>
      </c>
      <c r="B96" s="95" t="s">
        <v>294</v>
      </c>
      <c r="E96" s="126">
        <v>15.925136566162109</v>
      </c>
      <c r="F96" s="127"/>
      <c r="G96" s="127">
        <v>15.940312385559082</v>
      </c>
      <c r="H96" s="111">
        <f t="shared" si="30"/>
        <v>15.932724475860596</v>
      </c>
    </row>
    <row r="97" spans="1:8">
      <c r="A97" s="95" t="s">
        <v>292</v>
      </c>
      <c r="B97" s="95" t="s">
        <v>294</v>
      </c>
      <c r="E97" s="112">
        <v>15.2</v>
      </c>
      <c r="F97" s="111">
        <v>15.3</v>
      </c>
      <c r="G97" s="111">
        <v>15.4</v>
      </c>
      <c r="H97" s="111">
        <f t="shared" si="30"/>
        <v>15.299999999999999</v>
      </c>
    </row>
    <row r="98" spans="1:8">
      <c r="A98" s="95" t="s">
        <v>295</v>
      </c>
      <c r="B98" s="95" t="s">
        <v>296</v>
      </c>
      <c r="E98" s="112">
        <v>15.989936828613281</v>
      </c>
      <c r="F98" s="111">
        <v>15.856328964233398</v>
      </c>
      <c r="G98" s="111">
        <v>15.836997985839844</v>
      </c>
      <c r="H98" s="111">
        <f t="shared" si="30"/>
        <v>15.894421259562174</v>
      </c>
    </row>
    <row r="99" spans="1:8">
      <c r="A99" s="95" t="s">
        <v>295</v>
      </c>
      <c r="B99" s="95" t="s">
        <v>308</v>
      </c>
      <c r="E99" s="112">
        <v>15.699069023132324</v>
      </c>
      <c r="F99" s="111">
        <v>15.817172050476074</v>
      </c>
      <c r="G99" s="111">
        <v>16.075807571411133</v>
      </c>
      <c r="H99" s="111">
        <f t="shared" si="30"/>
        <v>15.86401621500651</v>
      </c>
    </row>
    <row r="100" spans="1:8">
      <c r="A100" s="95" t="s">
        <v>295</v>
      </c>
      <c r="B100" s="95" t="s">
        <v>309</v>
      </c>
      <c r="E100" s="112">
        <v>14.193151473999023</v>
      </c>
      <c r="F100" s="111">
        <v>14.592436790466309</v>
      </c>
      <c r="G100" s="111">
        <v>14.826726913452148</v>
      </c>
      <c r="H100" s="111">
        <f t="shared" si="30"/>
        <v>14.53743839263916</v>
      </c>
    </row>
    <row r="101" spans="1:8">
      <c r="A101" s="95" t="s">
        <v>310</v>
      </c>
      <c r="B101" s="95" t="s">
        <v>309</v>
      </c>
      <c r="E101" s="112">
        <v>15.753643035888672</v>
      </c>
      <c r="F101" s="111">
        <v>15.53950309753418</v>
      </c>
      <c r="G101" s="111">
        <v>16.160148620605469</v>
      </c>
      <c r="H101" s="111">
        <f t="shared" si="30"/>
        <v>15.81776491800944</v>
      </c>
    </row>
    <row r="102" spans="1:8">
      <c r="A102" s="95" t="s">
        <v>310</v>
      </c>
      <c r="B102" s="95" t="s">
        <v>311</v>
      </c>
      <c r="E102" s="112">
        <v>16.152790069580078</v>
      </c>
      <c r="F102" s="111">
        <v>15.918967247009277</v>
      </c>
      <c r="G102" s="111">
        <v>16.004350662231445</v>
      </c>
      <c r="H102" s="111">
        <f t="shared" si="30"/>
        <v>16.025369326273601</v>
      </c>
    </row>
    <row r="103" spans="1:8">
      <c r="A103" s="95" t="s">
        <v>310</v>
      </c>
      <c r="B103" s="95" t="s">
        <v>312</v>
      </c>
      <c r="E103" s="112">
        <v>15.725796699523926</v>
      </c>
      <c r="F103" s="111">
        <v>15.72511100769043</v>
      </c>
      <c r="G103" s="111">
        <v>15.700724601745605</v>
      </c>
      <c r="H103" s="111">
        <f t="shared" si="30"/>
        <v>15.71721076965332</v>
      </c>
    </row>
    <row r="104" spans="1:8">
      <c r="A104" s="95" t="s">
        <v>310</v>
      </c>
      <c r="B104" s="95" t="s">
        <v>313</v>
      </c>
      <c r="E104" s="112">
        <v>15.868610382080078</v>
      </c>
      <c r="F104" s="111">
        <v>15.950244903564453</v>
      </c>
      <c r="G104" s="111">
        <v>15.73750114440918</v>
      </c>
      <c r="H104" s="111">
        <f t="shared" si="30"/>
        <v>15.852118810017904</v>
      </c>
    </row>
    <row r="105" spans="1:8">
      <c r="A105" s="95" t="s">
        <v>310</v>
      </c>
      <c r="B105" s="95" t="s">
        <v>313</v>
      </c>
      <c r="E105" s="112">
        <v>15.411773681640625</v>
      </c>
      <c r="F105" s="111">
        <v>15.347482681274414</v>
      </c>
      <c r="G105" s="111">
        <v>15.357060432434082</v>
      </c>
      <c r="H105" s="111">
        <f t="shared" si="30"/>
        <v>15.372105598449707</v>
      </c>
    </row>
    <row r="106" spans="1:8">
      <c r="A106" s="95" t="s">
        <v>239</v>
      </c>
      <c r="B106" s="95" t="s">
        <v>314</v>
      </c>
      <c r="E106" s="112">
        <v>15.701089859008789</v>
      </c>
      <c r="F106" s="111">
        <v>15.69521427154541</v>
      </c>
      <c r="G106" s="111">
        <v>15.858868598937988</v>
      </c>
      <c r="H106" s="111">
        <f t="shared" si="30"/>
        <v>15.751724243164062</v>
      </c>
    </row>
    <row r="107" spans="1:8">
      <c r="A107" s="95" t="s">
        <v>239</v>
      </c>
      <c r="B107" s="95" t="s">
        <v>315</v>
      </c>
      <c r="E107" s="112">
        <v>15.664003372192383</v>
      </c>
      <c r="F107" s="111">
        <v>15.706714630126953</v>
      </c>
      <c r="G107" s="111">
        <v>15.883712768554688</v>
      </c>
      <c r="H107" s="111">
        <f t="shared" si="30"/>
        <v>15.751476923624674</v>
      </c>
    </row>
    <row r="108" spans="1:8">
      <c r="A108" s="95" t="s">
        <v>239</v>
      </c>
      <c r="B108" s="95" t="s">
        <v>315</v>
      </c>
      <c r="E108" s="112">
        <v>15.815454483032227</v>
      </c>
      <c r="F108" s="111">
        <v>15.873584747314453</v>
      </c>
      <c r="G108" s="111">
        <v>15.955685615539551</v>
      </c>
      <c r="H108" s="111">
        <f>AVERAGE(E108:G108)</f>
        <v>15.881574948628744</v>
      </c>
    </row>
    <row r="109" spans="1:8">
      <c r="A109" s="95" t="s">
        <v>239</v>
      </c>
      <c r="B109" s="95" t="s">
        <v>321</v>
      </c>
      <c r="E109" s="112">
        <v>15.894612312316895</v>
      </c>
      <c r="F109" s="111">
        <v>15.946266174316406</v>
      </c>
      <c r="G109" s="111">
        <v>15.963062286376953</v>
      </c>
      <c r="H109" s="111">
        <f>AVERAGE(E109:G109)</f>
        <v>15.934646924336752</v>
      </c>
    </row>
    <row r="110" spans="1:8">
      <c r="A110" s="95"/>
      <c r="B110" s="95"/>
      <c r="E110" s="113"/>
      <c r="F110" s="113"/>
      <c r="G110" s="113"/>
      <c r="H110" s="113"/>
    </row>
    <row r="111" spans="1:8">
      <c r="B111" s="95"/>
      <c r="E111" s="113"/>
      <c r="F111" s="113"/>
      <c r="G111" s="113"/>
      <c r="H111" s="113"/>
    </row>
    <row r="112" spans="1:8">
      <c r="E112" s="95" t="s">
        <v>252</v>
      </c>
      <c r="H112" s="114">
        <f>AVERAGE(H66:H109)</f>
        <v>15.661894744092768</v>
      </c>
    </row>
  </sheetData>
  <mergeCells count="60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S2:S3"/>
    <mergeCell ref="U2:X3"/>
    <mergeCell ref="Z2:AE3"/>
    <mergeCell ref="A23:A24"/>
    <mergeCell ref="B23:B24"/>
    <mergeCell ref="C23:C24"/>
    <mergeCell ref="D23:D24"/>
    <mergeCell ref="E23:E24"/>
    <mergeCell ref="F23:F24"/>
    <mergeCell ref="G23:G24"/>
    <mergeCell ref="M2:M3"/>
    <mergeCell ref="N2:N3"/>
    <mergeCell ref="O2:O3"/>
    <mergeCell ref="P2:P3"/>
    <mergeCell ref="Q2:Q3"/>
    <mergeCell ref="R2:R3"/>
    <mergeCell ref="S23:S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A43:A44"/>
    <mergeCell ref="B43:B44"/>
    <mergeCell ref="C43:C44"/>
    <mergeCell ref="D43:D44"/>
    <mergeCell ref="E43:E44"/>
    <mergeCell ref="S43:S44"/>
    <mergeCell ref="E65:H65"/>
    <mergeCell ref="M43:M44"/>
    <mergeCell ref="N43:N44"/>
    <mergeCell ref="O43:O44"/>
    <mergeCell ref="P43:P44"/>
    <mergeCell ref="Q43:Q44"/>
    <mergeCell ref="R43:R44"/>
    <mergeCell ref="G43:G44"/>
    <mergeCell ref="H43:H44"/>
    <mergeCell ref="I43:I44"/>
    <mergeCell ref="J43:J44"/>
    <mergeCell ref="K43:K44"/>
    <mergeCell ref="L43:L44"/>
    <mergeCell ref="F43:F4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B19" workbookViewId="0">
      <selection activeCell="H26" sqref="H26"/>
    </sheetView>
  </sheetViews>
  <sheetFormatPr baseColWidth="10" defaultRowHeight="14" x14ac:dyDescent="0"/>
  <cols>
    <col min="7" max="7" width="11" bestFit="1" customWidth="1"/>
  </cols>
  <sheetData>
    <row r="1" spans="1:22">
      <c r="A1" s="82"/>
      <c r="B1" s="145" t="s">
        <v>4</v>
      </c>
      <c r="C1" s="147" t="s">
        <v>185</v>
      </c>
      <c r="D1" s="148" t="s">
        <v>18</v>
      </c>
      <c r="E1" s="148"/>
      <c r="F1" s="148"/>
      <c r="G1" s="148"/>
      <c r="H1" s="148" t="s">
        <v>20</v>
      </c>
      <c r="I1" s="148"/>
      <c r="J1" s="148"/>
      <c r="K1" s="148"/>
      <c r="L1" s="148" t="s">
        <v>21</v>
      </c>
      <c r="M1" s="148"/>
      <c r="N1" s="148"/>
      <c r="O1" s="148"/>
      <c r="P1" s="81" t="s">
        <v>22</v>
      </c>
      <c r="Q1" s="81" t="s">
        <v>22</v>
      </c>
      <c r="R1" s="81" t="s">
        <v>22</v>
      </c>
      <c r="S1" s="157" t="s">
        <v>253</v>
      </c>
      <c r="T1" s="82"/>
      <c r="U1" s="82"/>
      <c r="V1" s="82"/>
    </row>
    <row r="2" spans="1:22">
      <c r="A2" s="82"/>
      <c r="B2" s="146"/>
      <c r="C2" s="146"/>
      <c r="D2" s="83" t="s">
        <v>19</v>
      </c>
      <c r="E2" s="83" t="s">
        <v>68</v>
      </c>
      <c r="F2" s="83" t="s">
        <v>69</v>
      </c>
      <c r="G2" s="83" t="s">
        <v>70</v>
      </c>
      <c r="H2" s="83" t="s">
        <v>19</v>
      </c>
      <c r="I2" s="83" t="s">
        <v>68</v>
      </c>
      <c r="J2" s="83" t="s">
        <v>69</v>
      </c>
      <c r="K2" s="83" t="s">
        <v>70</v>
      </c>
      <c r="L2" s="83" t="s">
        <v>19</v>
      </c>
      <c r="M2" s="83" t="s">
        <v>68</v>
      </c>
      <c r="N2" s="83" t="s">
        <v>69</v>
      </c>
      <c r="O2" s="83" t="s">
        <v>71</v>
      </c>
      <c r="P2" s="84" t="s">
        <v>70</v>
      </c>
      <c r="Q2" s="84" t="s">
        <v>23</v>
      </c>
      <c r="R2" s="84" t="s">
        <v>72</v>
      </c>
      <c r="S2" s="158"/>
      <c r="T2" s="82"/>
      <c r="U2" s="82"/>
      <c r="V2" s="82"/>
    </row>
    <row r="3" spans="1:22">
      <c r="A3" s="82"/>
      <c r="B3" s="85"/>
      <c r="C3" s="85"/>
      <c r="D3" s="86"/>
      <c r="E3" s="86"/>
      <c r="F3" s="86"/>
      <c r="G3" s="87"/>
      <c r="H3" s="86"/>
      <c r="I3" s="86"/>
      <c r="J3" s="86"/>
      <c r="K3" s="87"/>
      <c r="L3" s="86"/>
      <c r="M3" s="86"/>
      <c r="N3" s="86"/>
      <c r="O3" s="87"/>
      <c r="P3" s="142"/>
      <c r="Q3" s="143"/>
      <c r="R3" s="144"/>
      <c r="S3" s="82"/>
      <c r="T3" s="82"/>
      <c r="U3" s="82"/>
      <c r="V3" s="82"/>
    </row>
    <row r="4" spans="1:22">
      <c r="A4" s="82"/>
      <c r="B4" s="88" t="s">
        <v>186</v>
      </c>
      <c r="C4" s="89">
        <v>500</v>
      </c>
      <c r="D4" s="89">
        <v>2</v>
      </c>
      <c r="E4" s="89">
        <v>11777</v>
      </c>
      <c r="F4" s="89">
        <v>6</v>
      </c>
      <c r="G4" s="87">
        <f>(E4/F4)*(10.2)*POWER(10,D4+2)</f>
        <v>200208999.99999997</v>
      </c>
      <c r="H4" s="89">
        <v>2</v>
      </c>
      <c r="I4" s="89">
        <v>12350</v>
      </c>
      <c r="J4" s="89">
        <v>6</v>
      </c>
      <c r="K4" s="87">
        <f>(I4/J4)*(10.2)*POWER(10,H4+2)</f>
        <v>209950000</v>
      </c>
      <c r="L4" s="89">
        <v>2</v>
      </c>
      <c r="M4" s="89">
        <v>12193</v>
      </c>
      <c r="N4" s="89">
        <v>6</v>
      </c>
      <c r="O4" s="87">
        <f t="shared" ref="O4:O19" si="0">(M4/N4)*(10.2)*POWER(10,L4+2)</f>
        <v>207281000</v>
      </c>
      <c r="P4" s="90">
        <f t="shared" ref="P4:P19" si="1">AVERAGE(O4,K4,G4)</f>
        <v>205813333.33333334</v>
      </c>
      <c r="Q4" s="90">
        <f t="shared" ref="Q4:Q19" si="2">STDEV(O4,K4,G4)</f>
        <v>5033617.4202389978</v>
      </c>
      <c r="R4" s="91">
        <f>LOG(P4)</f>
        <v>8.313473506507659</v>
      </c>
      <c r="S4" s="95"/>
      <c r="T4" s="82"/>
      <c r="U4" s="82"/>
      <c r="V4" s="82"/>
    </row>
    <row r="5" spans="1:22">
      <c r="A5" s="82"/>
      <c r="B5" s="88" t="s">
        <v>187</v>
      </c>
      <c r="C5" s="89">
        <v>500</v>
      </c>
      <c r="D5" s="89">
        <v>1</v>
      </c>
      <c r="E5" s="89">
        <v>10368</v>
      </c>
      <c r="F5" s="89">
        <v>6</v>
      </c>
      <c r="G5" s="87">
        <f t="shared" ref="G5:G19" si="3">(E5/F5)*(10.2)*POWER(10,D5+2)</f>
        <v>17625600</v>
      </c>
      <c r="H5" s="89">
        <v>1</v>
      </c>
      <c r="I5" s="89">
        <v>11649</v>
      </c>
      <c r="J5" s="89">
        <v>6</v>
      </c>
      <c r="K5" s="87">
        <f t="shared" ref="K5:K19" si="4">(I5/J5)*(10.2)*POWER(10,H5+2)</f>
        <v>19803300</v>
      </c>
      <c r="L5" s="89">
        <v>1</v>
      </c>
      <c r="M5" s="89">
        <v>11377</v>
      </c>
      <c r="N5" s="89">
        <v>6</v>
      </c>
      <c r="O5" s="87">
        <f t="shared" si="0"/>
        <v>19340899.999999996</v>
      </c>
      <c r="P5" s="90">
        <f t="shared" si="1"/>
        <v>18923266.666666668</v>
      </c>
      <c r="Q5" s="90">
        <f t="shared" si="2"/>
        <v>1147348.0393208207</v>
      </c>
      <c r="R5" s="91">
        <f t="shared" ref="R5:R19" si="5">LOG(P5)</f>
        <v>7.2769961094890272</v>
      </c>
      <c r="S5" s="82"/>
      <c r="T5" s="82"/>
      <c r="U5" s="82"/>
      <c r="V5" s="82"/>
    </row>
    <row r="6" spans="1:22">
      <c r="A6" s="82"/>
      <c r="B6" s="88" t="s">
        <v>188</v>
      </c>
      <c r="C6" s="89">
        <v>500</v>
      </c>
      <c r="D6" s="89">
        <v>1</v>
      </c>
      <c r="E6" s="89">
        <v>1368</v>
      </c>
      <c r="F6" s="89">
        <v>6</v>
      </c>
      <c r="G6" s="87">
        <f t="shared" si="3"/>
        <v>2325600</v>
      </c>
      <c r="H6" s="89">
        <v>1</v>
      </c>
      <c r="I6" s="89">
        <v>1169</v>
      </c>
      <c r="J6" s="89">
        <v>6</v>
      </c>
      <c r="K6" s="87">
        <f t="shared" si="4"/>
        <v>1987300</v>
      </c>
      <c r="L6" s="89">
        <v>1</v>
      </c>
      <c r="M6" s="89">
        <v>1324</v>
      </c>
      <c r="N6" s="89">
        <v>6</v>
      </c>
      <c r="O6" s="87">
        <f t="shared" si="0"/>
        <v>2250799.9999999995</v>
      </c>
      <c r="P6" s="90">
        <f t="shared" si="1"/>
        <v>2187900</v>
      </c>
      <c r="Q6" s="90">
        <f t="shared" si="2"/>
        <v>177704.89582451005</v>
      </c>
      <c r="R6" s="91">
        <f t="shared" si="5"/>
        <v>6.3400274682826607</v>
      </c>
      <c r="S6" s="82"/>
      <c r="T6" s="82"/>
      <c r="U6" s="82"/>
      <c r="V6" s="82"/>
    </row>
    <row r="7" spans="1:22">
      <c r="A7" s="82"/>
      <c r="B7" s="88" t="s">
        <v>189</v>
      </c>
      <c r="C7" s="89">
        <v>500</v>
      </c>
      <c r="D7" s="89">
        <v>1</v>
      </c>
      <c r="E7" s="89">
        <v>1657</v>
      </c>
      <c r="F7" s="89">
        <v>67</v>
      </c>
      <c r="G7" s="87">
        <f>(E7/F7)*(10.2)*POWER(10,D7+2)</f>
        <v>252259.70149253728</v>
      </c>
      <c r="H7" s="89">
        <v>1</v>
      </c>
      <c r="I7" s="89">
        <v>1712</v>
      </c>
      <c r="J7" s="89">
        <v>67</v>
      </c>
      <c r="K7" s="87">
        <f t="shared" si="4"/>
        <v>260632.83582089547</v>
      </c>
      <c r="L7" s="89">
        <v>1</v>
      </c>
      <c r="M7" s="89">
        <v>1701</v>
      </c>
      <c r="N7" s="89">
        <v>67</v>
      </c>
      <c r="O7" s="87">
        <f t="shared" si="0"/>
        <v>258958.20895522388</v>
      </c>
      <c r="P7" s="90">
        <f t="shared" si="1"/>
        <v>257283.58208955219</v>
      </c>
      <c r="Q7" s="90">
        <f t="shared" si="2"/>
        <v>4430.6462253947329</v>
      </c>
      <c r="R7" s="91">
        <f t="shared" si="5"/>
        <v>5.410412073674765</v>
      </c>
      <c r="S7" s="95"/>
      <c r="T7" s="82"/>
      <c r="U7" s="82"/>
      <c r="V7" s="82"/>
    </row>
    <row r="8" spans="1:22">
      <c r="A8" s="82"/>
      <c r="B8" s="88" t="s">
        <v>190</v>
      </c>
      <c r="C8" s="89">
        <v>500</v>
      </c>
      <c r="D8" s="89">
        <v>1</v>
      </c>
      <c r="E8" s="89">
        <v>1582</v>
      </c>
      <c r="F8" s="89">
        <v>334</v>
      </c>
      <c r="G8" s="87">
        <f t="shared" si="3"/>
        <v>48312.574850299396</v>
      </c>
      <c r="H8" s="89">
        <v>1</v>
      </c>
      <c r="I8" s="89">
        <v>1222</v>
      </c>
      <c r="J8" s="89">
        <v>334</v>
      </c>
      <c r="K8" s="87">
        <f t="shared" si="4"/>
        <v>37318.562874251496</v>
      </c>
      <c r="L8" s="89">
        <v>1</v>
      </c>
      <c r="M8" s="89">
        <v>1331</v>
      </c>
      <c r="N8" s="89">
        <v>334</v>
      </c>
      <c r="O8" s="87">
        <f t="shared" si="0"/>
        <v>40647.305389221554</v>
      </c>
      <c r="P8" s="90">
        <f t="shared" si="1"/>
        <v>42092.814371257482</v>
      </c>
      <c r="Q8" s="90">
        <f t="shared" si="2"/>
        <v>5637.7475107733544</v>
      </c>
      <c r="R8" s="91">
        <f t="shared" si="5"/>
        <v>4.6242079641192557</v>
      </c>
      <c r="S8" s="95"/>
      <c r="T8" s="82"/>
      <c r="U8" s="82"/>
      <c r="V8" s="82"/>
    </row>
    <row r="9" spans="1:22">
      <c r="A9" s="82"/>
      <c r="B9" s="88" t="s">
        <v>191</v>
      </c>
      <c r="C9" s="89">
        <v>900</v>
      </c>
      <c r="D9" s="89">
        <v>2</v>
      </c>
      <c r="E9" s="89">
        <v>14797</v>
      </c>
      <c r="F9" s="89">
        <v>6</v>
      </c>
      <c r="G9" s="87">
        <f t="shared" si="3"/>
        <v>251548999.99999997</v>
      </c>
      <c r="H9" s="89">
        <v>2</v>
      </c>
      <c r="I9" s="89">
        <v>12831</v>
      </c>
      <c r="J9" s="89">
        <v>6</v>
      </c>
      <c r="K9" s="87">
        <f t="shared" si="4"/>
        <v>218126999.99999997</v>
      </c>
      <c r="L9" s="89">
        <v>2</v>
      </c>
      <c r="M9" s="89">
        <v>13557</v>
      </c>
      <c r="N9" s="89">
        <v>6</v>
      </c>
      <c r="O9" s="87">
        <f t="shared" si="0"/>
        <v>230468999.99999997</v>
      </c>
      <c r="P9" s="90">
        <f t="shared" si="1"/>
        <v>233381666.66666663</v>
      </c>
      <c r="Q9" s="90">
        <f t="shared" si="2"/>
        <v>16900302.995311458</v>
      </c>
      <c r="R9" s="91">
        <f t="shared" si="5"/>
        <v>8.3680667369783137</v>
      </c>
      <c r="S9" s="82"/>
      <c r="T9" s="82"/>
      <c r="U9" s="82"/>
      <c r="V9" s="82"/>
    </row>
    <row r="10" spans="1:22">
      <c r="A10" s="82"/>
      <c r="B10" s="88" t="s">
        <v>192</v>
      </c>
      <c r="C10" s="89">
        <v>900</v>
      </c>
      <c r="D10" s="89">
        <v>2</v>
      </c>
      <c r="E10" s="89">
        <v>6167</v>
      </c>
      <c r="F10" s="89">
        <v>6</v>
      </c>
      <c r="G10" s="87">
        <f t="shared" si="3"/>
        <v>104838999.99999999</v>
      </c>
      <c r="H10" s="89">
        <v>2</v>
      </c>
      <c r="I10" s="89">
        <v>6132</v>
      </c>
      <c r="J10" s="89">
        <v>6</v>
      </c>
      <c r="K10" s="87">
        <f t="shared" si="4"/>
        <v>104244000</v>
      </c>
      <c r="L10" s="89">
        <v>2</v>
      </c>
      <c r="M10" s="89">
        <v>5412</v>
      </c>
      <c r="N10" s="89">
        <v>6</v>
      </c>
      <c r="O10" s="87">
        <f t="shared" si="0"/>
        <v>92004000</v>
      </c>
      <c r="P10" s="90">
        <f t="shared" si="1"/>
        <v>100362333.33333333</v>
      </c>
      <c r="Q10" s="90">
        <f t="shared" si="2"/>
        <v>7244639.9726510411</v>
      </c>
      <c r="R10" s="91">
        <f t="shared" si="5"/>
        <v>8.0015707497132311</v>
      </c>
      <c r="S10" s="82"/>
      <c r="T10" s="82"/>
      <c r="U10" s="82"/>
      <c r="V10" s="82"/>
    </row>
    <row r="11" spans="1:22">
      <c r="A11" s="82"/>
      <c r="B11" s="88" t="s">
        <v>193</v>
      </c>
      <c r="C11" s="89">
        <v>900</v>
      </c>
      <c r="D11" s="89">
        <v>2</v>
      </c>
      <c r="E11" s="89">
        <v>2783</v>
      </c>
      <c r="F11" s="89">
        <v>6</v>
      </c>
      <c r="G11" s="87">
        <f t="shared" si="3"/>
        <v>47310999.999999993</v>
      </c>
      <c r="H11" s="89">
        <v>2</v>
      </c>
      <c r="I11" s="89">
        <v>2791</v>
      </c>
      <c r="J11" s="89">
        <v>6</v>
      </c>
      <c r="K11" s="87">
        <f t="shared" si="4"/>
        <v>47447000</v>
      </c>
      <c r="L11" s="89">
        <v>2</v>
      </c>
      <c r="M11" s="89">
        <v>2844</v>
      </c>
      <c r="N11" s="89">
        <v>6</v>
      </c>
      <c r="O11" s="87">
        <f t="shared" si="0"/>
        <v>48347999.999999993</v>
      </c>
      <c r="P11" s="90">
        <f t="shared" si="1"/>
        <v>47702000</v>
      </c>
      <c r="Q11" s="90">
        <f t="shared" si="2"/>
        <v>563569.87144452473</v>
      </c>
      <c r="R11" s="91">
        <f t="shared" si="5"/>
        <v>7.6785365880706147</v>
      </c>
      <c r="S11" s="82"/>
      <c r="T11" s="82"/>
      <c r="U11" s="82"/>
      <c r="V11" s="82"/>
    </row>
    <row r="12" spans="1:22">
      <c r="A12" s="82"/>
      <c r="B12" s="88" t="s">
        <v>194</v>
      </c>
      <c r="C12" s="89">
        <v>900</v>
      </c>
      <c r="D12" s="89">
        <v>1</v>
      </c>
      <c r="E12" s="89">
        <v>14347</v>
      </c>
      <c r="F12" s="89">
        <v>6</v>
      </c>
      <c r="G12" s="87">
        <f t="shared" si="3"/>
        <v>24389899.999999996</v>
      </c>
      <c r="H12" s="89">
        <v>1</v>
      </c>
      <c r="I12" s="89">
        <v>13548</v>
      </c>
      <c r="J12" s="89">
        <v>6</v>
      </c>
      <c r="K12" s="87">
        <f t="shared" si="4"/>
        <v>23031600</v>
      </c>
      <c r="L12" s="89">
        <v>1</v>
      </c>
      <c r="M12" s="89">
        <v>14200</v>
      </c>
      <c r="N12" s="89">
        <v>6</v>
      </c>
      <c r="O12" s="87">
        <f t="shared" si="0"/>
        <v>24139999.999999996</v>
      </c>
      <c r="P12" s="90">
        <f t="shared" si="1"/>
        <v>23853833.333333332</v>
      </c>
      <c r="Q12" s="90">
        <f t="shared" si="2"/>
        <v>722954.52369656716</v>
      </c>
      <c r="R12" s="91">
        <f t="shared" si="5"/>
        <v>7.3775581805140655</v>
      </c>
      <c r="S12" s="82"/>
      <c r="T12" s="82"/>
      <c r="U12" s="82"/>
      <c r="V12" s="82"/>
    </row>
    <row r="13" spans="1:22">
      <c r="A13" s="82"/>
      <c r="B13" s="88" t="s">
        <v>195</v>
      </c>
      <c r="C13" s="89">
        <v>900</v>
      </c>
      <c r="D13" s="89">
        <v>1</v>
      </c>
      <c r="E13" s="89">
        <v>5210</v>
      </c>
      <c r="F13" s="89">
        <v>6</v>
      </c>
      <c r="G13" s="87">
        <f t="shared" si="3"/>
        <v>8857000</v>
      </c>
      <c r="H13" s="89">
        <v>1</v>
      </c>
      <c r="I13" s="89">
        <v>5214</v>
      </c>
      <c r="J13" s="89">
        <v>6</v>
      </c>
      <c r="K13" s="87">
        <f t="shared" si="4"/>
        <v>8863800</v>
      </c>
      <c r="L13" s="89">
        <v>1</v>
      </c>
      <c r="M13" s="89">
        <v>5752</v>
      </c>
      <c r="N13" s="89">
        <v>6</v>
      </c>
      <c r="O13" s="87">
        <f t="shared" si="0"/>
        <v>9778400</v>
      </c>
      <c r="P13" s="90">
        <f t="shared" si="1"/>
        <v>9166400</v>
      </c>
      <c r="Q13" s="90">
        <f t="shared" si="2"/>
        <v>530018.4525089669</v>
      </c>
      <c r="R13" s="91">
        <f t="shared" si="5"/>
        <v>6.9621988049055377</v>
      </c>
      <c r="S13" s="82"/>
      <c r="T13" s="82"/>
      <c r="U13" s="82"/>
      <c r="V13" s="82"/>
    </row>
    <row r="14" spans="1:22">
      <c r="A14" s="82"/>
      <c r="B14" s="88" t="s">
        <v>196</v>
      </c>
      <c r="C14" s="89">
        <v>900</v>
      </c>
      <c r="D14" s="89">
        <v>1</v>
      </c>
      <c r="E14" s="89">
        <v>2620</v>
      </c>
      <c r="F14" s="89">
        <v>6</v>
      </c>
      <c r="G14" s="87">
        <f t="shared" si="3"/>
        <v>4454000</v>
      </c>
      <c r="H14" s="89">
        <v>1</v>
      </c>
      <c r="I14" s="89">
        <v>2454</v>
      </c>
      <c r="J14" s="89">
        <v>6</v>
      </c>
      <c r="K14" s="87">
        <f t="shared" si="4"/>
        <v>4171799.9999999991</v>
      </c>
      <c r="L14" s="89">
        <v>1</v>
      </c>
      <c r="M14" s="89">
        <v>2673</v>
      </c>
      <c r="N14" s="89">
        <v>6</v>
      </c>
      <c r="O14" s="87">
        <f t="shared" si="0"/>
        <v>4544099.9999999991</v>
      </c>
      <c r="P14" s="90">
        <f t="shared" si="1"/>
        <v>4389966.666666666</v>
      </c>
      <c r="Q14" s="90">
        <f t="shared" si="2"/>
        <v>194234.45454741904</v>
      </c>
      <c r="R14" s="91">
        <f t="shared" si="5"/>
        <v>6.642461222625335</v>
      </c>
      <c r="S14" s="82"/>
      <c r="T14" s="82"/>
      <c r="U14" s="82"/>
      <c r="V14" s="82"/>
    </row>
    <row r="15" spans="1:22">
      <c r="A15" s="82"/>
      <c r="B15" s="88" t="s">
        <v>197</v>
      </c>
      <c r="C15" s="89">
        <v>900</v>
      </c>
      <c r="D15" s="89">
        <v>1</v>
      </c>
      <c r="E15" s="89">
        <v>1562</v>
      </c>
      <c r="F15" s="89">
        <v>6</v>
      </c>
      <c r="G15" s="87">
        <f t="shared" si="3"/>
        <v>2655399.9999999995</v>
      </c>
      <c r="H15" s="89">
        <v>1</v>
      </c>
      <c r="I15" s="89">
        <v>1614</v>
      </c>
      <c r="J15" s="89">
        <v>6</v>
      </c>
      <c r="K15" s="87">
        <f t="shared" si="4"/>
        <v>2743799.9999999995</v>
      </c>
      <c r="L15" s="89">
        <v>1</v>
      </c>
      <c r="M15" s="89">
        <v>1660</v>
      </c>
      <c r="N15" s="89">
        <v>6</v>
      </c>
      <c r="O15" s="87">
        <f t="shared" si="0"/>
        <v>2822000</v>
      </c>
      <c r="P15" s="90">
        <f t="shared" si="1"/>
        <v>2740400</v>
      </c>
      <c r="Q15" s="90">
        <f t="shared" si="2"/>
        <v>83352.024570492809</v>
      </c>
      <c r="R15" s="91">
        <f t="shared" si="5"/>
        <v>6.4378139588473458</v>
      </c>
      <c r="S15" s="82"/>
      <c r="T15" s="82"/>
      <c r="U15" s="82"/>
      <c r="V15" s="82"/>
    </row>
    <row r="16" spans="1:22">
      <c r="A16" s="82"/>
      <c r="B16" s="88" t="s">
        <v>198</v>
      </c>
      <c r="C16" s="89">
        <v>900</v>
      </c>
      <c r="D16" s="89">
        <v>1</v>
      </c>
      <c r="E16" s="89">
        <v>2084</v>
      </c>
      <c r="F16" s="89">
        <v>13</v>
      </c>
      <c r="G16" s="87">
        <f t="shared" si="3"/>
        <v>1635138.4615384615</v>
      </c>
      <c r="H16" s="89">
        <v>1</v>
      </c>
      <c r="I16" s="89">
        <v>2144</v>
      </c>
      <c r="J16" s="89">
        <v>13</v>
      </c>
      <c r="K16" s="87">
        <f t="shared" si="4"/>
        <v>1682215.3846153847</v>
      </c>
      <c r="L16" s="89">
        <v>1</v>
      </c>
      <c r="M16" s="89">
        <v>1740</v>
      </c>
      <c r="N16" s="89">
        <v>13</v>
      </c>
      <c r="O16" s="87">
        <f t="shared" si="0"/>
        <v>1365230.769230769</v>
      </c>
      <c r="P16" s="90">
        <f t="shared" si="1"/>
        <v>1560861.5384615387</v>
      </c>
      <c r="Q16" s="90">
        <f t="shared" si="2"/>
        <v>171048.55326475156</v>
      </c>
      <c r="R16" s="91">
        <f t="shared" si="5"/>
        <v>6.1933643792000312</v>
      </c>
      <c r="S16" s="82"/>
      <c r="T16" s="82"/>
      <c r="U16" s="82"/>
      <c r="V16" s="82"/>
    </row>
    <row r="17" spans="1:22">
      <c r="A17" s="82"/>
      <c r="B17" s="88" t="s">
        <v>199</v>
      </c>
      <c r="C17" s="89">
        <v>900</v>
      </c>
      <c r="D17" s="89">
        <v>1</v>
      </c>
      <c r="E17" s="89">
        <v>2200</v>
      </c>
      <c r="F17" s="89">
        <v>26</v>
      </c>
      <c r="G17" s="87">
        <f t="shared" si="3"/>
        <v>863076.92307692301</v>
      </c>
      <c r="H17" s="89">
        <v>1</v>
      </c>
      <c r="I17" s="89">
        <v>2389</v>
      </c>
      <c r="J17" s="89">
        <v>26</v>
      </c>
      <c r="K17" s="87">
        <f t="shared" si="4"/>
        <v>937223.07692307688</v>
      </c>
      <c r="L17" s="89">
        <v>1</v>
      </c>
      <c r="M17" s="89">
        <v>2163</v>
      </c>
      <c r="N17" s="89">
        <v>26</v>
      </c>
      <c r="O17" s="87">
        <f t="shared" si="0"/>
        <v>848561.53846153838</v>
      </c>
      <c r="P17" s="90">
        <f t="shared" si="1"/>
        <v>882953.84615384601</v>
      </c>
      <c r="Q17" s="90">
        <f t="shared" si="2"/>
        <v>47555.611170987548</v>
      </c>
      <c r="R17" s="91">
        <f t="shared" si="5"/>
        <v>5.9459380026890356</v>
      </c>
      <c r="S17" s="82"/>
      <c r="T17" s="82"/>
      <c r="U17" s="82"/>
      <c r="V17" s="82"/>
    </row>
    <row r="18" spans="1:22">
      <c r="A18" s="82"/>
      <c r="B18" s="88" t="s">
        <v>200</v>
      </c>
      <c r="C18" s="89">
        <v>900</v>
      </c>
      <c r="D18" s="89">
        <v>1</v>
      </c>
      <c r="E18" s="89">
        <v>2258</v>
      </c>
      <c r="F18" s="89">
        <v>53</v>
      </c>
      <c r="G18" s="87">
        <f t="shared" si="3"/>
        <v>434558.49056603765</v>
      </c>
      <c r="H18" s="89">
        <v>1</v>
      </c>
      <c r="I18" s="89">
        <v>2364</v>
      </c>
      <c r="J18" s="89">
        <v>53</v>
      </c>
      <c r="K18" s="87">
        <f t="shared" si="4"/>
        <v>454958.49056603771</v>
      </c>
      <c r="L18" s="89">
        <v>1</v>
      </c>
      <c r="M18" s="89">
        <v>2494</v>
      </c>
      <c r="N18" s="89">
        <v>53</v>
      </c>
      <c r="O18" s="87">
        <f t="shared" si="0"/>
        <v>479977.35849056597</v>
      </c>
      <c r="P18" s="90">
        <f t="shared" si="1"/>
        <v>456498.11320754705</v>
      </c>
      <c r="Q18" s="90">
        <f t="shared" si="2"/>
        <v>22748.543234570494</v>
      </c>
      <c r="R18" s="91">
        <f t="shared" si="5"/>
        <v>5.6594389868533534</v>
      </c>
      <c r="S18" s="82"/>
      <c r="T18" s="82"/>
      <c r="U18" s="82"/>
      <c r="V18" s="82"/>
    </row>
    <row r="19" spans="1:22">
      <c r="A19" s="82"/>
      <c r="B19" s="88" t="s">
        <v>201</v>
      </c>
      <c r="C19" s="89">
        <v>900</v>
      </c>
      <c r="D19" s="89">
        <v>1</v>
      </c>
      <c r="E19" s="89">
        <v>2389</v>
      </c>
      <c r="F19" s="89">
        <v>107</v>
      </c>
      <c r="G19" s="87">
        <f t="shared" si="3"/>
        <v>227736.44859813081</v>
      </c>
      <c r="H19" s="89">
        <v>1</v>
      </c>
      <c r="I19" s="89">
        <v>2798</v>
      </c>
      <c r="J19" s="89">
        <v>107</v>
      </c>
      <c r="K19" s="87">
        <f t="shared" si="4"/>
        <v>266725.23364485975</v>
      </c>
      <c r="L19" s="89">
        <v>1</v>
      </c>
      <c r="M19" s="89">
        <v>7437</v>
      </c>
      <c r="N19" s="89">
        <v>394</v>
      </c>
      <c r="O19" s="87">
        <f t="shared" si="0"/>
        <v>192531.47208121826</v>
      </c>
      <c r="P19" s="90">
        <f t="shared" si="1"/>
        <v>228997.71810806962</v>
      </c>
      <c r="Q19" s="90">
        <f t="shared" si="2"/>
        <v>37112.958172626859</v>
      </c>
      <c r="R19" s="91">
        <f t="shared" si="5"/>
        <v>5.359831154750319</v>
      </c>
      <c r="S19" s="82"/>
      <c r="T19" s="82"/>
      <c r="U19" s="82"/>
      <c r="V19" s="82"/>
    </row>
    <row r="20" spans="1:22" ht="15" thickBot="1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</row>
    <row r="21" spans="1:22" ht="43" thickBot="1">
      <c r="A21" s="82"/>
      <c r="B21" s="92" t="s">
        <v>4</v>
      </c>
      <c r="C21" s="92" t="s">
        <v>202</v>
      </c>
      <c r="D21" s="92" t="s">
        <v>203</v>
      </c>
      <c r="E21" s="92" t="s">
        <v>204</v>
      </c>
      <c r="F21" s="92" t="s">
        <v>205</v>
      </c>
      <c r="G21" s="93" t="s">
        <v>206</v>
      </c>
      <c r="H21" s="94" t="s">
        <v>207</v>
      </c>
      <c r="I21" s="94" t="s">
        <v>254</v>
      </c>
      <c r="J21" s="94" t="s">
        <v>255</v>
      </c>
      <c r="K21" s="94" t="s">
        <v>256</v>
      </c>
      <c r="L21" s="94" t="s">
        <v>257</v>
      </c>
      <c r="M21" s="95" t="s">
        <v>253</v>
      </c>
      <c r="N21" s="82"/>
      <c r="O21" s="82"/>
      <c r="P21" s="82"/>
      <c r="Q21" s="82"/>
      <c r="R21" s="82"/>
      <c r="S21" s="82"/>
      <c r="T21" s="82"/>
      <c r="U21" s="82"/>
      <c r="V21" s="82"/>
    </row>
    <row r="22" spans="1:22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</row>
    <row r="23" spans="1:22">
      <c r="A23" s="82"/>
      <c r="B23" s="88" t="s">
        <v>186</v>
      </c>
      <c r="C23" s="96">
        <v>12.024166107177734</v>
      </c>
      <c r="D23" s="96">
        <v>11.937971115112305</v>
      </c>
      <c r="E23" s="96">
        <v>12.113894462585449</v>
      </c>
      <c r="F23" s="102">
        <f>AVERAGE(C23:E23)</f>
        <v>12.025343894958496</v>
      </c>
      <c r="G23" s="115">
        <f>1000/1000*200/4*1000/900</f>
        <v>55.555555555555557</v>
      </c>
      <c r="H23" s="114">
        <f>LOG(G23)/LOG(2)</f>
        <v>5.7958592832197748</v>
      </c>
      <c r="I23" s="96">
        <f>C23-H23</f>
        <v>6.2283068239579595</v>
      </c>
      <c r="J23" s="96">
        <f>D23-H23</f>
        <v>6.1421118318925298</v>
      </c>
      <c r="K23" s="96">
        <f>E23-H23</f>
        <v>6.3180351793656744</v>
      </c>
      <c r="L23" s="102">
        <f>AVERAGE(I23:K23)</f>
        <v>6.2294846117387221</v>
      </c>
      <c r="M23" s="95"/>
      <c r="N23" s="82"/>
      <c r="O23" s="82"/>
      <c r="P23" s="82"/>
      <c r="Q23" s="82"/>
      <c r="R23" s="82"/>
      <c r="S23" s="82"/>
      <c r="T23" s="82"/>
      <c r="U23" s="82"/>
      <c r="V23" s="82"/>
    </row>
    <row r="24" spans="1:22">
      <c r="A24" s="82"/>
      <c r="B24" s="88" t="s">
        <v>187</v>
      </c>
      <c r="C24" s="96">
        <v>17.587196350097656</v>
      </c>
      <c r="D24" s="96">
        <v>17.463251113891602</v>
      </c>
      <c r="E24" s="96">
        <v>17.496953964233398</v>
      </c>
      <c r="F24" s="102">
        <f t="shared" ref="F24:F38" si="6">AVERAGE(C24:E24)</f>
        <v>17.515800476074219</v>
      </c>
      <c r="G24" s="115">
        <f t="shared" ref="G24:G27" si="7">1000/1000*200/4*1000/900</f>
        <v>55.555555555555557</v>
      </c>
      <c r="H24" s="114">
        <f t="shared" ref="H24:H38" si="8">LOG(G24)/LOG(2)</f>
        <v>5.7958592832197748</v>
      </c>
      <c r="I24" s="96">
        <f>C24-H24</f>
        <v>11.791337066877881</v>
      </c>
      <c r="J24" s="96">
        <f t="shared" ref="J24:J38" si="9">D24-H24</f>
        <v>11.667391830671827</v>
      </c>
      <c r="K24" s="96">
        <f t="shared" ref="K24:K38" si="10">E24-H24</f>
        <v>11.701094681013624</v>
      </c>
      <c r="L24" s="102">
        <f t="shared" ref="L24:L38" si="11">AVERAGE(I24:K24)</f>
        <v>11.719941192854444</v>
      </c>
      <c r="M24" s="82"/>
      <c r="N24" s="82"/>
      <c r="O24" s="82"/>
      <c r="P24" s="82"/>
      <c r="Q24" s="82"/>
      <c r="R24" s="82"/>
      <c r="S24" s="82"/>
      <c r="T24" s="82"/>
      <c r="U24" s="82"/>
      <c r="V24" s="82"/>
    </row>
    <row r="25" spans="1:22">
      <c r="A25" s="82"/>
      <c r="B25" s="88" t="s">
        <v>188</v>
      </c>
      <c r="C25" s="96">
        <v>20.035877227783203</v>
      </c>
      <c r="D25" s="96">
        <v>19.974271774291992</v>
      </c>
      <c r="E25" s="96">
        <v>19.944717407226562</v>
      </c>
      <c r="F25" s="102">
        <f t="shared" si="6"/>
        <v>19.984955469767254</v>
      </c>
      <c r="G25" s="115">
        <f t="shared" si="7"/>
        <v>55.555555555555557</v>
      </c>
      <c r="H25" s="114">
        <f t="shared" si="8"/>
        <v>5.7958592832197748</v>
      </c>
      <c r="I25" s="96">
        <f>C25-H25</f>
        <v>14.240017944563428</v>
      </c>
      <c r="J25" s="96">
        <f t="shared" si="9"/>
        <v>14.178412491072217</v>
      </c>
      <c r="K25" s="96">
        <f t="shared" si="10"/>
        <v>14.148858124006788</v>
      </c>
      <c r="L25" s="102">
        <f t="shared" si="11"/>
        <v>14.189096186547479</v>
      </c>
      <c r="M25" s="82"/>
      <c r="N25" s="82"/>
      <c r="O25" s="82"/>
      <c r="P25" s="82"/>
      <c r="Q25" s="82"/>
      <c r="R25" s="82"/>
      <c r="S25" s="82"/>
      <c r="T25" s="82"/>
      <c r="U25" s="82"/>
      <c r="V25" s="82"/>
    </row>
    <row r="26" spans="1:22">
      <c r="A26" s="82"/>
      <c r="B26" s="88" t="s">
        <v>189</v>
      </c>
      <c r="C26" s="96">
        <v>24.500289916992188</v>
      </c>
      <c r="D26" s="96">
        <v>24.458871841430664</v>
      </c>
      <c r="E26" s="96">
        <v>24.548263549804688</v>
      </c>
      <c r="F26" s="102">
        <f t="shared" si="6"/>
        <v>24.502475102742512</v>
      </c>
      <c r="G26" s="115">
        <f t="shared" si="7"/>
        <v>55.555555555555557</v>
      </c>
      <c r="H26" s="114">
        <f t="shared" si="8"/>
        <v>5.7958592832197748</v>
      </c>
      <c r="I26" s="96">
        <f>C26-H26</f>
        <v>18.704430633772411</v>
      </c>
      <c r="J26" s="96">
        <f t="shared" si="9"/>
        <v>18.663012558210887</v>
      </c>
      <c r="K26" s="96">
        <f t="shared" si="10"/>
        <v>18.752404266584911</v>
      </c>
      <c r="L26" s="102">
        <f t="shared" si="11"/>
        <v>18.706615819522735</v>
      </c>
      <c r="M26" s="95"/>
      <c r="N26" s="82"/>
      <c r="O26" s="82"/>
      <c r="P26" s="82"/>
      <c r="Q26" s="82"/>
      <c r="R26" s="82"/>
      <c r="S26" s="82"/>
      <c r="T26" s="82"/>
      <c r="U26" s="82"/>
      <c r="V26" s="82"/>
    </row>
    <row r="27" spans="1:22">
      <c r="A27" s="82"/>
      <c r="B27" s="88" t="s">
        <v>190</v>
      </c>
      <c r="C27" s="96">
        <v>27.966335296630859</v>
      </c>
      <c r="D27" s="96">
        <v>27.953102111816406</v>
      </c>
      <c r="E27" s="96">
        <v>27.858415603637695</v>
      </c>
      <c r="F27" s="102">
        <f>AVERAGE(C27:E27)</f>
        <v>27.92595100402832</v>
      </c>
      <c r="G27" s="115">
        <f t="shared" si="7"/>
        <v>55.555555555555557</v>
      </c>
      <c r="H27" s="114">
        <f t="shared" si="8"/>
        <v>5.7958592832197748</v>
      </c>
      <c r="I27" s="96">
        <f>C27-H27</f>
        <v>22.170476013411083</v>
      </c>
      <c r="J27" s="96">
        <f>D27-H27</f>
        <v>22.15724282859663</v>
      </c>
      <c r="K27" s="96">
        <f>E27-H27</f>
        <v>22.062556320417919</v>
      </c>
      <c r="L27" s="102">
        <f t="shared" si="11"/>
        <v>22.130091720808547</v>
      </c>
      <c r="M27" s="95"/>
      <c r="N27" s="82"/>
      <c r="O27" s="82"/>
      <c r="P27" s="82"/>
      <c r="Q27" s="82"/>
      <c r="R27" s="82"/>
      <c r="S27" s="82"/>
      <c r="T27" s="82"/>
      <c r="U27" s="82"/>
      <c r="V27" s="82"/>
    </row>
    <row r="28" spans="1:22">
      <c r="A28" s="82"/>
      <c r="B28" s="88" t="s">
        <v>191</v>
      </c>
      <c r="C28" s="96">
        <v>13.96388053894043</v>
      </c>
      <c r="D28" s="96">
        <v>13.646139144897461</v>
      </c>
      <c r="E28" s="96">
        <v>13.680848121643066</v>
      </c>
      <c r="F28" s="102">
        <f t="shared" si="6"/>
        <v>13.763622601826986</v>
      </c>
      <c r="G28" s="82">
        <f>1000/1000*200/4*1000/500</f>
        <v>100</v>
      </c>
      <c r="H28" s="114">
        <f t="shared" si="8"/>
        <v>6.6438561897747244</v>
      </c>
      <c r="I28" s="96">
        <f t="shared" ref="I28:I38" si="12">C28-H28</f>
        <v>7.3200243491657053</v>
      </c>
      <c r="J28" s="96">
        <f t="shared" si="9"/>
        <v>7.0022829551227366</v>
      </c>
      <c r="K28" s="96">
        <f t="shared" si="10"/>
        <v>7.036991931868342</v>
      </c>
      <c r="L28" s="102">
        <f t="shared" si="11"/>
        <v>7.119766412052261</v>
      </c>
      <c r="M28" s="82"/>
      <c r="N28" s="82"/>
      <c r="O28" s="82"/>
      <c r="P28" s="82"/>
      <c r="Q28" s="82"/>
      <c r="R28" s="82"/>
      <c r="S28" s="82"/>
      <c r="T28" s="82"/>
      <c r="U28" s="82"/>
      <c r="V28" s="82"/>
    </row>
    <row r="29" spans="1:22">
      <c r="A29" s="82"/>
      <c r="B29" s="88" t="s">
        <v>192</v>
      </c>
      <c r="C29" s="96">
        <v>15.15186882019043</v>
      </c>
      <c r="D29" s="96">
        <v>15.517631530761719</v>
      </c>
      <c r="E29" s="96">
        <v>15.663459777832031</v>
      </c>
      <c r="F29" s="102">
        <f t="shared" si="6"/>
        <v>15.44432004292806</v>
      </c>
      <c r="G29" s="82">
        <f t="shared" ref="G29:G38" si="13">1000/1000*200/4*1000/500</f>
        <v>100</v>
      </c>
      <c r="H29" s="114">
        <f t="shared" si="8"/>
        <v>6.6438561897747244</v>
      </c>
      <c r="I29" s="96">
        <f t="shared" si="12"/>
        <v>8.5080126304157062</v>
      </c>
      <c r="J29" s="96">
        <f t="shared" si="9"/>
        <v>8.8737753409869953</v>
      </c>
      <c r="K29" s="96">
        <f t="shared" si="10"/>
        <v>9.0196035880573078</v>
      </c>
      <c r="L29" s="102">
        <f t="shared" si="11"/>
        <v>8.800463853153337</v>
      </c>
      <c r="M29" s="82"/>
      <c r="N29" s="82"/>
      <c r="O29" s="82"/>
      <c r="P29" s="82"/>
      <c r="Q29" s="82"/>
      <c r="R29" s="82"/>
      <c r="S29" s="82"/>
      <c r="T29" s="82"/>
      <c r="U29" s="82"/>
      <c r="V29" s="82"/>
    </row>
    <row r="30" spans="1:22">
      <c r="A30" s="82"/>
      <c r="B30" s="88" t="s">
        <v>193</v>
      </c>
      <c r="C30" s="96">
        <v>16.251581192016602</v>
      </c>
      <c r="D30" s="96">
        <v>16.335042953491211</v>
      </c>
      <c r="E30" s="96">
        <v>16.212072372436523</v>
      </c>
      <c r="F30" s="102">
        <f t="shared" si="6"/>
        <v>16.266232172648113</v>
      </c>
      <c r="G30" s="82">
        <f t="shared" si="13"/>
        <v>100</v>
      </c>
      <c r="H30" s="114">
        <f t="shared" si="8"/>
        <v>6.6438561897747244</v>
      </c>
      <c r="I30" s="96">
        <f t="shared" si="12"/>
        <v>9.6077250022418781</v>
      </c>
      <c r="J30" s="96">
        <f t="shared" si="9"/>
        <v>9.6911867637164875</v>
      </c>
      <c r="K30" s="96">
        <f t="shared" si="10"/>
        <v>9.5682161826618</v>
      </c>
      <c r="L30" s="102">
        <f t="shared" si="11"/>
        <v>9.6223759828733879</v>
      </c>
      <c r="M30" s="82"/>
      <c r="N30" s="82"/>
      <c r="O30" s="82"/>
      <c r="P30" s="82"/>
      <c r="Q30" s="82"/>
      <c r="R30" s="82"/>
      <c r="S30" s="82"/>
      <c r="T30" s="82"/>
      <c r="U30" s="82"/>
      <c r="V30" s="82"/>
    </row>
    <row r="31" spans="1:22">
      <c r="A31" s="82"/>
      <c r="B31" s="88" t="s">
        <v>194</v>
      </c>
      <c r="C31" s="96">
        <v>18.410284042358398</v>
      </c>
      <c r="D31" s="96">
        <v>18.640316009521484</v>
      </c>
      <c r="E31" s="96">
        <v>18.454940795898438</v>
      </c>
      <c r="F31" s="102">
        <f t="shared" si="6"/>
        <v>18.501846949259441</v>
      </c>
      <c r="G31" s="82">
        <f t="shared" si="13"/>
        <v>100</v>
      </c>
      <c r="H31" s="114">
        <f t="shared" si="8"/>
        <v>6.6438561897747244</v>
      </c>
      <c r="I31" s="96">
        <f t="shared" si="12"/>
        <v>11.766427852583675</v>
      </c>
      <c r="J31" s="96">
        <f t="shared" si="9"/>
        <v>11.996459819746761</v>
      </c>
      <c r="K31" s="96">
        <f t="shared" si="10"/>
        <v>11.811084606123714</v>
      </c>
      <c r="L31" s="102">
        <f t="shared" si="11"/>
        <v>11.857990759484716</v>
      </c>
      <c r="M31" s="82"/>
      <c r="N31" s="82"/>
      <c r="O31" s="82"/>
      <c r="P31" s="82"/>
      <c r="Q31" s="82"/>
      <c r="R31" s="82"/>
      <c r="S31" s="82"/>
      <c r="T31" s="82"/>
      <c r="U31" s="82"/>
      <c r="V31" s="82"/>
    </row>
    <row r="32" spans="1:22">
      <c r="A32" s="82"/>
      <c r="B32" s="88" t="s">
        <v>195</v>
      </c>
      <c r="C32" s="96">
        <v>18.648725509643555</v>
      </c>
      <c r="D32" s="96">
        <v>18.836643218994141</v>
      </c>
      <c r="E32" s="96">
        <v>18.618749618530273</v>
      </c>
      <c r="F32" s="102">
        <f t="shared" si="6"/>
        <v>18.701372782389324</v>
      </c>
      <c r="G32" s="82">
        <f t="shared" si="13"/>
        <v>100</v>
      </c>
      <c r="H32" s="114">
        <f t="shared" si="8"/>
        <v>6.6438561897747244</v>
      </c>
      <c r="I32" s="96">
        <f t="shared" si="12"/>
        <v>12.004869319868831</v>
      </c>
      <c r="J32" s="96">
        <f t="shared" si="9"/>
        <v>12.192787029219417</v>
      </c>
      <c r="K32" s="96">
        <f t="shared" si="10"/>
        <v>11.97489342875555</v>
      </c>
      <c r="L32" s="102">
        <f t="shared" si="11"/>
        <v>12.057516592614599</v>
      </c>
      <c r="M32" s="82"/>
      <c r="N32" s="82"/>
      <c r="O32" s="82"/>
      <c r="P32" s="82"/>
      <c r="Q32" s="82"/>
      <c r="R32" s="82"/>
      <c r="S32" s="82"/>
      <c r="T32" s="82"/>
      <c r="U32" s="82"/>
      <c r="V32" s="82"/>
    </row>
    <row r="33" spans="1:22">
      <c r="A33" s="82"/>
      <c r="B33" s="88" t="s">
        <v>196</v>
      </c>
      <c r="C33" s="96">
        <v>19.173038482666016</v>
      </c>
      <c r="D33" s="96">
        <v>19.267778396606445</v>
      </c>
      <c r="E33" s="96">
        <v>19.15654182434082</v>
      </c>
      <c r="F33" s="102">
        <f t="shared" si="6"/>
        <v>19.199119567871094</v>
      </c>
      <c r="G33" s="82">
        <f t="shared" si="13"/>
        <v>100</v>
      </c>
      <c r="H33" s="114">
        <f t="shared" si="8"/>
        <v>6.6438561897747244</v>
      </c>
      <c r="I33" s="96">
        <f t="shared" si="12"/>
        <v>12.529182292891292</v>
      </c>
      <c r="J33" s="96">
        <f t="shared" si="9"/>
        <v>12.623922206831722</v>
      </c>
      <c r="K33" s="96">
        <f t="shared" si="10"/>
        <v>12.512685634566097</v>
      </c>
      <c r="L33" s="102">
        <f t="shared" si="11"/>
        <v>12.55526337809637</v>
      </c>
      <c r="M33" s="82"/>
      <c r="N33" s="82"/>
      <c r="O33" s="82"/>
      <c r="P33" s="82"/>
      <c r="Q33" s="82"/>
      <c r="R33" s="82"/>
      <c r="S33" s="82"/>
      <c r="T33" s="82"/>
      <c r="U33" s="82"/>
      <c r="V33" s="82"/>
    </row>
    <row r="34" spans="1:22">
      <c r="A34" s="82"/>
      <c r="B34" s="88" t="s">
        <v>197</v>
      </c>
      <c r="C34" s="96">
        <v>20.283313751220703</v>
      </c>
      <c r="D34" s="96">
        <v>20.449991226196289</v>
      </c>
      <c r="E34" s="96">
        <v>20.311237335205078</v>
      </c>
      <c r="F34" s="102">
        <f t="shared" si="6"/>
        <v>20.348180770874023</v>
      </c>
      <c r="G34" s="82">
        <f t="shared" si="13"/>
        <v>100</v>
      </c>
      <c r="H34" s="114">
        <f t="shared" si="8"/>
        <v>6.6438561897747244</v>
      </c>
      <c r="I34" s="96">
        <f t="shared" si="12"/>
        <v>13.63945756144598</v>
      </c>
      <c r="J34" s="96">
        <f t="shared" si="9"/>
        <v>13.806135036421566</v>
      </c>
      <c r="K34" s="96">
        <f t="shared" si="10"/>
        <v>13.667381145430355</v>
      </c>
      <c r="L34" s="102">
        <f t="shared" si="11"/>
        <v>13.7043245810993</v>
      </c>
      <c r="M34" s="82"/>
      <c r="N34" s="82"/>
      <c r="O34" s="82"/>
      <c r="P34" s="82"/>
      <c r="Q34" s="82"/>
      <c r="R34" s="82"/>
      <c r="S34" s="82"/>
      <c r="T34" s="82"/>
      <c r="U34" s="82"/>
      <c r="V34" s="82"/>
    </row>
    <row r="35" spans="1:22">
      <c r="A35" s="82"/>
      <c r="B35" s="88" t="s">
        <v>198</v>
      </c>
      <c r="C35" s="96">
        <v>21.243825912475586</v>
      </c>
      <c r="D35" s="96">
        <v>21.539775848388672</v>
      </c>
      <c r="E35" s="96">
        <v>21.392797470092773</v>
      </c>
      <c r="F35" s="102">
        <f t="shared" si="6"/>
        <v>21.392133076985676</v>
      </c>
      <c r="G35" s="82">
        <f t="shared" si="13"/>
        <v>100</v>
      </c>
      <c r="H35" s="114">
        <f t="shared" si="8"/>
        <v>6.6438561897747244</v>
      </c>
      <c r="I35" s="96">
        <f t="shared" si="12"/>
        <v>14.599969722700862</v>
      </c>
      <c r="J35" s="96">
        <f t="shared" si="9"/>
        <v>14.895919658613948</v>
      </c>
      <c r="K35" s="96">
        <f t="shared" si="10"/>
        <v>14.74894128031805</v>
      </c>
      <c r="L35" s="102">
        <f t="shared" si="11"/>
        <v>14.748276887210954</v>
      </c>
      <c r="M35" s="82"/>
      <c r="N35" s="82"/>
      <c r="O35" s="82"/>
      <c r="P35" s="82"/>
      <c r="Q35" s="82"/>
      <c r="R35" s="82"/>
      <c r="S35" s="82"/>
      <c r="T35" s="82"/>
      <c r="U35" s="82"/>
      <c r="V35" s="82"/>
    </row>
    <row r="36" spans="1:22">
      <c r="A36" s="82"/>
      <c r="B36" s="88" t="s">
        <v>199</v>
      </c>
      <c r="C36" s="96">
        <v>22.513101577758789</v>
      </c>
      <c r="D36" s="96">
        <v>22.496644973754883</v>
      </c>
      <c r="E36" s="96">
        <v>22.572574615478516</v>
      </c>
      <c r="F36" s="102">
        <f t="shared" si="6"/>
        <v>22.527440388997395</v>
      </c>
      <c r="G36" s="82">
        <f t="shared" si="13"/>
        <v>100</v>
      </c>
      <c r="H36" s="114">
        <f t="shared" si="8"/>
        <v>6.6438561897747244</v>
      </c>
      <c r="I36" s="96">
        <f t="shared" si="12"/>
        <v>15.869245387984066</v>
      </c>
      <c r="J36" s="96">
        <f t="shared" si="9"/>
        <v>15.852788783980159</v>
      </c>
      <c r="K36" s="96">
        <f t="shared" si="10"/>
        <v>15.928718425703792</v>
      </c>
      <c r="L36" s="102">
        <f t="shared" si="11"/>
        <v>15.883584199222673</v>
      </c>
      <c r="M36" s="82"/>
      <c r="N36" s="82"/>
      <c r="O36" s="82"/>
      <c r="P36" s="82"/>
      <c r="Q36" s="82"/>
      <c r="R36" s="82"/>
      <c r="S36" s="82"/>
      <c r="T36" s="82"/>
      <c r="U36" s="82"/>
      <c r="V36" s="82"/>
    </row>
    <row r="37" spans="1:22">
      <c r="A37" s="82"/>
      <c r="B37" s="88" t="s">
        <v>200</v>
      </c>
      <c r="C37" s="96">
        <v>25.11761474609375</v>
      </c>
      <c r="D37" s="96">
        <v>25.00200080871582</v>
      </c>
      <c r="E37" s="96">
        <v>25.069990158081055</v>
      </c>
      <c r="F37" s="102">
        <f t="shared" si="6"/>
        <v>25.063201904296875</v>
      </c>
      <c r="G37" s="82">
        <f t="shared" si="13"/>
        <v>100</v>
      </c>
      <c r="H37" s="114">
        <f t="shared" si="8"/>
        <v>6.6438561897747244</v>
      </c>
      <c r="I37" s="96">
        <f t="shared" si="12"/>
        <v>18.473758556319027</v>
      </c>
      <c r="J37" s="96">
        <f t="shared" si="9"/>
        <v>18.358144618941097</v>
      </c>
      <c r="K37" s="96">
        <f t="shared" si="10"/>
        <v>18.426133968306331</v>
      </c>
      <c r="L37" s="102">
        <f t="shared" si="11"/>
        <v>18.419345714522152</v>
      </c>
      <c r="M37" s="82"/>
      <c r="N37" s="82"/>
      <c r="O37" s="82"/>
      <c r="P37" s="82"/>
      <c r="Q37" s="82"/>
      <c r="R37" s="82"/>
      <c r="S37" s="82"/>
      <c r="T37" s="82"/>
      <c r="U37" s="82"/>
      <c r="V37" s="82"/>
    </row>
    <row r="38" spans="1:22">
      <c r="A38" s="82"/>
      <c r="B38" s="88" t="s">
        <v>201</v>
      </c>
      <c r="C38" s="96">
        <v>25.78911018371582</v>
      </c>
      <c r="D38" s="96">
        <v>25.811565399169922</v>
      </c>
      <c r="E38" s="96">
        <v>25.885698318481445</v>
      </c>
      <c r="F38" s="102">
        <f t="shared" si="6"/>
        <v>25.82879130045573</v>
      </c>
      <c r="G38" s="82">
        <f t="shared" si="13"/>
        <v>100</v>
      </c>
      <c r="H38" s="114">
        <f t="shared" si="8"/>
        <v>6.6438561897747244</v>
      </c>
      <c r="I38" s="96">
        <f t="shared" si="12"/>
        <v>19.145253993941097</v>
      </c>
      <c r="J38" s="96">
        <f t="shared" si="9"/>
        <v>19.167709209395198</v>
      </c>
      <c r="K38" s="96">
        <f t="shared" si="10"/>
        <v>19.241842128706722</v>
      </c>
      <c r="L38" s="102">
        <f t="shared" si="11"/>
        <v>19.184935110681007</v>
      </c>
      <c r="M38" s="82"/>
      <c r="N38" s="82"/>
      <c r="O38" s="82"/>
      <c r="P38" s="82"/>
      <c r="Q38" s="82"/>
      <c r="R38" s="82"/>
      <c r="S38" s="82"/>
      <c r="T38" s="82"/>
      <c r="U38" s="82"/>
      <c r="V38" s="82"/>
    </row>
    <row r="39" spans="1:22">
      <c r="A39" s="82"/>
      <c r="B39" s="82"/>
      <c r="C39" s="82"/>
      <c r="D39" s="82"/>
      <c r="E39" s="82"/>
      <c r="F39" s="114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</row>
    <row r="40" spans="1:22">
      <c r="A40" s="82"/>
      <c r="B40" s="88" t="s">
        <v>258</v>
      </c>
      <c r="C40" s="96">
        <v>10.746070861816406</v>
      </c>
      <c r="D40" s="96">
        <v>10.822755813598633</v>
      </c>
      <c r="E40" s="96">
        <v>10.731834411621094</v>
      </c>
      <c r="F40" s="102">
        <f>AVERAGE(C40:E40)</f>
        <v>10.766887029012045</v>
      </c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</row>
    <row r="41" spans="1:22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</row>
    <row r="42" spans="1:22">
      <c r="A42" s="82"/>
      <c r="B42" s="95" t="s">
        <v>214</v>
      </c>
      <c r="C42" s="82" t="s">
        <v>215</v>
      </c>
      <c r="D42" s="82"/>
      <c r="E42" s="82"/>
      <c r="F42" t="s">
        <v>259</v>
      </c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</row>
    <row r="43" spans="1:22">
      <c r="A43" s="82"/>
      <c r="B43" s="82" t="s">
        <v>260</v>
      </c>
      <c r="C43" s="82" t="s">
        <v>215</v>
      </c>
      <c r="D43" s="82"/>
      <c r="E43" s="82"/>
      <c r="F43">
        <v>0.34642903804779052</v>
      </c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</row>
    <row r="44" spans="1:22">
      <c r="A44" s="82"/>
      <c r="B44" s="82"/>
      <c r="C44" s="99" t="s">
        <v>217</v>
      </c>
      <c r="D44" s="97">
        <v>-3.9893000000000001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</row>
    <row r="45" spans="1:22">
      <c r="A45" s="82"/>
      <c r="B45" s="82"/>
      <c r="C45" s="99" t="s">
        <v>218</v>
      </c>
      <c r="D45" s="97">
        <v>40.134999999999998</v>
      </c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</row>
    <row r="46" spans="1:22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</row>
    <row r="47" spans="1:22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</row>
    <row r="48" spans="1:22">
      <c r="A48" s="82"/>
      <c r="B48" s="95" t="s">
        <v>219</v>
      </c>
      <c r="C48" s="82"/>
      <c r="D48" s="82">
        <f>-1+ POWER(10,-(1/D44))</f>
        <v>0.78102716558460528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</row>
    <row r="49" spans="1:22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</row>
    <row r="50" spans="1:22">
      <c r="A50" s="82"/>
      <c r="B50" s="95" t="s">
        <v>261</v>
      </c>
      <c r="C50" s="116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</row>
    <row r="51" spans="1:22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</row>
    <row r="52" spans="1:22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</row>
    <row r="53" spans="1:22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</row>
    <row r="54" spans="1:22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</row>
    <row r="55" spans="1:22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opLeftCell="A86" workbookViewId="0">
      <selection activeCell="A98" sqref="A98:H106"/>
    </sheetView>
  </sheetViews>
  <sheetFormatPr baseColWidth="10" defaultRowHeight="14" x14ac:dyDescent="0"/>
  <cols>
    <col min="14" max="14" width="18.83203125" customWidth="1"/>
    <col min="15" max="15" width="20.1640625" customWidth="1"/>
    <col min="16" max="16" width="18.5" customWidth="1"/>
    <col min="17" max="18" width="19.1640625" customWidth="1"/>
    <col min="19" max="19" width="26" customWidth="1"/>
  </cols>
  <sheetData>
    <row r="1" spans="1:29">
      <c r="A1" s="100" t="s">
        <v>262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</row>
    <row r="2" spans="1:29">
      <c r="A2" s="133" t="s">
        <v>4</v>
      </c>
      <c r="B2" s="133" t="s">
        <v>117</v>
      </c>
      <c r="C2" s="133" t="s">
        <v>117</v>
      </c>
      <c r="D2" s="133" t="s">
        <v>5</v>
      </c>
      <c r="E2" s="145" t="s">
        <v>221</v>
      </c>
      <c r="F2" s="145" t="s">
        <v>222</v>
      </c>
      <c r="G2" s="145" t="s">
        <v>223</v>
      </c>
      <c r="H2" s="147" t="s">
        <v>224</v>
      </c>
      <c r="I2" s="147" t="s">
        <v>225</v>
      </c>
      <c r="J2" s="147" t="s">
        <v>226</v>
      </c>
      <c r="K2" s="145" t="s">
        <v>227</v>
      </c>
      <c r="L2" s="145" t="s">
        <v>228</v>
      </c>
      <c r="M2" s="145" t="s">
        <v>229</v>
      </c>
      <c r="N2" s="145" t="s">
        <v>230</v>
      </c>
      <c r="O2" s="145" t="s">
        <v>231</v>
      </c>
      <c r="P2" s="147" t="s">
        <v>232</v>
      </c>
      <c r="Q2" s="147" t="s">
        <v>263</v>
      </c>
      <c r="R2" s="147" t="s">
        <v>234</v>
      </c>
      <c r="S2" s="147" t="s">
        <v>235</v>
      </c>
      <c r="T2" s="82"/>
      <c r="U2" s="82"/>
      <c r="V2" s="82"/>
      <c r="W2" s="82"/>
      <c r="X2" s="82"/>
      <c r="Y2" s="82"/>
      <c r="Z2" s="82"/>
      <c r="AA2" s="82"/>
      <c r="AB2" s="82"/>
      <c r="AC2" s="82"/>
    </row>
    <row r="3" spans="1:29">
      <c r="A3" s="134"/>
      <c r="B3" s="134"/>
      <c r="C3" s="134"/>
      <c r="D3" s="134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82"/>
      <c r="U3" s="82"/>
      <c r="V3" s="82"/>
      <c r="W3" s="82"/>
      <c r="X3" s="82"/>
      <c r="Y3" s="82"/>
      <c r="Z3" s="82"/>
      <c r="AA3" s="82"/>
      <c r="AB3" s="82"/>
      <c r="AC3" s="82"/>
    </row>
    <row r="4" spans="1:29">
      <c r="A4" s="39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96">
        <v>24.994321823120117</v>
      </c>
      <c r="F4" s="96">
        <v>25.130453109741211</v>
      </c>
      <c r="G4" s="102">
        <v>25.645305633544922</v>
      </c>
      <c r="H4" s="111">
        <f t="shared" ref="H4:J5" si="1">(E4-$H$101)+$H$108</f>
        <v>25.047893494826099</v>
      </c>
      <c r="I4" s="111">
        <f t="shared" si="1"/>
        <v>25.184024781447192</v>
      </c>
      <c r="J4" s="111">
        <f t="shared" si="1"/>
        <v>25.698877305250903</v>
      </c>
      <c r="K4" s="102">
        <f>((H4-'CalibrationB. hydrogenotrophica'!$D$45)/('CalibrationB. hydrogenotrophica'!$D$44))+$B$65</f>
        <v>7.4351057043536155</v>
      </c>
      <c r="L4" s="102">
        <f>((I4-'CalibrationB. hydrogenotrophica'!$D$45)/('CalibrationB. hydrogenotrophica'!$D$44))+$B$65</f>
        <v>7.4009816007211242</v>
      </c>
      <c r="M4" s="102">
        <f>((J4-'CalibrationB. hydrogenotrophica'!$D$45)/('CalibrationB. hydrogenotrophica'!$D$44))+$B$65</f>
        <v>7.2719232386516612</v>
      </c>
      <c r="N4" s="103">
        <f>AVERAGE(K4:M4)</f>
        <v>7.3693368479088006</v>
      </c>
      <c r="O4" s="103">
        <f>STDEV(K4:M4)</f>
        <v>8.6070738718551629E-2</v>
      </c>
      <c r="P4" s="104">
        <f>(AVERAGE(POWER(10,K4),POWER(10,L4),POWER(10,M4)))*Calculation!$I4/Calculation!$K3</f>
        <v>23734084.203520495</v>
      </c>
      <c r="Q4" s="104">
        <f>(STDEV(POWER(10,K4),POWER(10,L4),POWER(10,M4)))*Calculation!$I4/Calculation!$K3</f>
        <v>4456950.5117407413</v>
      </c>
      <c r="R4" s="103">
        <f>LOG(P4)</f>
        <v>7.3753724788169341</v>
      </c>
      <c r="S4" s="103">
        <f>O4*Calculation!$I4/Calculation!$K3</f>
        <v>8.6178935750253136E-2</v>
      </c>
      <c r="T4" s="82"/>
      <c r="U4" s="82"/>
      <c r="V4" s="82"/>
      <c r="W4" s="82"/>
      <c r="X4" s="82"/>
      <c r="Y4" s="82"/>
      <c r="Z4" s="82"/>
      <c r="AA4" s="82"/>
      <c r="AB4" s="82"/>
      <c r="AC4" s="82"/>
    </row>
    <row r="5" spans="1:29">
      <c r="A5" s="39">
        <v>1</v>
      </c>
      <c r="B5" s="31">
        <v>110</v>
      </c>
      <c r="C5" s="31">
        <f>C4+B5</f>
        <v>120</v>
      </c>
      <c r="D5" s="13">
        <f t="shared" si="0"/>
        <v>2</v>
      </c>
      <c r="E5" s="96">
        <v>22.978878021240234</v>
      </c>
      <c r="F5" s="96">
        <v>22.529682159423828</v>
      </c>
      <c r="G5" s="102">
        <v>22.900388717651367</v>
      </c>
      <c r="H5" s="111">
        <f t="shared" si="1"/>
        <v>23.032449692946216</v>
      </c>
      <c r="I5" s="111">
        <f t="shared" si="1"/>
        <v>22.583253831129809</v>
      </c>
      <c r="J5" s="111">
        <f t="shared" si="1"/>
        <v>22.953960389357349</v>
      </c>
      <c r="K5" s="102">
        <f>((H5-'CalibrationB. hydrogenotrophica'!$D$45)/('CalibrationB. hydrogenotrophica'!$D$44))+$B$65</f>
        <v>7.9403180979765278</v>
      </c>
      <c r="L5" s="102">
        <f>((I5-'CalibrationB. hydrogenotrophica'!$D$45)/('CalibrationB. hydrogenotrophica'!$D$44))+$B$65</f>
        <v>8.0529182688878169</v>
      </c>
      <c r="M5" s="102">
        <f>((J5-'CalibrationB. hydrogenotrophica'!$D$45)/('CalibrationB. hydrogenotrophica'!$D$44))+$B$65</f>
        <v>7.9599930543821298</v>
      </c>
      <c r="N5" s="103">
        <f t="shared" ref="N5:N20" si="2">AVERAGE(K5:M5)</f>
        <v>7.9844098070821587</v>
      </c>
      <c r="O5" s="103">
        <f t="shared" ref="O5:O20" si="3">STDEV(K5:M5)</f>
        <v>6.0140111253834901E-2</v>
      </c>
      <c r="P5" s="104">
        <f>(AVERAGE(POWER(10,K5),POWER(10,L5),POWER(10,M5)))*Calculation!$I5/Calculation!$K4</f>
        <v>97480982.412040696</v>
      </c>
      <c r="Q5" s="104">
        <f>(STDEV(POWER(10,K5),POWER(10,L5),POWER(10,M5)))*Calculation!$I5/Calculation!$K4</f>
        <v>13929836.2819624</v>
      </c>
      <c r="R5" s="103">
        <f t="shared" ref="R5:R19" si="4">LOG(P5)</f>
        <v>7.9889198973487385</v>
      </c>
      <c r="S5" s="103">
        <f>O5*Calculation!$I5/Calculation!$K4</f>
        <v>6.0372319477730141E-2</v>
      </c>
      <c r="T5" s="82"/>
      <c r="U5" s="82"/>
      <c r="V5" s="82"/>
      <c r="W5" s="82"/>
      <c r="X5" s="82"/>
      <c r="Y5" s="82"/>
      <c r="Z5" s="82"/>
      <c r="AA5" s="82"/>
      <c r="AB5" s="82"/>
      <c r="AC5" s="82"/>
    </row>
    <row r="6" spans="1:29">
      <c r="A6" s="39">
        <v>2</v>
      </c>
      <c r="B6" s="31">
        <v>80</v>
      </c>
      <c r="C6" s="31">
        <f>C5+B6</f>
        <v>200</v>
      </c>
      <c r="D6" s="13">
        <f t="shared" si="0"/>
        <v>3.3333333333333335</v>
      </c>
      <c r="E6" s="96">
        <v>20.094829559326172</v>
      </c>
      <c r="F6" s="96">
        <v>19.741315841674805</v>
      </c>
      <c r="G6" s="102">
        <v>19.785732269287109</v>
      </c>
      <c r="H6" s="111">
        <f>(E6-$H$104)+$H$108</f>
        <v>20.544951091668544</v>
      </c>
      <c r="I6" s="111">
        <f t="shared" ref="I6:J7" si="5">(F6-$H$104)+$H$108</f>
        <v>20.191437374017177</v>
      </c>
      <c r="J6" s="111">
        <f t="shared" si="5"/>
        <v>20.235853801629482</v>
      </c>
      <c r="K6" s="102">
        <f>((H6-'CalibrationB. hydrogenotrophica'!$D$45)/('CalibrationB. hydrogenotrophica'!$D$44))+$B$65</f>
        <v>8.5638607248227583</v>
      </c>
      <c r="L6" s="102">
        <f>((I6-'CalibrationB. hydrogenotrophica'!$D$45)/('CalibrationB. hydrogenotrophica'!$D$44))+$B$65</f>
        <v>8.6524762006333944</v>
      </c>
      <c r="M6" s="102">
        <f>((J6-'CalibrationB. hydrogenotrophica'!$D$45)/('CalibrationB. hydrogenotrophica'!$D$44))+$B$65</f>
        <v>8.6413423105744105</v>
      </c>
      <c r="N6" s="103">
        <f t="shared" si="2"/>
        <v>8.6192264120101871</v>
      </c>
      <c r="O6" s="103">
        <f t="shared" si="3"/>
        <v>4.8270180911859049E-2</v>
      </c>
      <c r="P6" s="104">
        <f>(AVERAGE(POWER(10,K6),POWER(10,L6),POWER(10,M6)))*Calculation!$I6/Calculation!$K5</f>
        <v>422228874.71276981</v>
      </c>
      <c r="Q6" s="104">
        <f>(STDEV(POWER(10,K6),POWER(10,L6),POWER(10,M6)))*Calculation!$I6/Calculation!$K5</f>
        <v>45426683.390358523</v>
      </c>
      <c r="R6" s="103">
        <f t="shared" si="4"/>
        <v>8.6255479298234263</v>
      </c>
      <c r="S6" s="103">
        <f>O6*Calculation!$I6/Calculation!$K5</f>
        <v>4.8780898986592221E-2</v>
      </c>
      <c r="T6" s="82"/>
      <c r="U6" s="82"/>
      <c r="V6" s="82"/>
      <c r="W6" s="82"/>
      <c r="X6" s="82"/>
      <c r="Y6" s="82"/>
      <c r="Z6" s="82"/>
      <c r="AA6" s="82"/>
      <c r="AB6" s="82"/>
      <c r="AC6" s="82"/>
    </row>
    <row r="7" spans="1:29">
      <c r="A7" s="39">
        <v>3</v>
      </c>
      <c r="B7" s="31">
        <v>80</v>
      </c>
      <c r="C7" s="31">
        <f>C6+B7</f>
        <v>280</v>
      </c>
      <c r="D7" s="13">
        <f t="shared" si="0"/>
        <v>4.666666666666667</v>
      </c>
      <c r="E7" s="96">
        <v>19.643321990966797</v>
      </c>
      <c r="F7" s="96">
        <v>19.270862579345703</v>
      </c>
      <c r="G7" s="102">
        <v>19.826326370239258</v>
      </c>
      <c r="H7" s="111">
        <f>(E7-$H$104)+$H$108</f>
        <v>20.093443523309169</v>
      </c>
      <c r="I7" s="111">
        <f t="shared" si="5"/>
        <v>19.720984111688075</v>
      </c>
      <c r="J7" s="111">
        <f t="shared" si="5"/>
        <v>20.27644790258163</v>
      </c>
      <c r="K7" s="102">
        <f>((H7-'CalibrationB. hydrogenotrophica'!$D$45)/('CalibrationB. hydrogenotrophica'!$D$44))+$B$65</f>
        <v>8.6770403724700582</v>
      </c>
      <c r="L7" s="102">
        <f>((I7-'CalibrationB. hydrogenotrophica'!$D$45)/('CalibrationB. hydrogenotrophica'!$D$44))+$B$65</f>
        <v>8.7704049756889422</v>
      </c>
      <c r="M7" s="102">
        <f>((J7-'CalibrationB. hydrogenotrophica'!$D$45)/('CalibrationB. hydrogenotrophica'!$D$44))+$B$65</f>
        <v>8.6311665652175424</v>
      </c>
      <c r="N7" s="103">
        <f t="shared" si="2"/>
        <v>8.6928706377921809</v>
      </c>
      <c r="O7" s="103">
        <f t="shared" si="3"/>
        <v>7.0956195732135338E-2</v>
      </c>
      <c r="P7" s="104">
        <f>(AVERAGE(POWER(10,K7),POWER(10,L7),POWER(10,M7)))*Calculation!$I7/Calculation!$K6</f>
        <v>509985159.84969532</v>
      </c>
      <c r="Q7" s="104">
        <f>(STDEV(POWER(10,K7),POWER(10,L7),POWER(10,M7)))*Calculation!$I7/Calculation!$K6</f>
        <v>85156843.883505136</v>
      </c>
      <c r="R7" s="103">
        <f t="shared" si="4"/>
        <v>8.7075575386682136</v>
      </c>
      <c r="S7" s="103">
        <f>O7*Calculation!$I7/Calculation!$K6</f>
        <v>7.2736931297926605E-2</v>
      </c>
      <c r="T7" s="82"/>
      <c r="U7" s="82"/>
      <c r="V7" s="82"/>
      <c r="W7" s="82"/>
      <c r="X7" s="82"/>
      <c r="Y7" s="82"/>
      <c r="Z7" s="82"/>
      <c r="AA7" s="82"/>
      <c r="AB7" s="82"/>
      <c r="AC7" s="82"/>
    </row>
    <row r="8" spans="1:29">
      <c r="A8" s="39">
        <v>4</v>
      </c>
      <c r="B8" s="31">
        <v>80</v>
      </c>
      <c r="C8" s="31">
        <f t="shared" ref="C8:C18" si="6">C7+B8</f>
        <v>360</v>
      </c>
      <c r="D8" s="13">
        <f t="shared" si="0"/>
        <v>6</v>
      </c>
      <c r="E8" s="96">
        <v>18.864648818969727</v>
      </c>
      <c r="F8" s="96">
        <v>19.320098876953125</v>
      </c>
      <c r="G8" s="102">
        <v>19.71098518371582</v>
      </c>
      <c r="H8" s="111">
        <f t="shared" ref="H8:H20" si="7">(E8-$H$101)+$H$108</f>
        <v>18.918220490675708</v>
      </c>
      <c r="I8" s="111">
        <f t="shared" ref="I8:I20" si="8">(F8-$H$101)+$H$108</f>
        <v>19.373670548659106</v>
      </c>
      <c r="J8" s="111">
        <f t="shared" ref="J8:J20" si="9">(G8-$H$101)+$H$108</f>
        <v>19.764556855421802</v>
      </c>
      <c r="K8" s="102">
        <f>((H8-'CalibrationB. hydrogenotrophica'!$D$45)/('CalibrationB. hydrogenotrophica'!$D$44))+$B$65</f>
        <v>8.9716341690342336</v>
      </c>
      <c r="L8" s="102">
        <f>((I8-'CalibrationB. hydrogenotrophica'!$D$45)/('CalibrationB. hydrogenotrophica'!$D$44))+$B$65</f>
        <v>8.8574662553693297</v>
      </c>
      <c r="M8" s="102">
        <f>((J8-'CalibrationB. hydrogenotrophica'!$D$45)/('CalibrationB. hydrogenotrophica'!$D$44))+$B$65</f>
        <v>8.7594825723265171</v>
      </c>
      <c r="N8" s="103">
        <f t="shared" si="2"/>
        <v>8.862860998910028</v>
      </c>
      <c r="O8" s="103">
        <f t="shared" si="3"/>
        <v>0.10617863457311373</v>
      </c>
      <c r="P8" s="104">
        <f>(AVERAGE(POWER(10,K8),POWER(10,L8),POWER(10,M8)))*Calculation!$I8/Calculation!$K7</f>
        <v>781677059.38471472</v>
      </c>
      <c r="Q8" s="104">
        <f>(STDEV(POWER(10,K8),POWER(10,L8),POWER(10,M8)))*Calculation!$I8/Calculation!$K7</f>
        <v>191415071.78142795</v>
      </c>
      <c r="R8" s="103">
        <f t="shared" si="4"/>
        <v>8.8930273664936088</v>
      </c>
      <c r="S8" s="103">
        <f>O8*Calculation!$I8/Calculation!$K7</f>
        <v>0.11156818941907322</v>
      </c>
      <c r="T8" s="82"/>
      <c r="U8" s="82"/>
      <c r="V8" s="82"/>
      <c r="W8" s="82"/>
      <c r="X8" s="82"/>
      <c r="Y8" s="82"/>
      <c r="Z8" s="82"/>
      <c r="AA8" s="82"/>
      <c r="AB8" s="82"/>
      <c r="AC8" s="82"/>
    </row>
    <row r="9" spans="1:29">
      <c r="A9" s="39">
        <v>5</v>
      </c>
      <c r="B9" s="31">
        <v>80</v>
      </c>
      <c r="C9" s="31">
        <f t="shared" si="6"/>
        <v>440</v>
      </c>
      <c r="D9" s="13">
        <f t="shared" si="0"/>
        <v>7.333333333333333</v>
      </c>
      <c r="E9" s="96">
        <v>18.099510192871094</v>
      </c>
      <c r="F9" s="96">
        <v>18.774959564208984</v>
      </c>
      <c r="G9" s="102">
        <v>18.013166427612305</v>
      </c>
      <c r="H9" s="111">
        <f t="shared" si="7"/>
        <v>18.153081864577075</v>
      </c>
      <c r="I9" s="111">
        <f t="shared" si="8"/>
        <v>18.828531235914966</v>
      </c>
      <c r="J9" s="111">
        <f t="shared" si="9"/>
        <v>18.066738099318286</v>
      </c>
      <c r="K9" s="102">
        <f>((H9-'CalibrationB. hydrogenotrophica'!$D$45)/('CalibrationB. hydrogenotrophica'!$D$44))+$B$65</f>
        <v>9.1634318844476219</v>
      </c>
      <c r="L9" s="102">
        <f>((I9-'CalibrationB. hydrogenotrophica'!$D$45)/('CalibrationB. hydrogenotrophica'!$D$44))+$B$65</f>
        <v>8.9941166232895515</v>
      </c>
      <c r="M9" s="102">
        <f>((J9-'CalibrationB. hydrogenotrophica'!$D$45)/('CalibrationB. hydrogenotrophica'!$D$44))+$B$65</f>
        <v>9.1850757230305291</v>
      </c>
      <c r="N9" s="103">
        <f t="shared" si="2"/>
        <v>9.1142080769225675</v>
      </c>
      <c r="O9" s="103">
        <f t="shared" si="3"/>
        <v>0.10456376936548747</v>
      </c>
      <c r="P9" s="104">
        <f>(AVERAGE(POWER(10,K9),POWER(10,L9),POWER(10,M9)))*Calculation!$I9/Calculation!$K8</f>
        <v>1404817903.5133955</v>
      </c>
      <c r="Q9" s="104">
        <f>(STDEV(POWER(10,K9),POWER(10,L9),POWER(10,M9)))*Calculation!$I9/Calculation!$K8</f>
        <v>313220516.76376581</v>
      </c>
      <c r="R9" s="103">
        <f t="shared" si="4"/>
        <v>9.1476200334050848</v>
      </c>
      <c r="S9" s="103">
        <f>O9*Calculation!$I9/Calculation!$K8</f>
        <v>0.11086809419441071</v>
      </c>
      <c r="T9" s="82"/>
      <c r="U9" s="82"/>
      <c r="V9" s="82"/>
      <c r="W9" s="82"/>
      <c r="X9" s="82"/>
      <c r="Y9" s="82"/>
      <c r="Z9" s="82"/>
      <c r="AA9" s="82"/>
      <c r="AB9" s="82"/>
      <c r="AC9" s="82"/>
    </row>
    <row r="10" spans="1:29">
      <c r="A10" s="39">
        <v>6</v>
      </c>
      <c r="B10" s="31">
        <v>80</v>
      </c>
      <c r="C10" s="31">
        <f t="shared" si="6"/>
        <v>520</v>
      </c>
      <c r="D10" s="13">
        <f t="shared" si="0"/>
        <v>8.6666666666666661</v>
      </c>
      <c r="E10" s="96">
        <v>17.945590972900391</v>
      </c>
      <c r="F10" s="96">
        <v>17.539707183837891</v>
      </c>
      <c r="G10" s="102">
        <v>17.576488494873047</v>
      </c>
      <c r="H10" s="111">
        <f t="shared" si="7"/>
        <v>17.999162644606372</v>
      </c>
      <c r="I10" s="111">
        <f t="shared" si="8"/>
        <v>17.593278855543872</v>
      </c>
      <c r="J10" s="111">
        <f t="shared" si="9"/>
        <v>17.630060166579028</v>
      </c>
      <c r="K10" s="102">
        <f>((H10-'CalibrationB. hydrogenotrophica'!$D$45)/('CalibrationB. hydrogenotrophica'!$D$44))+$B$65</f>
        <v>9.2020148990042365</v>
      </c>
      <c r="L10" s="102">
        <f>((I10-'CalibrationB. hydrogenotrophica'!$D$45)/('CalibrationB. hydrogenotrophica'!$D$44))+$B$65</f>
        <v>9.3037580090893393</v>
      </c>
      <c r="M10" s="102">
        <f>((J10-'CalibrationB. hydrogenotrophica'!$D$45)/('CalibrationB. hydrogenotrophica'!$D$44))+$B$65</f>
        <v>9.2945380178539967</v>
      </c>
      <c r="N10" s="103">
        <f t="shared" si="2"/>
        <v>9.2667703086491908</v>
      </c>
      <c r="O10" s="103">
        <f t="shared" si="3"/>
        <v>5.6268991179061749E-2</v>
      </c>
      <c r="P10" s="104">
        <f>(AVERAGE(POWER(10,K10),POWER(10,L10),POWER(10,M10)))*Calculation!$I10/Calculation!$K9</f>
        <v>1977480354.9747376</v>
      </c>
      <c r="Q10" s="104">
        <f>(STDEV(POWER(10,K10),POWER(10,L10),POWER(10,M10)))*Calculation!$I10/Calculation!$K9</f>
        <v>246276679.45347974</v>
      </c>
      <c r="R10" s="103">
        <f t="shared" si="4"/>
        <v>9.2961121777482489</v>
      </c>
      <c r="S10" s="103">
        <f>O10*Calculation!$I10/Calculation!$K9</f>
        <v>5.9874619862730356E-2</v>
      </c>
      <c r="T10" s="82"/>
      <c r="U10" s="82"/>
      <c r="V10" s="82"/>
      <c r="W10" s="82"/>
      <c r="X10" s="82"/>
      <c r="Y10" s="82"/>
      <c r="Z10" s="82"/>
      <c r="AA10" s="82"/>
      <c r="AB10" s="82"/>
      <c r="AC10" s="82"/>
    </row>
    <row r="11" spans="1:29">
      <c r="A11" s="39">
        <v>7</v>
      </c>
      <c r="B11" s="31">
        <v>80</v>
      </c>
      <c r="C11" s="31">
        <f t="shared" si="6"/>
        <v>600</v>
      </c>
      <c r="D11" s="13">
        <f t="shared" si="0"/>
        <v>10</v>
      </c>
      <c r="E11" s="96">
        <v>17.70594596862793</v>
      </c>
      <c r="F11" s="96">
        <v>17.852783203125</v>
      </c>
      <c r="G11" s="102">
        <v>17.153635025024414</v>
      </c>
      <c r="H11" s="111">
        <f t="shared" si="7"/>
        <v>17.759517640333911</v>
      </c>
      <c r="I11" s="111">
        <f t="shared" si="8"/>
        <v>17.906354874830981</v>
      </c>
      <c r="J11" s="111">
        <f t="shared" si="9"/>
        <v>17.207206696730395</v>
      </c>
      <c r="K11" s="102">
        <f>((H11-'CalibrationB. hydrogenotrophica'!$D$45)/('CalibrationB. hydrogenotrophica'!$D$44))+$B$65</f>
        <v>9.2620868425212599</v>
      </c>
      <c r="L11" s="102">
        <f>((I11-'CalibrationB. hydrogenotrophica'!$D$45)/('CalibrationB. hydrogenotrophica'!$D$44))+$B$65</f>
        <v>9.2252790731138283</v>
      </c>
      <c r="M11" s="102">
        <f>((J11-'CalibrationB. hydrogenotrophica'!$D$45)/('CalibrationB. hydrogenotrophica'!$D$44))+$B$65</f>
        <v>9.4005349270482483</v>
      </c>
      <c r="N11" s="103">
        <f t="shared" si="2"/>
        <v>9.2959669475611122</v>
      </c>
      <c r="O11" s="103">
        <f t="shared" si="3"/>
        <v>9.2409684139186724E-2</v>
      </c>
      <c r="P11" s="104">
        <f>(AVERAGE(POWER(10,K11),POWER(10,L11),POWER(10,M11)))*Calculation!$I11/Calculation!$K10</f>
        <v>2141148463.3700814</v>
      </c>
      <c r="Q11" s="104">
        <f>(STDEV(POWER(10,K11),POWER(10,L11),POWER(10,M11)))*Calculation!$I11/Calculation!$K10</f>
        <v>475083567.39665747</v>
      </c>
      <c r="R11" s="103">
        <f t="shared" si="4"/>
        <v>9.330646781534039</v>
      </c>
      <c r="S11" s="103">
        <f>O11*Calculation!$I11/Calculation!$K10</f>
        <v>9.8548218292718537E-2</v>
      </c>
      <c r="T11" s="82"/>
      <c r="U11" s="82"/>
      <c r="V11" s="82"/>
      <c r="W11" s="82"/>
      <c r="X11" s="82"/>
      <c r="Y11" s="82"/>
      <c r="Z11" s="82"/>
      <c r="AA11" s="82"/>
      <c r="AB11" s="82"/>
      <c r="AC11" s="82"/>
    </row>
    <row r="12" spans="1:29">
      <c r="A12" s="39">
        <v>8</v>
      </c>
      <c r="B12" s="31">
        <v>80</v>
      </c>
      <c r="C12" s="31">
        <f t="shared" si="6"/>
        <v>680</v>
      </c>
      <c r="D12" s="13">
        <f t="shared" si="0"/>
        <v>11.333333333333334</v>
      </c>
      <c r="E12" s="96">
        <v>17.162559509277344</v>
      </c>
      <c r="F12" s="96">
        <v>17.272153854370117</v>
      </c>
      <c r="G12" s="102">
        <v>17.465087890625</v>
      </c>
      <c r="H12" s="111">
        <f t="shared" si="7"/>
        <v>17.216131180983325</v>
      </c>
      <c r="I12" s="111">
        <f t="shared" si="8"/>
        <v>17.325725526076099</v>
      </c>
      <c r="J12" s="111">
        <f t="shared" si="9"/>
        <v>17.518659562330981</v>
      </c>
      <c r="K12" s="102">
        <f>((H12-'CalibrationB. hydrogenotrophica'!$D$45)/('CalibrationB. hydrogenotrophica'!$D$44))+$B$65</f>
        <v>9.3982978217282866</v>
      </c>
      <c r="L12" s="102">
        <f>((I12-'CalibrationB. hydrogenotrophica'!$D$45)/('CalibrationB. hydrogenotrophica'!$D$44))+$B$65</f>
        <v>9.3708257476569514</v>
      </c>
      <c r="M12" s="102">
        <f>((J12-'CalibrationB. hydrogenotrophica'!$D$45)/('CalibrationB. hydrogenotrophica'!$D$44))+$B$65</f>
        <v>9.322462867889854</v>
      </c>
      <c r="N12" s="103">
        <f>AVERAGE(K12:M12)</f>
        <v>9.3638621457583628</v>
      </c>
      <c r="O12" s="103">
        <f>STDEV(K12:M12)</f>
        <v>3.8394060341032044E-2</v>
      </c>
      <c r="P12" s="104">
        <f>(AVERAGE(POWER(10,K12),POWER(10,L12),POWER(10,M12)))*Calculation!$I12/Calculation!$K11</f>
        <v>2476867469.6777616</v>
      </c>
      <c r="Q12" s="104">
        <f>(STDEV(POWER(10,K12),POWER(10,L12),POWER(10,M12)))*Calculation!$I12/Calculation!$K11</f>
        <v>216202785.988334</v>
      </c>
      <c r="R12" s="103">
        <f>LOG(P12)</f>
        <v>9.3939027693119304</v>
      </c>
      <c r="S12" s="103">
        <f>O12*Calculation!$I12/Calculation!$K11</f>
        <v>4.1037674409734576E-2</v>
      </c>
      <c r="T12" s="82"/>
      <c r="U12" s="82"/>
      <c r="V12" s="82"/>
      <c r="W12" s="82"/>
      <c r="X12" s="82"/>
      <c r="Y12" s="82"/>
      <c r="Z12" s="82"/>
      <c r="AA12" s="82"/>
      <c r="AB12" s="82"/>
      <c r="AC12" s="82"/>
    </row>
    <row r="13" spans="1:29">
      <c r="A13" s="39">
        <v>9</v>
      </c>
      <c r="B13" s="31">
        <v>80</v>
      </c>
      <c r="C13" s="31">
        <f t="shared" si="6"/>
        <v>760</v>
      </c>
      <c r="D13" s="13">
        <f t="shared" si="0"/>
        <v>12.666666666666666</v>
      </c>
      <c r="E13" s="96">
        <v>17.432956695556641</v>
      </c>
      <c r="F13" s="96">
        <v>17.198711395263672</v>
      </c>
      <c r="G13" s="102">
        <v>17.18440055847168</v>
      </c>
      <c r="H13" s="111">
        <f t="shared" si="7"/>
        <v>17.486528367262622</v>
      </c>
      <c r="I13" s="111">
        <f t="shared" si="8"/>
        <v>17.252283066969653</v>
      </c>
      <c r="J13" s="111">
        <f t="shared" si="9"/>
        <v>17.237972230177661</v>
      </c>
      <c r="K13" s="102">
        <f>((H13-'CalibrationB. hydrogenotrophica'!$D$45)/('CalibrationB. hydrogenotrophica'!$D$44))+$B$65</f>
        <v>9.3305172120275124</v>
      </c>
      <c r="L13" s="102">
        <f>((I13-'CalibrationB. hydrogenotrophica'!$D$45)/('CalibrationB. hydrogenotrophica'!$D$44))+$B$65</f>
        <v>9.3892356088121538</v>
      </c>
      <c r="M13" s="102">
        <f>((J13-'CalibrationB. hydrogenotrophica'!$D$45)/('CalibrationB. hydrogenotrophica'!$D$44))+$B$65</f>
        <v>9.392822914051667</v>
      </c>
      <c r="N13" s="103">
        <f t="shared" si="2"/>
        <v>9.3708585782971117</v>
      </c>
      <c r="O13" s="103">
        <f t="shared" si="3"/>
        <v>3.4982660906423282E-2</v>
      </c>
      <c r="P13" s="104">
        <f>(AVERAGE(POWER(10,K13),POWER(10,L13),POWER(10,M13)))*Calculation!$I13/Calculation!$K12</f>
        <v>2517923036.7746887</v>
      </c>
      <c r="Q13" s="104">
        <f>(STDEV(POWER(10,K13),POWER(10,L13),POWER(10,M13)))*Calculation!$I13/Calculation!$K12</f>
        <v>197954390.08072817</v>
      </c>
      <c r="R13" s="103">
        <f t="shared" si="4"/>
        <v>9.4010424512623558</v>
      </c>
      <c r="S13" s="103">
        <f>O13*Calculation!$I13/Calculation!$K12</f>
        <v>3.7420733457692576E-2</v>
      </c>
      <c r="T13" s="82"/>
      <c r="U13" s="82"/>
      <c r="V13" s="82"/>
      <c r="W13" s="82"/>
      <c r="X13" s="82"/>
      <c r="Y13" s="82"/>
      <c r="Z13" s="82"/>
      <c r="AA13" s="82"/>
      <c r="AB13" s="82"/>
      <c r="AC13" s="82"/>
    </row>
    <row r="14" spans="1:29">
      <c r="A14" s="39">
        <v>10</v>
      </c>
      <c r="B14" s="31">
        <v>80</v>
      </c>
      <c r="C14" s="31">
        <f t="shared" si="6"/>
        <v>840</v>
      </c>
      <c r="D14" s="13">
        <f t="shared" si="0"/>
        <v>14</v>
      </c>
      <c r="E14" s="96">
        <v>17.273033142089844</v>
      </c>
      <c r="F14" s="96">
        <v>17.82196044921875</v>
      </c>
      <c r="G14" s="102">
        <v>17.22767448425293</v>
      </c>
      <c r="H14" s="111">
        <f t="shared" si="7"/>
        <v>17.326604813795825</v>
      </c>
      <c r="I14" s="111">
        <f t="shared" si="8"/>
        <v>17.875532120924731</v>
      </c>
      <c r="J14" s="111">
        <f t="shared" si="9"/>
        <v>17.281246155958911</v>
      </c>
      <c r="K14" s="102">
        <f>((H14-'CalibrationB. hydrogenotrophica'!$D$45)/('CalibrationB. hydrogenotrophica'!$D$44))+$B$65</f>
        <v>9.3706053361261752</v>
      </c>
      <c r="L14" s="102">
        <f>((I14-'CalibrationB. hydrogenotrophica'!$D$45)/('CalibrationB. hydrogenotrophica'!$D$44))+$B$65</f>
        <v>9.233005429593975</v>
      </c>
      <c r="M14" s="102">
        <f>((J14-'CalibrationB. hydrogenotrophica'!$D$45)/('CalibrationB. hydrogenotrophica'!$D$44))+$B$65</f>
        <v>9.3819754155478563</v>
      </c>
      <c r="N14" s="103">
        <f t="shared" si="2"/>
        <v>9.3285287270893349</v>
      </c>
      <c r="O14" s="103">
        <f t="shared" si="3"/>
        <v>8.2920714841372395E-2</v>
      </c>
      <c r="P14" s="104">
        <f>(AVERAGE(POWER(10,K14),POWER(10,L14),POWER(10,M14)))*Calculation!$I14/Calculation!$K13</f>
        <v>2307891027.6770835</v>
      </c>
      <c r="Q14" s="104">
        <f>(STDEV(POWER(10,K14),POWER(10,L14),POWER(10,M14)))*Calculation!$I14/Calculation!$K13</f>
        <v>414596130.85327512</v>
      </c>
      <c r="R14" s="103">
        <f t="shared" si="4"/>
        <v>9.3632152987662725</v>
      </c>
      <c r="S14" s="103">
        <f>O14*Calculation!$I14/Calculation!$K13</f>
        <v>8.8772059716867635E-2</v>
      </c>
      <c r="T14" s="82"/>
      <c r="U14" s="82"/>
      <c r="V14" s="82"/>
      <c r="W14" s="82"/>
      <c r="X14" s="82"/>
      <c r="Y14" s="82"/>
      <c r="Z14" s="82"/>
      <c r="AA14" s="82"/>
      <c r="AB14" s="82"/>
      <c r="AC14" s="82"/>
    </row>
    <row r="15" spans="1:29">
      <c r="A15" s="39">
        <v>11</v>
      </c>
      <c r="B15" s="31">
        <v>80</v>
      </c>
      <c r="C15" s="31">
        <f t="shared" si="6"/>
        <v>920</v>
      </c>
      <c r="D15" s="13">
        <f t="shared" si="0"/>
        <v>15.333333333333334</v>
      </c>
      <c r="E15" s="96">
        <v>17.592315673828125</v>
      </c>
      <c r="F15" s="96">
        <v>17.539859771728516</v>
      </c>
      <c r="G15" s="102">
        <v>17.181236267089844</v>
      </c>
      <c r="H15" s="111">
        <f t="shared" si="7"/>
        <v>17.645887345534106</v>
      </c>
      <c r="I15" s="111">
        <f t="shared" si="8"/>
        <v>17.593431443434497</v>
      </c>
      <c r="J15" s="111">
        <f t="shared" si="9"/>
        <v>17.234807938795825</v>
      </c>
      <c r="K15" s="102">
        <f>((H15-'CalibrationB. hydrogenotrophica'!$D$45)/('CalibrationB. hydrogenotrophica'!$D$44))+$B$65</f>
        <v>9.2905706103000192</v>
      </c>
      <c r="L15" s="102">
        <f>((I15-'CalibrationB. hydrogenotrophica'!$D$45)/('CalibrationB. hydrogenotrophica'!$D$44))+$B$65</f>
        <v>9.3037197597998347</v>
      </c>
      <c r="M15" s="102">
        <f>((J15-'CalibrationB. hydrogenotrophica'!$D$45)/('CalibrationB. hydrogenotrophica'!$D$44))+$B$65</f>
        <v>9.3936161086927914</v>
      </c>
      <c r="N15" s="103">
        <f t="shared" si="2"/>
        <v>9.3293021595975478</v>
      </c>
      <c r="O15" s="103">
        <f t="shared" si="3"/>
        <v>5.6084205167865699E-2</v>
      </c>
      <c r="P15" s="104">
        <f>(AVERAGE(POWER(10,K15),POWER(10,L15),POWER(10,M15)))*Calculation!$I15/Calculation!$K14</f>
        <v>2300112119.5569072</v>
      </c>
      <c r="Q15" s="104">
        <f>(STDEV(POWER(10,K15),POWER(10,L15),POWER(10,M15)))*Calculation!$I15/Calculation!$K14</f>
        <v>306553694.76454258</v>
      </c>
      <c r="R15" s="103">
        <f t="shared" si="4"/>
        <v>9.3617490063298039</v>
      </c>
      <c r="S15" s="103">
        <f>O15*Calculation!$I15/Calculation!$K14</f>
        <v>6.0092528287627345E-2</v>
      </c>
      <c r="T15" s="82"/>
      <c r="U15" s="82"/>
      <c r="V15" s="82"/>
      <c r="W15" s="82"/>
      <c r="X15" s="82"/>
      <c r="Y15" s="82"/>
      <c r="Z15" s="82"/>
      <c r="AA15" s="82"/>
      <c r="AB15" s="82"/>
      <c r="AC15" s="82"/>
    </row>
    <row r="16" spans="1:29">
      <c r="A16" s="39">
        <v>12</v>
      </c>
      <c r="B16" s="31">
        <v>80</v>
      </c>
      <c r="C16" s="31">
        <f t="shared" si="6"/>
        <v>1000</v>
      </c>
      <c r="D16" s="13">
        <f t="shared" si="0"/>
        <v>16.666666666666668</v>
      </c>
      <c r="E16" s="96">
        <v>17.414819717407227</v>
      </c>
      <c r="F16" s="96">
        <v>18.24683952331543</v>
      </c>
      <c r="G16" s="102">
        <v>17.587501525878906</v>
      </c>
      <c r="H16" s="111">
        <f t="shared" si="7"/>
        <v>17.468391389113208</v>
      </c>
      <c r="I16" s="111">
        <f t="shared" si="8"/>
        <v>18.300411195021411</v>
      </c>
      <c r="J16" s="111">
        <f t="shared" si="9"/>
        <v>17.641073197584888</v>
      </c>
      <c r="K16" s="102">
        <f>((H16-'CalibrationB. hydrogenotrophica'!$D$45)/('CalibrationB. hydrogenotrophica'!$D$44))+$B$65</f>
        <v>9.3350636182013798</v>
      </c>
      <c r="L16" s="102">
        <f>((I16-'CalibrationB. hydrogenotrophica'!$D$45)/('CalibrationB. hydrogenotrophica'!$D$44))+$B$65</f>
        <v>9.1265007610815339</v>
      </c>
      <c r="M16" s="102">
        <f>((J16-'CalibrationB. hydrogenotrophica'!$D$45)/('CalibrationB. hydrogenotrophica'!$D$44))+$B$65</f>
        <v>9.2917773753839246</v>
      </c>
      <c r="N16" s="103">
        <f t="shared" si="2"/>
        <v>9.2511139182222788</v>
      </c>
      <c r="O16" s="103">
        <f t="shared" si="3"/>
        <v>0.11006704276826478</v>
      </c>
      <c r="P16" s="104">
        <f>(AVERAGE(POWER(10,K16),POWER(10,L16),POWER(10,M16)))*Calculation!$I16/Calculation!$K15</f>
        <v>1949722655.7534916</v>
      </c>
      <c r="Q16" s="104">
        <f>(STDEV(POWER(10,K16),POWER(10,L16),POWER(10,M16)))*Calculation!$I16/Calculation!$K15</f>
        <v>460148804.04278815</v>
      </c>
      <c r="R16" s="103">
        <f t="shared" si="4"/>
        <v>9.2899728382126394</v>
      </c>
      <c r="S16" s="103">
        <f>O16*Calculation!$I16/Calculation!$K15</f>
        <v>0.11793350483064614</v>
      </c>
      <c r="T16" s="82"/>
      <c r="U16" s="82"/>
      <c r="V16" s="82"/>
      <c r="W16" s="82"/>
      <c r="X16" s="82"/>
      <c r="Y16" s="82"/>
      <c r="Z16" s="82"/>
      <c r="AA16" s="82"/>
      <c r="AB16" s="82"/>
      <c r="AC16" s="82"/>
    </row>
    <row r="17" spans="1:29">
      <c r="A17" s="39">
        <v>13</v>
      </c>
      <c r="B17" s="31">
        <v>80</v>
      </c>
      <c r="C17" s="31">
        <f t="shared" si="6"/>
        <v>1080</v>
      </c>
      <c r="D17" s="13">
        <f t="shared" si="0"/>
        <v>18</v>
      </c>
      <c r="E17" s="96">
        <v>17.292224884033203</v>
      </c>
      <c r="F17" s="96">
        <v>17.792427062988281</v>
      </c>
      <c r="G17" s="102">
        <v>17.855871200561523</v>
      </c>
      <c r="H17" s="111">
        <f t="shared" si="7"/>
        <v>17.345796555739184</v>
      </c>
      <c r="I17" s="111">
        <f t="shared" si="8"/>
        <v>17.845998734694263</v>
      </c>
      <c r="J17" s="111">
        <f t="shared" si="9"/>
        <v>17.909442872267505</v>
      </c>
      <c r="K17" s="102">
        <f>((H17-'CalibrationB. hydrogenotrophica'!$D$45)/('CalibrationB. hydrogenotrophica'!$D$44))+$B$65</f>
        <v>9.3657945317385991</v>
      </c>
      <c r="L17" s="102">
        <f>((I17-'CalibrationB. hydrogenotrophica'!$D$45)/('CalibrationB. hydrogenotrophica'!$D$44))+$B$65</f>
        <v>9.2404085795777995</v>
      </c>
      <c r="M17" s="102">
        <f>((J17-'CalibrationB. hydrogenotrophica'!$D$45)/('CalibrationB. hydrogenotrophica'!$D$44))+$B$65</f>
        <v>9.2245050031174571</v>
      </c>
      <c r="N17" s="103">
        <f t="shared" si="2"/>
        <v>9.2769027048112847</v>
      </c>
      <c r="O17" s="103">
        <f t="shared" si="3"/>
        <v>7.7392174067628633E-2</v>
      </c>
      <c r="P17" s="104">
        <f>(AVERAGE(POWER(10,K17),POWER(10,L17),POWER(10,M17)))*Calculation!$I17/Calculation!$K16</f>
        <v>2049352407.1281769</v>
      </c>
      <c r="Q17" s="104">
        <f>(STDEV(POWER(10,K17),POWER(10,L17),POWER(10,M17)))*Calculation!$I17/Calculation!$K16</f>
        <v>380979608.11740047</v>
      </c>
      <c r="R17" s="103">
        <f t="shared" si="4"/>
        <v>9.3116166462056214</v>
      </c>
      <c r="S17" s="103">
        <f>O17*Calculation!$I17/Calculation!$K16</f>
        <v>8.2923372016773036E-2</v>
      </c>
      <c r="T17" s="82"/>
      <c r="U17" s="82"/>
      <c r="V17" s="82"/>
      <c r="W17" s="82"/>
      <c r="X17" s="82"/>
      <c r="Y17" s="82"/>
      <c r="Z17" s="82"/>
      <c r="AA17" s="82"/>
      <c r="AB17" s="82"/>
      <c r="AC17" s="82"/>
    </row>
    <row r="18" spans="1:29">
      <c r="A18" s="39">
        <v>14</v>
      </c>
      <c r="B18" s="31">
        <v>360</v>
      </c>
      <c r="C18" s="31">
        <f t="shared" si="6"/>
        <v>1440</v>
      </c>
      <c r="D18" s="13">
        <f t="shared" si="0"/>
        <v>24</v>
      </c>
      <c r="E18" s="96">
        <v>17.558040618896484</v>
      </c>
      <c r="F18" s="96">
        <v>19.119548797607422</v>
      </c>
      <c r="G18" s="102">
        <v>18.9796142578125</v>
      </c>
      <c r="H18" s="111">
        <f t="shared" si="7"/>
        <v>17.611612290602466</v>
      </c>
      <c r="I18" s="111">
        <f t="shared" si="8"/>
        <v>19.173120469313403</v>
      </c>
      <c r="J18" s="111">
        <f t="shared" si="9"/>
        <v>19.033185929518481</v>
      </c>
      <c r="K18" s="102">
        <f>((H18-'CalibrationB. hydrogenotrophica'!$D$45)/('CalibrationB. hydrogenotrophica'!$D$44))+$B$65</f>
        <v>9.2991623569552324</v>
      </c>
      <c r="L18" s="102">
        <f>((I18-'CalibrationB. hydrogenotrophica'!$D$45)/('CalibrationB. hydrogenotrophica'!$D$44))+$B$65</f>
        <v>8.9077382527988807</v>
      </c>
      <c r="M18" s="102">
        <f>((J18-'CalibrationB. hydrogenotrophica'!$D$45)/('CalibrationB. hydrogenotrophica'!$D$44))+$B$65</f>
        <v>8.9428157199723</v>
      </c>
      <c r="N18" s="103">
        <f t="shared" si="2"/>
        <v>9.0499054432421389</v>
      </c>
      <c r="O18" s="103">
        <f t="shared" si="3"/>
        <v>0.21657415346979531</v>
      </c>
      <c r="P18" s="104">
        <f>(AVERAGE(POWER(10,K18),POWER(10,L18),POWER(10,M18)))*Calculation!$I18/Calculation!$K17</f>
        <v>1313141462.9213104</v>
      </c>
      <c r="Q18" s="104">
        <f>(STDEV(POWER(10,K18),POWER(10,L18),POWER(10,M18)))*Calculation!$I18/Calculation!$K17</f>
        <v>711596118.43813813</v>
      </c>
      <c r="R18" s="103">
        <f t="shared" si="4"/>
        <v>9.1183115145561686</v>
      </c>
      <c r="S18" s="103">
        <f>O18*Calculation!$I18/Calculation!$K17</f>
        <v>0.23205265020336721</v>
      </c>
      <c r="T18" s="82"/>
      <c r="U18" s="82"/>
      <c r="V18" s="82"/>
      <c r="W18" s="82"/>
      <c r="X18" s="82"/>
      <c r="Y18" s="82"/>
      <c r="Z18" s="82"/>
      <c r="AA18" s="82"/>
      <c r="AB18" s="82"/>
      <c r="AC18" s="82"/>
    </row>
    <row r="19" spans="1:29">
      <c r="A19" s="39">
        <v>15</v>
      </c>
      <c r="B19" s="31">
        <v>360</v>
      </c>
      <c r="C19" s="31">
        <f>C18+B19</f>
        <v>1800</v>
      </c>
      <c r="D19" s="13">
        <f t="shared" si="0"/>
        <v>30</v>
      </c>
      <c r="E19" s="96">
        <v>18.565448760986328</v>
      </c>
      <c r="F19" s="96">
        <v>19.870004653930664</v>
      </c>
      <c r="G19" s="102">
        <v>18.875089645385742</v>
      </c>
      <c r="H19" s="111">
        <f t="shared" si="7"/>
        <v>18.619020432692309</v>
      </c>
      <c r="I19" s="111">
        <f t="shared" si="8"/>
        <v>19.923576325636645</v>
      </c>
      <c r="J19" s="111">
        <f t="shared" si="9"/>
        <v>18.928661317091724</v>
      </c>
      <c r="K19" s="102">
        <f>((H19-'CalibrationB. hydrogenotrophica'!$D$45)/('CalibrationB. hydrogenotrophica'!$D$44))+$B$65</f>
        <v>9.0466348102453225</v>
      </c>
      <c r="L19" s="102">
        <f>((I19-'CalibrationB. hydrogenotrophica'!$D$45)/('CalibrationB. hydrogenotrophica'!$D$44))+$B$65</f>
        <v>8.7196210752681758</v>
      </c>
      <c r="M19" s="102">
        <f>((J19-'CalibrationB. hydrogenotrophica'!$D$45)/('CalibrationB. hydrogenotrophica'!$D$44))+$B$65</f>
        <v>8.9690169613998076</v>
      </c>
      <c r="N19" s="103">
        <f t="shared" si="2"/>
        <v>8.911757615637768</v>
      </c>
      <c r="O19" s="103">
        <f t="shared" si="3"/>
        <v>0.17086096752549551</v>
      </c>
      <c r="P19" s="104">
        <f>(AVERAGE(POWER(10,K19),POWER(10,L19),POWER(10,M19)))*Calculation!$I19/Calculation!$K18</f>
        <v>917482367.25225115</v>
      </c>
      <c r="Q19" s="104">
        <f>(STDEV(POWER(10,K19),POWER(10,L19),POWER(10,M19)))*Calculation!$I19/Calculation!$K18</f>
        <v>323107559.5804404</v>
      </c>
      <c r="R19" s="103">
        <f t="shared" si="4"/>
        <v>8.9625977264624002</v>
      </c>
      <c r="S19" s="103">
        <f>O19*Calculation!$I19/Calculation!$K18</f>
        <v>0.18307235510507186</v>
      </c>
      <c r="T19" s="82"/>
      <c r="U19" s="82"/>
      <c r="V19" s="82"/>
      <c r="W19" s="82"/>
      <c r="X19" s="82"/>
      <c r="Y19" s="82"/>
      <c r="Z19" s="82"/>
      <c r="AA19" s="82"/>
      <c r="AB19" s="82"/>
      <c r="AC19" s="82"/>
    </row>
    <row r="20" spans="1:29">
      <c r="A20" s="39">
        <v>16</v>
      </c>
      <c r="B20" s="31">
        <v>1080</v>
      </c>
      <c r="C20" s="31">
        <f>C19+B20</f>
        <v>2880</v>
      </c>
      <c r="D20" s="13">
        <f t="shared" si="0"/>
        <v>48</v>
      </c>
      <c r="E20" s="96">
        <v>18.263525009155273</v>
      </c>
      <c r="F20" s="96">
        <v>20.074634552001953</v>
      </c>
      <c r="G20" s="102">
        <v>20.557920455932617</v>
      </c>
      <c r="H20" s="111">
        <f t="shared" si="7"/>
        <v>18.317096680861255</v>
      </c>
      <c r="I20" s="111">
        <f t="shared" si="8"/>
        <v>20.128206223707934</v>
      </c>
      <c r="J20" s="111">
        <f t="shared" si="9"/>
        <v>20.611492127638599</v>
      </c>
      <c r="K20" s="102">
        <f>((H20-'CalibrationB. hydrogenotrophica'!$D$45)/('CalibrationB. hydrogenotrophica'!$D$44))+$B$65</f>
        <v>9.1223182012740889</v>
      </c>
      <c r="L20" s="102">
        <f>((I20-'CalibrationB. hydrogenotrophica'!$D$45)/('CalibrationB. hydrogenotrophica'!$D$44))+$B$65</f>
        <v>8.6683263874604677</v>
      </c>
      <c r="M20" s="102">
        <f>((J20-'CalibrationB. hydrogenotrophica'!$D$45)/('CalibrationB. hydrogenotrophica'!$D$44))+$B$65</f>
        <v>8.5471808471574899</v>
      </c>
      <c r="N20" s="103">
        <f t="shared" si="2"/>
        <v>8.7792751452973494</v>
      </c>
      <c r="O20" s="103">
        <f t="shared" si="3"/>
        <v>0.30319624696592257</v>
      </c>
      <c r="P20" s="104">
        <f>(AVERAGE(POWER(10,K20),POWER(10,L20),POWER(10,M20)))*Calculation!$I20/Calculation!$K19</f>
        <v>766467778.57099926</v>
      </c>
      <c r="Q20" s="104">
        <f>(STDEV(POWER(10,K20),POWER(10,L20),POWER(10,M20)))*Calculation!$I20/Calculation!$K19</f>
        <v>570551996.81115985</v>
      </c>
      <c r="R20" s="103">
        <f>LOG(P20)</f>
        <v>8.8844939023307106</v>
      </c>
      <c r="S20" s="103">
        <f>O20*Calculation!$I20/Calculation!$K19</f>
        <v>0.32520828675139268</v>
      </c>
      <c r="T20" s="82"/>
      <c r="U20" s="82"/>
      <c r="V20" s="82"/>
      <c r="W20" s="82"/>
      <c r="X20" s="82"/>
      <c r="Y20" s="82"/>
      <c r="Z20" s="82"/>
      <c r="AA20" s="82"/>
      <c r="AB20" s="82"/>
      <c r="AC20" s="82"/>
    </row>
    <row r="21" spans="1:29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</row>
    <row r="22" spans="1:29">
      <c r="A22" s="100" t="s">
        <v>262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</row>
    <row r="23" spans="1:29">
      <c r="A23" s="133" t="s">
        <v>4</v>
      </c>
      <c r="B23" s="133" t="s">
        <v>117</v>
      </c>
      <c r="C23" s="133" t="s">
        <v>117</v>
      </c>
      <c r="D23" s="133" t="s">
        <v>5</v>
      </c>
      <c r="E23" s="145" t="s">
        <v>221</v>
      </c>
      <c r="F23" s="145" t="s">
        <v>222</v>
      </c>
      <c r="G23" s="145" t="s">
        <v>223</v>
      </c>
      <c r="H23" s="147" t="s">
        <v>224</v>
      </c>
      <c r="I23" s="147" t="s">
        <v>225</v>
      </c>
      <c r="J23" s="147" t="s">
        <v>226</v>
      </c>
      <c r="K23" s="145" t="s">
        <v>227</v>
      </c>
      <c r="L23" s="145" t="s">
        <v>228</v>
      </c>
      <c r="M23" s="145" t="s">
        <v>229</v>
      </c>
      <c r="N23" s="145" t="s">
        <v>230</v>
      </c>
      <c r="O23" s="145" t="s">
        <v>231</v>
      </c>
      <c r="P23" s="147" t="s">
        <v>232</v>
      </c>
      <c r="Q23" s="147" t="s">
        <v>263</v>
      </c>
      <c r="R23" s="147" t="s">
        <v>234</v>
      </c>
      <c r="S23" s="147" t="s">
        <v>235</v>
      </c>
      <c r="T23" s="82"/>
      <c r="U23" s="82"/>
      <c r="V23" s="82"/>
      <c r="W23" s="82"/>
      <c r="X23" s="82"/>
      <c r="Y23" s="82"/>
      <c r="Z23" s="82"/>
      <c r="AA23" s="82"/>
      <c r="AB23" s="82"/>
      <c r="AC23" s="82"/>
    </row>
    <row r="24" spans="1:29">
      <c r="A24" s="134"/>
      <c r="B24" s="134"/>
      <c r="C24" s="134"/>
      <c r="D24" s="134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82"/>
      <c r="U24" s="82"/>
      <c r="V24" s="82"/>
      <c r="W24" s="82"/>
      <c r="X24" s="82"/>
      <c r="Y24" s="82"/>
      <c r="Z24" s="82"/>
      <c r="AA24" s="82"/>
      <c r="AB24" s="82"/>
      <c r="AC24" s="82"/>
    </row>
    <row r="25" spans="1:29">
      <c r="A25" s="31">
        <v>0</v>
      </c>
      <c r="B25" s="62">
        <v>10</v>
      </c>
      <c r="C25" s="101">
        <v>10</v>
      </c>
      <c r="D25" s="61">
        <v>0.16666666666666666</v>
      </c>
      <c r="E25" s="96"/>
      <c r="F25" s="96"/>
      <c r="G25" s="102"/>
      <c r="H25" s="111">
        <f t="shared" ref="H25:H38" si="10">(E25-$H$68)+$H$86</f>
        <v>8.3333333333333925E-2</v>
      </c>
      <c r="I25" s="111">
        <f t="shared" ref="I25:I38" si="11">(F25-$H$68)+$H$86</f>
        <v>8.3333333333333925E-2</v>
      </c>
      <c r="J25" s="111">
        <f t="shared" ref="J25:J38" si="12">(G25-$H$68)+$H$86</f>
        <v>8.3333333333333925E-2</v>
      </c>
      <c r="K25" s="102">
        <f>((H25-'[2]CalibrationB. hydrogenotropBAD'!$D$45)/('[2]CalibrationB. hydrogenotropBAD'!$D$44))+$B$65</f>
        <v>12.826430432365118</v>
      </c>
      <c r="L25" s="102">
        <f>((I25-'[2]CalibrationB. hydrogenotropBAD'!$D$45)/('[2]CalibrationB. hydrogenotropBAD'!$D$44))+$B$65</f>
        <v>12.826430432365118</v>
      </c>
      <c r="M25" s="102">
        <f>((J25-'[2]CalibrationB. hydrogenotropBAD'!$D$45)/('[2]CalibrationB. hydrogenotropBAD'!$D$44))+$B$65</f>
        <v>12.826430432365118</v>
      </c>
      <c r="N25" s="103">
        <f>AVERAGE(K25:M25)</f>
        <v>12.82643043236512</v>
      </c>
      <c r="O25" s="103">
        <f>STDEV(K25:M25)</f>
        <v>2.1755839288168292E-15</v>
      </c>
      <c r="P25" s="104">
        <f>(AVERAGE(POWER(10,K25),POWER(10,L25),POWER(10,M25)))*[2]Calculation!$I4/[2]Calculation!$K3</f>
        <v>6705488659612.2656</v>
      </c>
      <c r="Q25" s="104">
        <f>(STDEV(POWER(10,K25),POWER(10,L25),POWER(10,M25)))*[2]Calculation!$I4/[2]Calculation!$K3</f>
        <v>0</v>
      </c>
      <c r="R25" s="103">
        <f>LOG(P25)</f>
        <v>12.82643043236512</v>
      </c>
      <c r="S25" s="103">
        <f>O25*[2]Calculation!$I4/[2]Calculation!$K3</f>
        <v>2.1755839288168292E-15</v>
      </c>
      <c r="T25" s="82"/>
      <c r="U25" s="82"/>
      <c r="V25" s="82"/>
      <c r="W25" s="82"/>
      <c r="X25" s="82"/>
      <c r="Y25" s="82"/>
      <c r="Z25" s="82"/>
      <c r="AA25" s="82"/>
      <c r="AB25" s="82"/>
      <c r="AC25" s="82"/>
    </row>
    <row r="26" spans="1:29">
      <c r="A26" s="31">
        <v>1</v>
      </c>
      <c r="B26" s="62">
        <v>110</v>
      </c>
      <c r="C26" s="101">
        <f>C25+B26</f>
        <v>120</v>
      </c>
      <c r="D26" s="61">
        <v>2</v>
      </c>
      <c r="E26" s="96"/>
      <c r="F26" s="96"/>
      <c r="G26" s="102"/>
      <c r="H26" s="111">
        <f t="shared" si="10"/>
        <v>8.3333333333333925E-2</v>
      </c>
      <c r="I26" s="111">
        <f t="shared" si="11"/>
        <v>8.3333333333333925E-2</v>
      </c>
      <c r="J26" s="111">
        <f t="shared" si="12"/>
        <v>8.3333333333333925E-2</v>
      </c>
      <c r="K26" s="102">
        <f>((H26-'[2]CalibrationB. hydrogenotropBAD'!$D$45)/('[2]CalibrationB. hydrogenotropBAD'!$D$44))+$B$65</f>
        <v>12.826430432365118</v>
      </c>
      <c r="L26" s="102">
        <f>((I26-'[2]CalibrationB. hydrogenotropBAD'!$D$45)/('[2]CalibrationB. hydrogenotropBAD'!$D$44))+$B$65</f>
        <v>12.826430432365118</v>
      </c>
      <c r="M26" s="102">
        <f>((J26-'[2]CalibrationB. hydrogenotropBAD'!$D$45)/('[2]CalibrationB. hydrogenotropBAD'!$D$44))+$B$65</f>
        <v>12.826430432365118</v>
      </c>
      <c r="N26" s="103">
        <f t="shared" ref="N26:N32" si="13">AVERAGE(K26:M26)</f>
        <v>12.82643043236512</v>
      </c>
      <c r="O26" s="103">
        <f t="shared" ref="O26:O32" si="14">STDEV(K26:M26)</f>
        <v>2.1755839288168292E-15</v>
      </c>
      <c r="P26" s="104">
        <f>(AVERAGE(POWER(10,K26),POWER(10,L26),POWER(10,M26)))*[2]Calculation!$I5/[2]Calculation!$K4</f>
        <v>6705488659612.2646</v>
      </c>
      <c r="Q26" s="104">
        <f>(STDEV(POWER(10,K26),POWER(10,L26),POWER(10,M26)))*[2]Calculation!$I5/[2]Calculation!$K4</f>
        <v>0</v>
      </c>
      <c r="R26" s="103">
        <f t="shared" ref="R26:R32" si="15">LOG(P26)</f>
        <v>12.82643043236512</v>
      </c>
      <c r="S26" s="103">
        <f>O26*[2]Calculation!$I5/[2]Calculation!$K4</f>
        <v>2.1755839288168292E-15</v>
      </c>
      <c r="T26" s="82"/>
      <c r="U26" s="82"/>
      <c r="V26" s="82"/>
      <c r="W26" s="82"/>
      <c r="X26" s="82"/>
      <c r="Y26" s="82"/>
      <c r="Z26" s="82"/>
      <c r="AA26" s="82"/>
      <c r="AB26" s="82"/>
      <c r="AC26" s="82"/>
    </row>
    <row r="27" spans="1:29">
      <c r="A27" s="31">
        <v>2</v>
      </c>
      <c r="B27" s="62">
        <v>80</v>
      </c>
      <c r="C27" s="101">
        <f t="shared" ref="C27" si="16">C26+B27</f>
        <v>200</v>
      </c>
      <c r="D27" s="61">
        <v>3.3333333333333335</v>
      </c>
      <c r="E27" s="96"/>
      <c r="F27" s="96"/>
      <c r="G27" s="102"/>
      <c r="H27" s="111">
        <f t="shared" si="10"/>
        <v>8.3333333333333925E-2</v>
      </c>
      <c r="I27" s="111">
        <f t="shared" si="11"/>
        <v>8.3333333333333925E-2</v>
      </c>
      <c r="J27" s="111">
        <f t="shared" si="12"/>
        <v>8.3333333333333925E-2</v>
      </c>
      <c r="K27" s="102">
        <f>((H27-'[2]CalibrationB. hydrogenotropBAD'!$D$45)/('[2]CalibrationB. hydrogenotropBAD'!$D$44))+$B$65</f>
        <v>12.826430432365118</v>
      </c>
      <c r="L27" s="102">
        <f>((I27-'[2]CalibrationB. hydrogenotropBAD'!$D$45)/('[2]CalibrationB. hydrogenotropBAD'!$D$44))+$B$65</f>
        <v>12.826430432365118</v>
      </c>
      <c r="M27" s="102">
        <f>((J27-'[2]CalibrationB. hydrogenotropBAD'!$D$45)/('[2]CalibrationB. hydrogenotropBAD'!$D$44))+$B$65</f>
        <v>12.826430432365118</v>
      </c>
      <c r="N27" s="103">
        <f t="shared" si="13"/>
        <v>12.82643043236512</v>
      </c>
      <c r="O27" s="103">
        <f t="shared" si="14"/>
        <v>2.1755839288168292E-15</v>
      </c>
      <c r="P27" s="104">
        <f>(AVERAGE(POWER(10,K27),POWER(10,L27),POWER(10,M27)))*[2]Calculation!$I6/[2]Calculation!$K5</f>
        <v>6705488659612.2656</v>
      </c>
      <c r="Q27" s="104">
        <f>(STDEV(POWER(10,K27),POWER(10,L27),POWER(10,M27)))*[2]Calculation!$I6/[2]Calculation!$K5</f>
        <v>0</v>
      </c>
      <c r="R27" s="103">
        <f t="shared" si="15"/>
        <v>12.82643043236512</v>
      </c>
      <c r="S27" s="103">
        <f>O27*[2]Calculation!$I6/[2]Calculation!$K5</f>
        <v>2.1755839288168292E-15</v>
      </c>
    </row>
    <row r="28" spans="1:29">
      <c r="A28" s="31">
        <v>3</v>
      </c>
      <c r="B28" s="62">
        <v>80</v>
      </c>
      <c r="C28" s="101">
        <f>C27+B28</f>
        <v>280</v>
      </c>
      <c r="D28" s="61">
        <v>4.666666666666667</v>
      </c>
      <c r="E28" s="96"/>
      <c r="F28" s="96"/>
      <c r="G28" s="102"/>
      <c r="H28" s="111">
        <f t="shared" si="10"/>
        <v>8.3333333333333925E-2</v>
      </c>
      <c r="I28" s="111">
        <f t="shared" si="11"/>
        <v>8.3333333333333925E-2</v>
      </c>
      <c r="J28" s="111">
        <f t="shared" si="12"/>
        <v>8.3333333333333925E-2</v>
      </c>
      <c r="K28" s="102">
        <f>((H28-'[2]CalibrationB. hydrogenotropBAD'!$D$45)/('[2]CalibrationB. hydrogenotropBAD'!$D$44))+$B$65</f>
        <v>12.826430432365118</v>
      </c>
      <c r="L28" s="102">
        <f>((I28-'[2]CalibrationB. hydrogenotropBAD'!$D$45)/('[2]CalibrationB. hydrogenotropBAD'!$D$44))+$B$65</f>
        <v>12.826430432365118</v>
      </c>
      <c r="M28" s="102">
        <f>((J28-'[2]CalibrationB. hydrogenotropBAD'!$D$45)/('[2]CalibrationB. hydrogenotropBAD'!$D$44))+$B$65</f>
        <v>12.826430432365118</v>
      </c>
      <c r="N28" s="103">
        <f t="shared" si="13"/>
        <v>12.82643043236512</v>
      </c>
      <c r="O28" s="103">
        <f t="shared" si="14"/>
        <v>2.1755839288168292E-15</v>
      </c>
      <c r="P28" s="104">
        <f>(AVERAGE(POWER(10,K28),POWER(10,L28),POWER(10,M28)))*[2]Calculation!$I7/[2]Calculation!$K6</f>
        <v>6705488659612.2656</v>
      </c>
      <c r="Q28" s="104">
        <f>(STDEV(POWER(10,K28),POWER(10,L28),POWER(10,M28)))*[2]Calculation!$I7/[2]Calculation!$K6</f>
        <v>0</v>
      </c>
      <c r="R28" s="103">
        <f t="shared" si="15"/>
        <v>12.82643043236512</v>
      </c>
      <c r="S28" s="103">
        <f>O28*[2]Calculation!$I7/[2]Calculation!$K6</f>
        <v>2.1755839288168292E-15</v>
      </c>
    </row>
    <row r="29" spans="1:29">
      <c r="A29" s="31">
        <v>4</v>
      </c>
      <c r="B29" s="62">
        <v>80</v>
      </c>
      <c r="C29" s="101">
        <f t="shared" ref="C29:C39" si="17">C28+B29</f>
        <v>360</v>
      </c>
      <c r="D29" s="61">
        <v>6</v>
      </c>
      <c r="E29" s="96"/>
      <c r="F29" s="96"/>
      <c r="G29" s="102"/>
      <c r="H29" s="111">
        <f t="shared" si="10"/>
        <v>8.3333333333333925E-2</v>
      </c>
      <c r="I29" s="111">
        <f t="shared" si="11"/>
        <v>8.3333333333333925E-2</v>
      </c>
      <c r="J29" s="111">
        <f t="shared" si="12"/>
        <v>8.3333333333333925E-2</v>
      </c>
      <c r="K29" s="102">
        <f>((H29-'[2]CalibrationB. hydrogenotropBAD'!$D$45)/('[2]CalibrationB. hydrogenotropBAD'!$D$44))+$B$65</f>
        <v>12.826430432365118</v>
      </c>
      <c r="L29" s="102">
        <f>((I29-'[2]CalibrationB. hydrogenotropBAD'!$D$45)/('[2]CalibrationB. hydrogenotropBAD'!$D$44))+$B$65</f>
        <v>12.826430432365118</v>
      </c>
      <c r="M29" s="102">
        <f>((J29-'[2]CalibrationB. hydrogenotropBAD'!$D$45)/('[2]CalibrationB. hydrogenotropBAD'!$D$44))+$B$65</f>
        <v>12.826430432365118</v>
      </c>
      <c r="N29" s="103">
        <f t="shared" si="13"/>
        <v>12.82643043236512</v>
      </c>
      <c r="O29" s="103">
        <f t="shared" si="14"/>
        <v>2.1755839288168292E-15</v>
      </c>
      <c r="P29" s="104">
        <f>(AVERAGE(POWER(10,K29),POWER(10,L29),POWER(10,M29)))*[2]Calculation!$I8/[2]Calculation!$K7</f>
        <v>6705488659612.2656</v>
      </c>
      <c r="Q29" s="104">
        <f>(STDEV(POWER(10,K29),POWER(10,L29),POWER(10,M29)))*[2]Calculation!$I8/[2]Calculation!$K7</f>
        <v>0</v>
      </c>
      <c r="R29" s="103">
        <f t="shared" si="15"/>
        <v>12.82643043236512</v>
      </c>
      <c r="S29" s="103">
        <f>O29*[2]Calculation!$I8/[2]Calculation!$K7</f>
        <v>2.1755839288168292E-15</v>
      </c>
    </row>
    <row r="30" spans="1:29">
      <c r="A30" s="31">
        <v>5</v>
      </c>
      <c r="B30" s="62">
        <v>80</v>
      </c>
      <c r="C30" s="101">
        <f t="shared" si="17"/>
        <v>440</v>
      </c>
      <c r="D30" s="61">
        <v>7.333333333333333</v>
      </c>
      <c r="E30" s="96"/>
      <c r="F30" s="96"/>
      <c r="G30" s="102"/>
      <c r="H30" s="111">
        <f t="shared" si="10"/>
        <v>8.3333333333333925E-2</v>
      </c>
      <c r="I30" s="111">
        <f t="shared" si="11"/>
        <v>8.3333333333333925E-2</v>
      </c>
      <c r="J30" s="111">
        <f t="shared" si="12"/>
        <v>8.3333333333333925E-2</v>
      </c>
      <c r="K30" s="102">
        <f>((H30-'[2]CalibrationB. hydrogenotropBAD'!$D$45)/('[2]CalibrationB. hydrogenotropBAD'!$D$44))+$B$65</f>
        <v>12.826430432365118</v>
      </c>
      <c r="L30" s="102">
        <f>((I30-'[2]CalibrationB. hydrogenotropBAD'!$D$45)/('[2]CalibrationB. hydrogenotropBAD'!$D$44))+$B$65</f>
        <v>12.826430432365118</v>
      </c>
      <c r="M30" s="102">
        <f>((J30-'[2]CalibrationB. hydrogenotropBAD'!$D$45)/('[2]CalibrationB. hydrogenotropBAD'!$D$44))+$B$65</f>
        <v>12.826430432365118</v>
      </c>
      <c r="N30" s="103">
        <f t="shared" si="13"/>
        <v>12.82643043236512</v>
      </c>
      <c r="O30" s="103">
        <f t="shared" si="14"/>
        <v>2.1755839288168292E-15</v>
      </c>
      <c r="P30" s="104">
        <f>(AVERAGE(POWER(10,K30),POWER(10,L30),POWER(10,M30)))*[2]Calculation!$I9/[2]Calculation!$K8</f>
        <v>6705488659612.2656</v>
      </c>
      <c r="Q30" s="104">
        <f>(STDEV(POWER(10,K30),POWER(10,L30),POWER(10,M30)))*[2]Calculation!$I9/[2]Calculation!$K8</f>
        <v>0</v>
      </c>
      <c r="R30" s="103">
        <f t="shared" si="15"/>
        <v>12.82643043236512</v>
      </c>
      <c r="S30" s="103">
        <f>O30*[2]Calculation!$I9/[2]Calculation!$K8</f>
        <v>2.1755839288168292E-15</v>
      </c>
    </row>
    <row r="31" spans="1:29">
      <c r="A31" s="31">
        <v>6</v>
      </c>
      <c r="B31" s="62">
        <v>80</v>
      </c>
      <c r="C31" s="101">
        <f t="shared" si="17"/>
        <v>520</v>
      </c>
      <c r="D31" s="61">
        <v>8.6666666666666661</v>
      </c>
      <c r="E31" s="96"/>
      <c r="F31" s="96"/>
      <c r="G31" s="102"/>
      <c r="H31" s="111">
        <f t="shared" si="10"/>
        <v>8.3333333333333925E-2</v>
      </c>
      <c r="I31" s="111">
        <f t="shared" si="11"/>
        <v>8.3333333333333925E-2</v>
      </c>
      <c r="J31" s="111">
        <f t="shared" si="12"/>
        <v>8.3333333333333925E-2</v>
      </c>
      <c r="K31" s="102">
        <f>((H31-'[2]CalibrationB. hydrogenotropBAD'!$D$45)/('[2]CalibrationB. hydrogenotropBAD'!$D$44))+$B$65</f>
        <v>12.826430432365118</v>
      </c>
      <c r="L31" s="102">
        <f>((I31-'[2]CalibrationB. hydrogenotropBAD'!$D$45)/('[2]CalibrationB. hydrogenotropBAD'!$D$44))+$B$65</f>
        <v>12.826430432365118</v>
      </c>
      <c r="M31" s="102">
        <f>((J31-'[2]CalibrationB. hydrogenotropBAD'!$D$45)/('[2]CalibrationB. hydrogenotropBAD'!$D$44))+$B$65</f>
        <v>12.826430432365118</v>
      </c>
      <c r="N31" s="103">
        <f t="shared" si="13"/>
        <v>12.82643043236512</v>
      </c>
      <c r="O31" s="103">
        <f t="shared" si="14"/>
        <v>2.1755839288168292E-15</v>
      </c>
      <c r="P31" s="104">
        <f>(AVERAGE(POWER(10,K31),POWER(10,L31),POWER(10,M31)))*[2]Calculation!$I10/[2]Calculation!$K9</f>
        <v>6705488659612.2656</v>
      </c>
      <c r="Q31" s="104">
        <f>(STDEV(POWER(10,K31),POWER(10,L31),POWER(10,M31)))*[2]Calculation!$I10/[2]Calculation!$K9</f>
        <v>0</v>
      </c>
      <c r="R31" s="103">
        <f t="shared" si="15"/>
        <v>12.82643043236512</v>
      </c>
      <c r="S31" s="103">
        <f>O31*[2]Calculation!$I10/[2]Calculation!$K9</f>
        <v>2.1755839288168292E-15</v>
      </c>
    </row>
    <row r="32" spans="1:29">
      <c r="A32" s="31">
        <v>7</v>
      </c>
      <c r="B32" s="62">
        <v>80</v>
      </c>
      <c r="C32" s="101">
        <f t="shared" si="17"/>
        <v>600</v>
      </c>
      <c r="D32" s="61">
        <v>10</v>
      </c>
      <c r="E32" s="96"/>
      <c r="F32" s="96"/>
      <c r="G32" s="102"/>
      <c r="H32" s="111">
        <f t="shared" si="10"/>
        <v>8.3333333333333925E-2</v>
      </c>
      <c r="I32" s="111">
        <f t="shared" si="11"/>
        <v>8.3333333333333925E-2</v>
      </c>
      <c r="J32" s="111">
        <f t="shared" si="12"/>
        <v>8.3333333333333925E-2</v>
      </c>
      <c r="K32" s="102">
        <f>((H32-'[2]CalibrationB. hydrogenotropBAD'!$D$45)/('[2]CalibrationB. hydrogenotropBAD'!$D$44))+$B$65</f>
        <v>12.826430432365118</v>
      </c>
      <c r="L32" s="102">
        <f>((I32-'[2]CalibrationB. hydrogenotropBAD'!$D$45)/('[2]CalibrationB. hydrogenotropBAD'!$D$44))+$B$65</f>
        <v>12.826430432365118</v>
      </c>
      <c r="M32" s="102">
        <f>((J32-'[2]CalibrationB. hydrogenotropBAD'!$D$45)/('[2]CalibrationB. hydrogenotropBAD'!$D$44))+$B$65</f>
        <v>12.826430432365118</v>
      </c>
      <c r="N32" s="103">
        <f t="shared" si="13"/>
        <v>12.82643043236512</v>
      </c>
      <c r="O32" s="103">
        <f t="shared" si="14"/>
        <v>2.1755839288168292E-15</v>
      </c>
      <c r="P32" s="104">
        <f>(AVERAGE(POWER(10,K32),POWER(10,L32),POWER(10,M32)))*[2]Calculation!$I11/[2]Calculation!$K10</f>
        <v>6705488659612.2656</v>
      </c>
      <c r="Q32" s="104">
        <f>(STDEV(POWER(10,K32),POWER(10,L32),POWER(10,M32)))*[2]Calculation!$I11/[2]Calculation!$K10</f>
        <v>0</v>
      </c>
      <c r="R32" s="103">
        <f t="shared" si="15"/>
        <v>12.82643043236512</v>
      </c>
      <c r="S32" s="103">
        <f>O32*[2]Calculation!$I11/[2]Calculation!$K10</f>
        <v>2.1755839288168292E-15</v>
      </c>
    </row>
    <row r="33" spans="1:19">
      <c r="A33" s="31">
        <v>8</v>
      </c>
      <c r="B33" s="62">
        <v>80</v>
      </c>
      <c r="C33" s="101">
        <f t="shared" si="17"/>
        <v>680</v>
      </c>
      <c r="D33" s="61">
        <v>11.333333333333334</v>
      </c>
      <c r="E33" s="96"/>
      <c r="F33" s="96"/>
      <c r="G33" s="102"/>
      <c r="H33" s="111">
        <f t="shared" si="10"/>
        <v>8.3333333333333925E-2</v>
      </c>
      <c r="I33" s="111">
        <f t="shared" si="11"/>
        <v>8.3333333333333925E-2</v>
      </c>
      <c r="J33" s="111">
        <f t="shared" si="12"/>
        <v>8.3333333333333925E-2</v>
      </c>
      <c r="K33" s="102">
        <f>((H33-'[2]CalibrationB. hydrogenotropBAD'!$D$45)/('[2]CalibrationB. hydrogenotropBAD'!$D$44))+$B$65</f>
        <v>12.826430432365118</v>
      </c>
      <c r="L33" s="102">
        <f>((I33-'[2]CalibrationB. hydrogenotropBAD'!$D$45)/('[2]CalibrationB. hydrogenotropBAD'!$D$44))+$B$65</f>
        <v>12.826430432365118</v>
      </c>
      <c r="M33" s="102">
        <f>((J33-'[2]CalibrationB. hydrogenotropBAD'!$D$45)/('[2]CalibrationB. hydrogenotropBAD'!$D$44))+$B$65</f>
        <v>12.826430432365118</v>
      </c>
      <c r="N33" s="103">
        <f>AVERAGE(K33:M33)</f>
        <v>12.82643043236512</v>
      </c>
      <c r="O33" s="103">
        <f>STDEV(K33:M33)</f>
        <v>2.1755839288168292E-15</v>
      </c>
      <c r="P33" s="104">
        <f>(AVERAGE(POWER(10,K33),POWER(10,L33),POWER(10,M33)))*[2]Calculation!$I12/[2]Calculation!$K11</f>
        <v>6711443800517.7822</v>
      </c>
      <c r="Q33" s="104">
        <f>(STDEV(POWER(10,K33),POWER(10,L33),POWER(10,M33)))*[2]Calculation!$I12/[2]Calculation!$K11</f>
        <v>0</v>
      </c>
      <c r="R33" s="103">
        <f>LOG(P33)</f>
        <v>12.826815957895898</v>
      </c>
      <c r="S33" s="103">
        <f>O33*[2]Calculation!$I12/[2]Calculation!$K11</f>
        <v>2.1775160637447305E-15</v>
      </c>
    </row>
    <row r="34" spans="1:19">
      <c r="A34" s="31">
        <v>9</v>
      </c>
      <c r="B34" s="62">
        <v>80</v>
      </c>
      <c r="C34" s="101">
        <f t="shared" si="17"/>
        <v>760</v>
      </c>
      <c r="D34" s="61">
        <v>12.666666666666666</v>
      </c>
      <c r="E34" s="96"/>
      <c r="F34" s="96"/>
      <c r="G34" s="102"/>
      <c r="H34" s="111">
        <f t="shared" si="10"/>
        <v>8.3333333333333925E-2</v>
      </c>
      <c r="I34" s="111">
        <f t="shared" si="11"/>
        <v>8.3333333333333925E-2</v>
      </c>
      <c r="J34" s="111">
        <f t="shared" si="12"/>
        <v>8.3333333333333925E-2</v>
      </c>
      <c r="K34" s="102">
        <f>((H34-'[2]CalibrationB. hydrogenotropBAD'!$D$45)/('[2]CalibrationB. hydrogenotropBAD'!$D$44))+$B$65</f>
        <v>12.826430432365118</v>
      </c>
      <c r="L34" s="102">
        <f>((I34-'[2]CalibrationB. hydrogenotropBAD'!$D$45)/('[2]CalibrationB. hydrogenotropBAD'!$D$44))+$B$65</f>
        <v>12.826430432365118</v>
      </c>
      <c r="M34" s="102">
        <f>((J34-'[2]CalibrationB. hydrogenotropBAD'!$D$45)/('[2]CalibrationB. hydrogenotropBAD'!$D$44))+$B$65</f>
        <v>12.826430432365118</v>
      </c>
      <c r="N34" s="103">
        <f t="shared" ref="N34:N41" si="18">AVERAGE(K34:M34)</f>
        <v>12.82643043236512</v>
      </c>
      <c r="O34" s="103">
        <f t="shared" ref="O34:O41" si="19">STDEV(K34:M34)</f>
        <v>2.1755839288168292E-15</v>
      </c>
      <c r="P34" s="104">
        <f>(AVERAGE(POWER(10,K34),POWER(10,L34),POWER(10,M34)))*[2]Calculation!$I13/[2]Calculation!$K12</f>
        <v>6717646613642.1064</v>
      </c>
      <c r="Q34" s="104">
        <f>(STDEV(POWER(10,K34),POWER(10,L34),POWER(10,M34)))*[2]Calculation!$I13/[2]Calculation!$K12</f>
        <v>0</v>
      </c>
      <c r="R34" s="103">
        <f t="shared" ref="R34:R40" si="20">LOG(P34)</f>
        <v>12.827217153750668</v>
      </c>
      <c r="S34" s="103">
        <f>O34*[2]Calculation!$I13/[2]Calculation!$K12</f>
        <v>2.1795285554857143E-15</v>
      </c>
    </row>
    <row r="35" spans="1:19">
      <c r="A35" s="31">
        <v>10</v>
      </c>
      <c r="B35" s="62">
        <v>80</v>
      </c>
      <c r="C35" s="101">
        <f t="shared" si="17"/>
        <v>840</v>
      </c>
      <c r="D35" s="61">
        <v>14</v>
      </c>
      <c r="E35" s="96"/>
      <c r="F35" s="96"/>
      <c r="G35" s="102"/>
      <c r="H35" s="111">
        <f t="shared" si="10"/>
        <v>8.3333333333333925E-2</v>
      </c>
      <c r="I35" s="111">
        <f t="shared" si="11"/>
        <v>8.3333333333333925E-2</v>
      </c>
      <c r="J35" s="111">
        <f t="shared" si="12"/>
        <v>8.3333333333333925E-2</v>
      </c>
      <c r="K35" s="102">
        <f>((H35-'[2]CalibrationB. hydrogenotropBAD'!$D$45)/('[2]CalibrationB. hydrogenotropBAD'!$D$44))+$B$65</f>
        <v>12.826430432365118</v>
      </c>
      <c r="L35" s="102">
        <f>((I35-'[2]CalibrationB. hydrogenotropBAD'!$D$45)/('[2]CalibrationB. hydrogenotropBAD'!$D$44))+$B$65</f>
        <v>12.826430432365118</v>
      </c>
      <c r="M35" s="102">
        <f>((J35-'[2]CalibrationB. hydrogenotropBAD'!$D$45)/('[2]CalibrationB. hydrogenotropBAD'!$D$44))+$B$65</f>
        <v>12.826430432365118</v>
      </c>
      <c r="N35" s="103">
        <f t="shared" si="18"/>
        <v>12.82643043236512</v>
      </c>
      <c r="O35" s="103">
        <f t="shared" si="19"/>
        <v>2.1755839288168292E-15</v>
      </c>
      <c r="P35" s="104">
        <f>(AVERAGE(POWER(10,K35),POWER(10,L35),POWER(10,M35)))*[2]Calculation!$I14/[2]Calculation!$K13</f>
        <v>6724130828520.1396</v>
      </c>
      <c r="Q35" s="104">
        <f>(STDEV(POWER(10,K35),POWER(10,L35),POWER(10,M35)))*[2]Calculation!$I14/[2]Calculation!$K13</f>
        <v>0</v>
      </c>
      <c r="R35" s="103">
        <f t="shared" si="20"/>
        <v>12.827636154730495</v>
      </c>
      <c r="S35" s="103">
        <f>O35*[2]Calculation!$I14/[2]Calculation!$K13</f>
        <v>2.1816323475276893E-15</v>
      </c>
    </row>
    <row r="36" spans="1:19">
      <c r="A36" s="31">
        <v>11</v>
      </c>
      <c r="B36" s="62">
        <v>80</v>
      </c>
      <c r="C36" s="101">
        <f t="shared" si="17"/>
        <v>920</v>
      </c>
      <c r="D36" s="61">
        <v>15.333333333333334</v>
      </c>
      <c r="E36" s="96"/>
      <c r="F36" s="96"/>
      <c r="G36" s="102"/>
      <c r="H36" s="111">
        <f t="shared" si="10"/>
        <v>8.3333333333333925E-2</v>
      </c>
      <c r="I36" s="111">
        <f t="shared" si="11"/>
        <v>8.3333333333333925E-2</v>
      </c>
      <c r="J36" s="111">
        <f t="shared" si="12"/>
        <v>8.3333333333333925E-2</v>
      </c>
      <c r="K36" s="102">
        <f>((H36-'[2]CalibrationB. hydrogenotropBAD'!$D$45)/('[2]CalibrationB. hydrogenotropBAD'!$D$44))+$B$65</f>
        <v>12.826430432365118</v>
      </c>
      <c r="L36" s="102">
        <f>((I36-'[2]CalibrationB. hydrogenotropBAD'!$D$45)/('[2]CalibrationB. hydrogenotropBAD'!$D$44))+$B$65</f>
        <v>12.826430432365118</v>
      </c>
      <c r="M36" s="102">
        <f>((J36-'[2]CalibrationB. hydrogenotropBAD'!$D$45)/('[2]CalibrationB. hydrogenotropBAD'!$D$44))+$B$65</f>
        <v>12.826430432365118</v>
      </c>
      <c r="N36" s="103">
        <f t="shared" si="18"/>
        <v>12.82643043236512</v>
      </c>
      <c r="O36" s="103">
        <f t="shared" si="19"/>
        <v>2.1755839288168292E-15</v>
      </c>
      <c r="P36" s="104">
        <f>(AVERAGE(POWER(10,K36),POWER(10,L36),POWER(10,M36)))*[2]Calculation!$I15/[2]Calculation!$K14</f>
        <v>6730916026127.123</v>
      </c>
      <c r="Q36" s="104">
        <f>(STDEV(POWER(10,K36),POWER(10,L36),POWER(10,M36)))*[2]Calculation!$I15/[2]Calculation!$K14</f>
        <v>0</v>
      </c>
      <c r="R36" s="103">
        <f t="shared" si="20"/>
        <v>12.828074172399399</v>
      </c>
      <c r="S36" s="103">
        <f>O36*[2]Calculation!$I15/[2]Calculation!$K14</f>
        <v>2.1838337928834187E-15</v>
      </c>
    </row>
    <row r="37" spans="1:19">
      <c r="A37" s="31">
        <v>12</v>
      </c>
      <c r="B37" s="62">
        <v>80</v>
      </c>
      <c r="C37" s="101">
        <f t="shared" si="17"/>
        <v>1000</v>
      </c>
      <c r="D37" s="61">
        <v>16.666666666666668</v>
      </c>
      <c r="E37" s="96"/>
      <c r="F37" s="96"/>
      <c r="G37" s="102"/>
      <c r="H37" s="111">
        <f t="shared" si="10"/>
        <v>8.3333333333333925E-2</v>
      </c>
      <c r="I37" s="111">
        <f t="shared" si="11"/>
        <v>8.3333333333333925E-2</v>
      </c>
      <c r="J37" s="111">
        <f t="shared" si="12"/>
        <v>8.3333333333333925E-2</v>
      </c>
      <c r="K37" s="102">
        <f>((H37-'[2]CalibrationB. hydrogenotropBAD'!$D$45)/('[2]CalibrationB. hydrogenotropBAD'!$D$44))+$B$65</f>
        <v>12.826430432365118</v>
      </c>
      <c r="L37" s="102">
        <f>((I37-'[2]CalibrationB. hydrogenotropBAD'!$D$45)/('[2]CalibrationB. hydrogenotropBAD'!$D$44))+$B$65</f>
        <v>12.826430432365118</v>
      </c>
      <c r="M37" s="102">
        <f>((J37-'[2]CalibrationB. hydrogenotropBAD'!$D$45)/('[2]CalibrationB. hydrogenotropBAD'!$D$44))+$B$65</f>
        <v>12.826430432365118</v>
      </c>
      <c r="N37" s="103">
        <f t="shared" si="18"/>
        <v>12.82643043236512</v>
      </c>
      <c r="O37" s="103">
        <f t="shared" si="19"/>
        <v>2.1755839288168292E-15</v>
      </c>
      <c r="P37" s="104">
        <f>(AVERAGE(POWER(10,K37),POWER(10,L37),POWER(10,M37)))*[2]Calculation!$I16/[2]Calculation!$K15</f>
        <v>6738053794977.7354</v>
      </c>
      <c r="Q37" s="104">
        <f>(STDEV(POWER(10,K37),POWER(10,L37),POWER(10,M37)))*[2]Calculation!$I16/[2]Calculation!$K15</f>
        <v>0</v>
      </c>
      <c r="R37" s="103">
        <f t="shared" si="20"/>
        <v>12.828534473960138</v>
      </c>
      <c r="S37" s="103">
        <f>O37*[2]Calculation!$I16/[2]Calculation!$K15</f>
        <v>2.1861496293551929E-15</v>
      </c>
    </row>
    <row r="38" spans="1:19">
      <c r="A38" s="31">
        <v>13</v>
      </c>
      <c r="B38" s="62">
        <v>80</v>
      </c>
      <c r="C38" s="101">
        <f t="shared" si="17"/>
        <v>1080</v>
      </c>
      <c r="D38" s="61">
        <v>18</v>
      </c>
      <c r="E38" s="96"/>
      <c r="F38" s="96"/>
      <c r="G38" s="102"/>
      <c r="H38" s="111">
        <f t="shared" si="10"/>
        <v>8.3333333333333925E-2</v>
      </c>
      <c r="I38" s="111">
        <f t="shared" si="11"/>
        <v>8.3333333333333925E-2</v>
      </c>
      <c r="J38" s="111">
        <f t="shared" si="12"/>
        <v>8.3333333333333925E-2</v>
      </c>
      <c r="K38" s="102">
        <f>((H38-'[2]CalibrationB. hydrogenotropBAD'!$D$45)/('[2]CalibrationB. hydrogenotropBAD'!$D$44))+$B$65</f>
        <v>12.826430432365118</v>
      </c>
      <c r="L38" s="102">
        <f>((I38-'[2]CalibrationB. hydrogenotropBAD'!$D$45)/('[2]CalibrationB. hydrogenotropBAD'!$D$44))+$B$65</f>
        <v>12.826430432365118</v>
      </c>
      <c r="M38" s="102">
        <f>((J38-'[2]CalibrationB. hydrogenotropBAD'!$D$45)/('[2]CalibrationB. hydrogenotropBAD'!$D$44))+$B$65</f>
        <v>12.826430432365118</v>
      </c>
      <c r="N38" s="103">
        <f t="shared" si="18"/>
        <v>12.82643043236512</v>
      </c>
      <c r="O38" s="103">
        <f t="shared" si="19"/>
        <v>2.1755839288168292E-15</v>
      </c>
      <c r="P38" s="104">
        <f>(AVERAGE(POWER(10,K38),POWER(10,L38),POWER(10,M38)))*[2]Calculation!$I17/[2]Calculation!$K16</f>
        <v>6738053794977.7344</v>
      </c>
      <c r="Q38" s="104">
        <f>(STDEV(POWER(10,K38),POWER(10,L38),POWER(10,M38)))*[2]Calculation!$I17/[2]Calculation!$K16</f>
        <v>0</v>
      </c>
      <c r="R38" s="103">
        <f t="shared" si="20"/>
        <v>12.828534473960138</v>
      </c>
      <c r="S38" s="103">
        <f>O38*[2]Calculation!$I17/[2]Calculation!$K16</f>
        <v>2.1861496293551933E-15</v>
      </c>
    </row>
    <row r="39" spans="1:19">
      <c r="A39" s="31">
        <v>14</v>
      </c>
      <c r="B39" s="62">
        <v>360</v>
      </c>
      <c r="C39" s="101">
        <f t="shared" si="17"/>
        <v>1440</v>
      </c>
      <c r="D39" s="61">
        <v>24</v>
      </c>
      <c r="E39" s="96"/>
      <c r="F39" s="96"/>
      <c r="G39" s="102"/>
      <c r="H39" s="111">
        <f>(E39-'[2]CalibrationB. hydrogenotrophBAD'!$F$40)+$H$86</f>
        <v>-2.4376077651977539</v>
      </c>
      <c r="I39" s="111">
        <f>(F39-'[2]CalibrationB. hydrogenotrophBAD'!$F$40)+$H$86</f>
        <v>-2.4376077651977539</v>
      </c>
      <c r="J39" s="111">
        <f>(G39-'[2]CalibrationB. hydrogenotrophBAD'!$F$40)+$H$86</f>
        <v>-2.4376077651977539</v>
      </c>
      <c r="K39" s="102">
        <f>((H39-'[2]CalibrationB. hydrogenotropBAD'!$D$45)/('[2]CalibrationB. hydrogenotropBAD'!$D$44))+$B$65</f>
        <v>13.252632244488924</v>
      </c>
      <c r="L39" s="102">
        <f>((I39-'[2]CalibrationB. hydrogenotropBAD'!$D$45)/('[2]CalibrationB. hydrogenotropBAD'!$D$44))+$B$65</f>
        <v>13.252632244488924</v>
      </c>
      <c r="M39" s="102">
        <f>((J39-'[2]CalibrationB. hydrogenotropBAD'!$D$45)/('[2]CalibrationB. hydrogenotropBAD'!$D$44))+$B$65</f>
        <v>13.252632244488924</v>
      </c>
      <c r="N39" s="103">
        <f t="shared" si="18"/>
        <v>13.252632244488924</v>
      </c>
      <c r="O39" s="103">
        <f t="shared" si="19"/>
        <v>0</v>
      </c>
      <c r="P39" s="104">
        <f>(AVERAGE(POWER(10,K39),POWER(10,L39),POWER(10,M39)))*[2]Calculation!$I18/[2]Calculation!$K17</f>
        <v>17977789295917.75</v>
      </c>
      <c r="Q39" s="104">
        <f>(STDEV(POWER(10,K39),POWER(10,L39),POWER(10,M39)))*[2]Calculation!$I18/[2]Calculation!$K17</f>
        <v>0</v>
      </c>
      <c r="R39" s="103">
        <f t="shared" si="20"/>
        <v>13.254736286083945</v>
      </c>
      <c r="S39" s="103">
        <f>O39*[2]Calculation!$I18/[2]Calculation!$K17</f>
        <v>0</v>
      </c>
    </row>
    <row r="40" spans="1:19">
      <c r="A40" s="31">
        <v>15</v>
      </c>
      <c r="B40" s="62">
        <v>360</v>
      </c>
      <c r="C40" s="101">
        <f>C39+B40</f>
        <v>1800</v>
      </c>
      <c r="D40" s="61">
        <v>30</v>
      </c>
      <c r="E40" s="96"/>
      <c r="F40" s="96"/>
      <c r="G40" s="102"/>
      <c r="H40" s="111" t="e">
        <f>(E40-#REF!)+$H$86</f>
        <v>#REF!</v>
      </c>
      <c r="I40" s="111" t="e">
        <f>(F40-#REF!)+$H$86</f>
        <v>#REF!</v>
      </c>
      <c r="J40" s="111" t="e">
        <f>(G40-#REF!)+$H$86</f>
        <v>#REF!</v>
      </c>
      <c r="K40" s="102" t="e">
        <f>((H40-'[2]CalibrationB. hydrogenotropBAD'!$D$45)/('[2]CalibrationB. hydrogenotropBAD'!$D$44))+$B$65</f>
        <v>#REF!</v>
      </c>
      <c r="L40" s="102" t="e">
        <f>((I40-'[2]CalibrationB. hydrogenotropBAD'!$D$45)/('[2]CalibrationB. hydrogenotropBAD'!$D$44))+$B$65</f>
        <v>#REF!</v>
      </c>
      <c r="M40" s="102" t="e">
        <f>((J40-'[2]CalibrationB. hydrogenotropBAD'!$D$45)/('[2]CalibrationB. hydrogenotropBAD'!$D$44))+$B$65</f>
        <v>#REF!</v>
      </c>
      <c r="N40" s="103" t="e">
        <f t="shared" si="18"/>
        <v>#REF!</v>
      </c>
      <c r="O40" s="103" t="e">
        <f t="shared" si="19"/>
        <v>#REF!</v>
      </c>
      <c r="P40" s="104" t="e">
        <f>(AVERAGE(POWER(10,K40),POWER(10,L40),POWER(10,M40)))*[2]Calculation!$I19/[2]Calculation!$K18</f>
        <v>#REF!</v>
      </c>
      <c r="Q40" s="104" t="e">
        <f>(STDEV(POWER(10,K40),POWER(10,L40),POWER(10,M40)))*[2]Calculation!$I19/[2]Calculation!$K18</f>
        <v>#REF!</v>
      </c>
      <c r="R40" s="103" t="e">
        <f t="shared" si="20"/>
        <v>#REF!</v>
      </c>
      <c r="S40" s="103" t="e">
        <f>O40*[2]Calculation!$I19/[2]Calculation!$K18</f>
        <v>#REF!</v>
      </c>
    </row>
    <row r="41" spans="1:19">
      <c r="A41" s="31">
        <v>16</v>
      </c>
      <c r="B41" s="62">
        <v>1080</v>
      </c>
      <c r="C41" s="101">
        <f>C40+B41</f>
        <v>2880</v>
      </c>
      <c r="D41" s="61">
        <v>48</v>
      </c>
      <c r="E41" s="96"/>
      <c r="F41" s="96"/>
      <c r="G41" s="102"/>
      <c r="H41" s="111" t="e">
        <f>(E41-#REF!)+$H$86</f>
        <v>#REF!</v>
      </c>
      <c r="I41" s="111" t="e">
        <f>(F41-#REF!)+$H$86</f>
        <v>#REF!</v>
      </c>
      <c r="J41" s="111" t="e">
        <f>(G41-#REF!)+$H$86</f>
        <v>#REF!</v>
      </c>
      <c r="K41" s="102" t="e">
        <f>((H41-'[2]CalibrationB. hydrogenotropBAD'!$D$45)/('[2]CalibrationB. hydrogenotropBAD'!$D$44))+$B$65</f>
        <v>#REF!</v>
      </c>
      <c r="L41" s="102" t="e">
        <f>((I41-'[2]CalibrationB. hydrogenotropBAD'!$D$45)/('[2]CalibrationB. hydrogenotropBAD'!$D$44))+$B$65</f>
        <v>#REF!</v>
      </c>
      <c r="M41" s="102" t="e">
        <f>((J41-'[2]CalibrationB. hydrogenotropBAD'!$D$45)/('[2]CalibrationB. hydrogenotropBAD'!$D$44))+$B$65</f>
        <v>#REF!</v>
      </c>
      <c r="N41" s="103" t="e">
        <f t="shared" si="18"/>
        <v>#REF!</v>
      </c>
      <c r="O41" s="103" t="e">
        <f t="shared" si="19"/>
        <v>#REF!</v>
      </c>
      <c r="P41" s="104" t="e">
        <f>(AVERAGE(POWER(10,K41),POWER(10,L41),POWER(10,M41)))*[2]Calculation!$I20/[2]Calculation!$K19</f>
        <v>#REF!</v>
      </c>
      <c r="Q41" s="104" t="e">
        <f>(STDEV(POWER(10,K41),POWER(10,L41),POWER(10,M41)))*[2]Calculation!$I20/[2]Calculation!$K19</f>
        <v>#REF!</v>
      </c>
      <c r="R41" s="103" t="e">
        <f>LOG(P41)</f>
        <v>#REF!</v>
      </c>
      <c r="S41" s="103" t="e">
        <f>O41*[2]Calculation!$I20/[2]Calculation!$K19</f>
        <v>#REF!</v>
      </c>
    </row>
    <row r="42" spans="1:19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1:19">
      <c r="A43" s="100" t="s">
        <v>262</v>
      </c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1:19">
      <c r="A44" s="133" t="s">
        <v>4</v>
      </c>
      <c r="B44" s="133" t="s">
        <v>117</v>
      </c>
      <c r="C44" s="133" t="s">
        <v>117</v>
      </c>
      <c r="D44" s="133" t="s">
        <v>5</v>
      </c>
      <c r="E44" s="145" t="s">
        <v>221</v>
      </c>
      <c r="F44" s="145" t="s">
        <v>222</v>
      </c>
      <c r="G44" s="145" t="s">
        <v>223</v>
      </c>
      <c r="H44" s="147" t="s">
        <v>224</v>
      </c>
      <c r="I44" s="147" t="s">
        <v>225</v>
      </c>
      <c r="J44" s="147" t="s">
        <v>226</v>
      </c>
      <c r="K44" s="145" t="s">
        <v>227</v>
      </c>
      <c r="L44" s="145" t="s">
        <v>228</v>
      </c>
      <c r="M44" s="145" t="s">
        <v>229</v>
      </c>
      <c r="N44" s="145" t="s">
        <v>230</v>
      </c>
      <c r="O44" s="145" t="s">
        <v>231</v>
      </c>
      <c r="P44" s="147" t="s">
        <v>232</v>
      </c>
      <c r="Q44" s="147" t="s">
        <v>263</v>
      </c>
      <c r="R44" s="147" t="s">
        <v>234</v>
      </c>
      <c r="S44" s="147" t="s">
        <v>235</v>
      </c>
    </row>
    <row r="45" spans="1:19">
      <c r="A45" s="134"/>
      <c r="B45" s="134"/>
      <c r="C45" s="134"/>
      <c r="D45" s="134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</row>
    <row r="46" spans="1:19">
      <c r="A46" s="31">
        <v>0</v>
      </c>
      <c r="B46" s="62">
        <v>10</v>
      </c>
      <c r="C46" s="101">
        <v>10</v>
      </c>
      <c r="D46" s="61">
        <v>0.16666666666666666</v>
      </c>
      <c r="E46" s="96"/>
      <c r="F46" s="96"/>
      <c r="G46" s="102"/>
      <c r="H46" s="111">
        <f t="shared" ref="H46:H59" si="21">(E46-$H$68)+$H$86</f>
        <v>8.3333333333333925E-2</v>
      </c>
      <c r="I46" s="111">
        <f t="shared" ref="I46:I59" si="22">(F46-$H$68)+$H$86</f>
        <v>8.3333333333333925E-2</v>
      </c>
      <c r="J46" s="111">
        <f t="shared" ref="J46:J59" si="23">(G46-$H$68)+$H$86</f>
        <v>8.3333333333333925E-2</v>
      </c>
      <c r="K46" s="102">
        <f>((H46-'[2]CalibrationB. hydrogenotropBAD'!$D$45)/('[2]CalibrationB. hydrogenotropBAD'!$D$44))+$B$65</f>
        <v>12.826430432365118</v>
      </c>
      <c r="L46" s="102">
        <f>((I46-'[2]CalibrationB. hydrogenotropBAD'!$D$45)/('[2]CalibrationB. hydrogenotropBAD'!$D$44))+$B$65</f>
        <v>12.826430432365118</v>
      </c>
      <c r="M46" s="102">
        <f>((J46-'[2]CalibrationB. hydrogenotropBAD'!$D$45)/('[2]CalibrationB. hydrogenotropBAD'!$D$44))+$B$65</f>
        <v>12.826430432365118</v>
      </c>
      <c r="N46" s="103">
        <f>AVERAGE(K46:M46)</f>
        <v>12.82643043236512</v>
      </c>
      <c r="O46" s="103">
        <f>STDEV(K46:M46)</f>
        <v>2.1755839288168292E-15</v>
      </c>
      <c r="P46" s="104">
        <f>(AVERAGE(POWER(10,K46),POWER(10,L46),POWER(10,M46)))*[2]Calculation!$I4/[2]Calculation!$K3</f>
        <v>6705488659612.2656</v>
      </c>
      <c r="Q46" s="104">
        <f>(STDEV(POWER(10,K46),POWER(10,L46),POWER(10,M46)))*[2]Calculation!$I4/[2]Calculation!$K3</f>
        <v>0</v>
      </c>
      <c r="R46" s="103">
        <f>LOG(P46)</f>
        <v>12.82643043236512</v>
      </c>
      <c r="S46" s="103">
        <f>O46*[2]Calculation!$I4/[2]Calculation!$K3</f>
        <v>2.1755839288168292E-15</v>
      </c>
    </row>
    <row r="47" spans="1:19">
      <c r="A47" s="31">
        <v>1</v>
      </c>
      <c r="B47" s="62">
        <v>110</v>
      </c>
      <c r="C47" s="101">
        <f>C46+B47</f>
        <v>120</v>
      </c>
      <c r="D47" s="61">
        <v>2</v>
      </c>
      <c r="E47" s="96"/>
      <c r="F47" s="96"/>
      <c r="G47" s="102"/>
      <c r="H47" s="111">
        <f t="shared" si="21"/>
        <v>8.3333333333333925E-2</v>
      </c>
      <c r="I47" s="111">
        <f t="shared" si="22"/>
        <v>8.3333333333333925E-2</v>
      </c>
      <c r="J47" s="111">
        <f t="shared" si="23"/>
        <v>8.3333333333333925E-2</v>
      </c>
      <c r="K47" s="102">
        <f>((H47-'[2]CalibrationB. hydrogenotropBAD'!$D$45)/('[2]CalibrationB. hydrogenotropBAD'!$D$44))+$B$65</f>
        <v>12.826430432365118</v>
      </c>
      <c r="L47" s="102">
        <f>((I47-'[2]CalibrationB. hydrogenotropBAD'!$D$45)/('[2]CalibrationB. hydrogenotropBAD'!$D$44))+$B$65</f>
        <v>12.826430432365118</v>
      </c>
      <c r="M47" s="102">
        <f>((J47-'[2]CalibrationB. hydrogenotropBAD'!$D$45)/('[2]CalibrationB. hydrogenotropBAD'!$D$44))+$B$65</f>
        <v>12.826430432365118</v>
      </c>
      <c r="N47" s="103">
        <f t="shared" ref="N47:N53" si="24">AVERAGE(K47:M47)</f>
        <v>12.82643043236512</v>
      </c>
      <c r="O47" s="103">
        <f t="shared" ref="O47:O53" si="25">STDEV(K47:M47)</f>
        <v>2.1755839288168292E-15</v>
      </c>
      <c r="P47" s="104">
        <f>(AVERAGE(POWER(10,K47),POWER(10,L47),POWER(10,M47)))*[2]Calculation!$I5/[2]Calculation!$K4</f>
        <v>6705488659612.2646</v>
      </c>
      <c r="Q47" s="104">
        <f>(STDEV(POWER(10,K47),POWER(10,L47),POWER(10,M47)))*[2]Calculation!$I5/[2]Calculation!$K4</f>
        <v>0</v>
      </c>
      <c r="R47" s="103">
        <f t="shared" ref="R47:R53" si="26">LOG(P47)</f>
        <v>12.82643043236512</v>
      </c>
      <c r="S47" s="103">
        <f>O47*[2]Calculation!$I5/[2]Calculation!$K4</f>
        <v>2.1755839288168292E-15</v>
      </c>
    </row>
    <row r="48" spans="1:19">
      <c r="A48" s="31">
        <v>2</v>
      </c>
      <c r="B48" s="62">
        <v>80</v>
      </c>
      <c r="C48" s="101">
        <f t="shared" ref="C48" si="27">C47+B48</f>
        <v>200</v>
      </c>
      <c r="D48" s="61">
        <v>3.3333333333333335</v>
      </c>
      <c r="E48" s="96"/>
      <c r="F48" s="96"/>
      <c r="G48" s="102"/>
      <c r="H48" s="111">
        <f t="shared" si="21"/>
        <v>8.3333333333333925E-2</v>
      </c>
      <c r="I48" s="111">
        <f t="shared" si="22"/>
        <v>8.3333333333333925E-2</v>
      </c>
      <c r="J48" s="111">
        <f t="shared" si="23"/>
        <v>8.3333333333333925E-2</v>
      </c>
      <c r="K48" s="102">
        <f>((H48-'[2]CalibrationB. hydrogenotropBAD'!$D$45)/('[2]CalibrationB. hydrogenotropBAD'!$D$44))+$B$65</f>
        <v>12.826430432365118</v>
      </c>
      <c r="L48" s="102">
        <f>((I48-'[2]CalibrationB. hydrogenotropBAD'!$D$45)/('[2]CalibrationB. hydrogenotropBAD'!$D$44))+$B$65</f>
        <v>12.826430432365118</v>
      </c>
      <c r="M48" s="102">
        <f>((J48-'[2]CalibrationB. hydrogenotropBAD'!$D$45)/('[2]CalibrationB. hydrogenotropBAD'!$D$44))+$B$65</f>
        <v>12.826430432365118</v>
      </c>
      <c r="N48" s="103">
        <f t="shared" si="24"/>
        <v>12.82643043236512</v>
      </c>
      <c r="O48" s="103">
        <f t="shared" si="25"/>
        <v>2.1755839288168292E-15</v>
      </c>
      <c r="P48" s="104">
        <f>(AVERAGE(POWER(10,K48),POWER(10,L48),POWER(10,M48)))*[2]Calculation!$I6/[2]Calculation!$K5</f>
        <v>6705488659612.2656</v>
      </c>
      <c r="Q48" s="104">
        <f>(STDEV(POWER(10,K48),POWER(10,L48),POWER(10,M48)))*[2]Calculation!$I6/[2]Calculation!$K5</f>
        <v>0</v>
      </c>
      <c r="R48" s="103">
        <f t="shared" si="26"/>
        <v>12.82643043236512</v>
      </c>
      <c r="S48" s="103">
        <f>O48*[2]Calculation!$I6/[2]Calculation!$K5</f>
        <v>2.1755839288168292E-15</v>
      </c>
    </row>
    <row r="49" spans="1:19">
      <c r="A49" s="31">
        <v>3</v>
      </c>
      <c r="B49" s="62">
        <v>80</v>
      </c>
      <c r="C49" s="101">
        <f>C48+B49</f>
        <v>280</v>
      </c>
      <c r="D49" s="61">
        <v>4.666666666666667</v>
      </c>
      <c r="E49" s="96"/>
      <c r="F49" s="96"/>
      <c r="G49" s="102"/>
      <c r="H49" s="111">
        <f t="shared" si="21"/>
        <v>8.3333333333333925E-2</v>
      </c>
      <c r="I49" s="111">
        <f t="shared" si="22"/>
        <v>8.3333333333333925E-2</v>
      </c>
      <c r="J49" s="111">
        <f t="shared" si="23"/>
        <v>8.3333333333333925E-2</v>
      </c>
      <c r="K49" s="102">
        <f>((H49-'[2]CalibrationB. hydrogenotropBAD'!$D$45)/('[2]CalibrationB. hydrogenotropBAD'!$D$44))+$B$65</f>
        <v>12.826430432365118</v>
      </c>
      <c r="L49" s="102">
        <f>((I49-'[2]CalibrationB. hydrogenotropBAD'!$D$45)/('[2]CalibrationB. hydrogenotropBAD'!$D$44))+$B$65</f>
        <v>12.826430432365118</v>
      </c>
      <c r="M49" s="102">
        <f>((J49-'[2]CalibrationB. hydrogenotropBAD'!$D$45)/('[2]CalibrationB. hydrogenotropBAD'!$D$44))+$B$65</f>
        <v>12.826430432365118</v>
      </c>
      <c r="N49" s="103">
        <f t="shared" si="24"/>
        <v>12.82643043236512</v>
      </c>
      <c r="O49" s="103">
        <f t="shared" si="25"/>
        <v>2.1755839288168292E-15</v>
      </c>
      <c r="P49" s="104">
        <f>(AVERAGE(POWER(10,K49),POWER(10,L49),POWER(10,M49)))*[2]Calculation!$I7/[2]Calculation!$K6</f>
        <v>6705488659612.2656</v>
      </c>
      <c r="Q49" s="104">
        <f>(STDEV(POWER(10,K49),POWER(10,L49),POWER(10,M49)))*[2]Calculation!$I7/[2]Calculation!$K6</f>
        <v>0</v>
      </c>
      <c r="R49" s="103">
        <f t="shared" si="26"/>
        <v>12.82643043236512</v>
      </c>
      <c r="S49" s="103">
        <f>O49*[2]Calculation!$I7/[2]Calculation!$K6</f>
        <v>2.1755839288168292E-15</v>
      </c>
    </row>
    <row r="50" spans="1:19">
      <c r="A50" s="31">
        <v>4</v>
      </c>
      <c r="B50" s="62">
        <v>80</v>
      </c>
      <c r="C50" s="101">
        <f t="shared" ref="C50:C60" si="28">C49+B50</f>
        <v>360</v>
      </c>
      <c r="D50" s="61">
        <v>6</v>
      </c>
      <c r="E50" s="96"/>
      <c r="F50" s="96"/>
      <c r="G50" s="102"/>
      <c r="H50" s="111">
        <f t="shared" si="21"/>
        <v>8.3333333333333925E-2</v>
      </c>
      <c r="I50" s="111">
        <f t="shared" si="22"/>
        <v>8.3333333333333925E-2</v>
      </c>
      <c r="J50" s="111">
        <f t="shared" si="23"/>
        <v>8.3333333333333925E-2</v>
      </c>
      <c r="K50" s="102">
        <f>((H50-'[2]CalibrationB. hydrogenotropBAD'!$D$45)/('[2]CalibrationB. hydrogenotropBAD'!$D$44))+$B$65</f>
        <v>12.826430432365118</v>
      </c>
      <c r="L50" s="102">
        <f>((I50-'[2]CalibrationB. hydrogenotropBAD'!$D$45)/('[2]CalibrationB. hydrogenotropBAD'!$D$44))+$B$65</f>
        <v>12.826430432365118</v>
      </c>
      <c r="M50" s="102">
        <f>((J50-'[2]CalibrationB. hydrogenotropBAD'!$D$45)/('[2]CalibrationB. hydrogenotropBAD'!$D$44))+$B$65</f>
        <v>12.826430432365118</v>
      </c>
      <c r="N50" s="103">
        <f t="shared" si="24"/>
        <v>12.82643043236512</v>
      </c>
      <c r="O50" s="103">
        <f t="shared" si="25"/>
        <v>2.1755839288168292E-15</v>
      </c>
      <c r="P50" s="104">
        <f>(AVERAGE(POWER(10,K50),POWER(10,L50),POWER(10,M50)))*[2]Calculation!$I8/[2]Calculation!$K7</f>
        <v>6705488659612.2656</v>
      </c>
      <c r="Q50" s="104">
        <f>(STDEV(POWER(10,K50),POWER(10,L50),POWER(10,M50)))*[2]Calculation!$I8/[2]Calculation!$K7</f>
        <v>0</v>
      </c>
      <c r="R50" s="103">
        <f t="shared" si="26"/>
        <v>12.82643043236512</v>
      </c>
      <c r="S50" s="103">
        <f>O50*[2]Calculation!$I8/[2]Calculation!$K7</f>
        <v>2.1755839288168292E-15</v>
      </c>
    </row>
    <row r="51" spans="1:19">
      <c r="A51" s="31">
        <v>5</v>
      </c>
      <c r="B51" s="62">
        <v>80</v>
      </c>
      <c r="C51" s="101">
        <f t="shared" si="28"/>
        <v>440</v>
      </c>
      <c r="D51" s="61">
        <v>7.333333333333333</v>
      </c>
      <c r="E51" s="96"/>
      <c r="F51" s="96"/>
      <c r="G51" s="102"/>
      <c r="H51" s="111">
        <f t="shared" si="21"/>
        <v>8.3333333333333925E-2</v>
      </c>
      <c r="I51" s="111">
        <f t="shared" si="22"/>
        <v>8.3333333333333925E-2</v>
      </c>
      <c r="J51" s="111">
        <f t="shared" si="23"/>
        <v>8.3333333333333925E-2</v>
      </c>
      <c r="K51" s="102">
        <f>((H51-'[2]CalibrationB. hydrogenotropBAD'!$D$45)/('[2]CalibrationB. hydrogenotropBAD'!$D$44))+$B$65</f>
        <v>12.826430432365118</v>
      </c>
      <c r="L51" s="102">
        <f>((I51-'[2]CalibrationB. hydrogenotropBAD'!$D$45)/('[2]CalibrationB. hydrogenotropBAD'!$D$44))+$B$65</f>
        <v>12.826430432365118</v>
      </c>
      <c r="M51" s="102">
        <f>((J51-'[2]CalibrationB. hydrogenotropBAD'!$D$45)/('[2]CalibrationB. hydrogenotropBAD'!$D$44))+$B$65</f>
        <v>12.826430432365118</v>
      </c>
      <c r="N51" s="103">
        <f t="shared" si="24"/>
        <v>12.82643043236512</v>
      </c>
      <c r="O51" s="103">
        <f t="shared" si="25"/>
        <v>2.1755839288168292E-15</v>
      </c>
      <c r="P51" s="104">
        <f>(AVERAGE(POWER(10,K51),POWER(10,L51),POWER(10,M51)))*[2]Calculation!$I9/[2]Calculation!$K8</f>
        <v>6705488659612.2656</v>
      </c>
      <c r="Q51" s="104">
        <f>(STDEV(POWER(10,K51),POWER(10,L51),POWER(10,M51)))*[2]Calculation!$I9/[2]Calculation!$K8</f>
        <v>0</v>
      </c>
      <c r="R51" s="103">
        <f t="shared" si="26"/>
        <v>12.82643043236512</v>
      </c>
      <c r="S51" s="103">
        <f>O51*[2]Calculation!$I9/[2]Calculation!$K8</f>
        <v>2.1755839288168292E-15</v>
      </c>
    </row>
    <row r="52" spans="1:19">
      <c r="A52" s="31">
        <v>6</v>
      </c>
      <c r="B52" s="62">
        <v>80</v>
      </c>
      <c r="C52" s="101">
        <f t="shared" si="28"/>
        <v>520</v>
      </c>
      <c r="D52" s="61">
        <v>8.6666666666666661</v>
      </c>
      <c r="E52" s="96"/>
      <c r="F52" s="96"/>
      <c r="G52" s="102"/>
      <c r="H52" s="111">
        <f t="shared" si="21"/>
        <v>8.3333333333333925E-2</v>
      </c>
      <c r="I52" s="111">
        <f t="shared" si="22"/>
        <v>8.3333333333333925E-2</v>
      </c>
      <c r="J52" s="111">
        <f t="shared" si="23"/>
        <v>8.3333333333333925E-2</v>
      </c>
      <c r="K52" s="102">
        <f>((H52-'[2]CalibrationB. hydrogenotropBAD'!$D$45)/('[2]CalibrationB. hydrogenotropBAD'!$D$44))+$B$65</f>
        <v>12.826430432365118</v>
      </c>
      <c r="L52" s="102">
        <f>((I52-'[2]CalibrationB. hydrogenotropBAD'!$D$45)/('[2]CalibrationB. hydrogenotropBAD'!$D$44))+$B$65</f>
        <v>12.826430432365118</v>
      </c>
      <c r="M52" s="102">
        <f>((J52-'[2]CalibrationB. hydrogenotropBAD'!$D$45)/('[2]CalibrationB. hydrogenotropBAD'!$D$44))+$B$65</f>
        <v>12.826430432365118</v>
      </c>
      <c r="N52" s="103">
        <f t="shared" si="24"/>
        <v>12.82643043236512</v>
      </c>
      <c r="O52" s="103">
        <f t="shared" si="25"/>
        <v>2.1755839288168292E-15</v>
      </c>
      <c r="P52" s="104">
        <f>(AVERAGE(POWER(10,K52),POWER(10,L52),POWER(10,M52)))*[2]Calculation!$I10/[2]Calculation!$K9</f>
        <v>6705488659612.2656</v>
      </c>
      <c r="Q52" s="104">
        <f>(STDEV(POWER(10,K52),POWER(10,L52),POWER(10,M52)))*[2]Calculation!$I10/[2]Calculation!$K9</f>
        <v>0</v>
      </c>
      <c r="R52" s="103">
        <f t="shared" si="26"/>
        <v>12.82643043236512</v>
      </c>
      <c r="S52" s="103">
        <f>O52*[2]Calculation!$I10/[2]Calculation!$K9</f>
        <v>2.1755839288168292E-15</v>
      </c>
    </row>
    <row r="53" spans="1:19">
      <c r="A53" s="31">
        <v>7</v>
      </c>
      <c r="B53" s="62">
        <v>80</v>
      </c>
      <c r="C53" s="101">
        <f t="shared" si="28"/>
        <v>600</v>
      </c>
      <c r="D53" s="61">
        <v>10</v>
      </c>
      <c r="E53" s="96"/>
      <c r="F53" s="96"/>
      <c r="G53" s="102"/>
      <c r="H53" s="111">
        <f t="shared" si="21"/>
        <v>8.3333333333333925E-2</v>
      </c>
      <c r="I53" s="111">
        <f t="shared" si="22"/>
        <v>8.3333333333333925E-2</v>
      </c>
      <c r="J53" s="111">
        <f t="shared" si="23"/>
        <v>8.3333333333333925E-2</v>
      </c>
      <c r="K53" s="102">
        <f>((H53-'[2]CalibrationB. hydrogenotropBAD'!$D$45)/('[2]CalibrationB. hydrogenotropBAD'!$D$44))+$B$65</f>
        <v>12.826430432365118</v>
      </c>
      <c r="L53" s="102">
        <f>((I53-'[2]CalibrationB. hydrogenotropBAD'!$D$45)/('[2]CalibrationB. hydrogenotropBAD'!$D$44))+$B$65</f>
        <v>12.826430432365118</v>
      </c>
      <c r="M53" s="102">
        <f>((J53-'[2]CalibrationB. hydrogenotropBAD'!$D$45)/('[2]CalibrationB. hydrogenotropBAD'!$D$44))+$B$65</f>
        <v>12.826430432365118</v>
      </c>
      <c r="N53" s="103">
        <f t="shared" si="24"/>
        <v>12.82643043236512</v>
      </c>
      <c r="O53" s="103">
        <f t="shared" si="25"/>
        <v>2.1755839288168292E-15</v>
      </c>
      <c r="P53" s="104">
        <f>(AVERAGE(POWER(10,K53),POWER(10,L53),POWER(10,M53)))*[2]Calculation!$I11/[2]Calculation!$K10</f>
        <v>6705488659612.2656</v>
      </c>
      <c r="Q53" s="104">
        <f>(STDEV(POWER(10,K53),POWER(10,L53),POWER(10,M53)))*[2]Calculation!$I11/[2]Calculation!$K10</f>
        <v>0</v>
      </c>
      <c r="R53" s="103">
        <f t="shared" si="26"/>
        <v>12.82643043236512</v>
      </c>
      <c r="S53" s="103">
        <f>O53*[2]Calculation!$I11/[2]Calculation!$K10</f>
        <v>2.1755839288168292E-15</v>
      </c>
    </row>
    <row r="54" spans="1:19">
      <c r="A54" s="31">
        <v>8</v>
      </c>
      <c r="B54" s="62">
        <v>80</v>
      </c>
      <c r="C54" s="101">
        <f t="shared" si="28"/>
        <v>680</v>
      </c>
      <c r="D54" s="61">
        <v>11.333333333333334</v>
      </c>
      <c r="E54" s="96"/>
      <c r="F54" s="96"/>
      <c r="G54" s="102"/>
      <c r="H54" s="111">
        <f t="shared" si="21"/>
        <v>8.3333333333333925E-2</v>
      </c>
      <c r="I54" s="111">
        <f t="shared" si="22"/>
        <v>8.3333333333333925E-2</v>
      </c>
      <c r="J54" s="111">
        <f t="shared" si="23"/>
        <v>8.3333333333333925E-2</v>
      </c>
      <c r="K54" s="102">
        <f>((H54-'[2]CalibrationB. hydrogenotropBAD'!$D$45)/('[2]CalibrationB. hydrogenotropBAD'!$D$44))+$B$65</f>
        <v>12.826430432365118</v>
      </c>
      <c r="L54" s="102">
        <f>((I54-'[2]CalibrationB. hydrogenotropBAD'!$D$45)/('[2]CalibrationB. hydrogenotropBAD'!$D$44))+$B$65</f>
        <v>12.826430432365118</v>
      </c>
      <c r="M54" s="102">
        <f>((J54-'[2]CalibrationB. hydrogenotropBAD'!$D$45)/('[2]CalibrationB. hydrogenotropBAD'!$D$44))+$B$65</f>
        <v>12.826430432365118</v>
      </c>
      <c r="N54" s="103">
        <f>AVERAGE(K54:M54)</f>
        <v>12.82643043236512</v>
      </c>
      <c r="O54" s="103">
        <f>STDEV(K54:M54)</f>
        <v>2.1755839288168292E-15</v>
      </c>
      <c r="P54" s="104">
        <f>(AVERAGE(POWER(10,K54),POWER(10,L54),POWER(10,M54)))*[2]Calculation!$I12/[2]Calculation!$K11</f>
        <v>6711443800517.7822</v>
      </c>
      <c r="Q54" s="104">
        <f>(STDEV(POWER(10,K54),POWER(10,L54),POWER(10,M54)))*[2]Calculation!$I12/[2]Calculation!$K11</f>
        <v>0</v>
      </c>
      <c r="R54" s="103">
        <f>LOG(P54)</f>
        <v>12.826815957895898</v>
      </c>
      <c r="S54" s="103">
        <f>O54*[2]Calculation!$I12/[2]Calculation!$K11</f>
        <v>2.1775160637447305E-15</v>
      </c>
    </row>
    <row r="55" spans="1:19">
      <c r="A55" s="31">
        <v>9</v>
      </c>
      <c r="B55" s="62">
        <v>80</v>
      </c>
      <c r="C55" s="101">
        <f t="shared" si="28"/>
        <v>760</v>
      </c>
      <c r="D55" s="61">
        <v>12.666666666666666</v>
      </c>
      <c r="E55" s="96"/>
      <c r="F55" s="96"/>
      <c r="G55" s="102"/>
      <c r="H55" s="111">
        <f t="shared" si="21"/>
        <v>8.3333333333333925E-2</v>
      </c>
      <c r="I55" s="111">
        <f t="shared" si="22"/>
        <v>8.3333333333333925E-2</v>
      </c>
      <c r="J55" s="111">
        <f t="shared" si="23"/>
        <v>8.3333333333333925E-2</v>
      </c>
      <c r="K55" s="102">
        <f>((H55-'[2]CalibrationB. hydrogenotropBAD'!$D$45)/('[2]CalibrationB. hydrogenotropBAD'!$D$44))+$B$65</f>
        <v>12.826430432365118</v>
      </c>
      <c r="L55" s="102">
        <f>((I55-'[2]CalibrationB. hydrogenotropBAD'!$D$45)/('[2]CalibrationB. hydrogenotropBAD'!$D$44))+$B$65</f>
        <v>12.826430432365118</v>
      </c>
      <c r="M55" s="102">
        <f>((J55-'[2]CalibrationB. hydrogenotropBAD'!$D$45)/('[2]CalibrationB. hydrogenotropBAD'!$D$44))+$B$65</f>
        <v>12.826430432365118</v>
      </c>
      <c r="N55" s="103">
        <f t="shared" ref="N55:N62" si="29">AVERAGE(K55:M55)</f>
        <v>12.82643043236512</v>
      </c>
      <c r="O55" s="103">
        <f t="shared" ref="O55:O62" si="30">STDEV(K55:M55)</f>
        <v>2.1755839288168292E-15</v>
      </c>
      <c r="P55" s="104">
        <f>(AVERAGE(POWER(10,K55),POWER(10,L55),POWER(10,M55)))*[2]Calculation!$I13/[2]Calculation!$K12</f>
        <v>6717646613642.1064</v>
      </c>
      <c r="Q55" s="104">
        <f>(STDEV(POWER(10,K55),POWER(10,L55),POWER(10,M55)))*[2]Calculation!$I13/[2]Calculation!$K12</f>
        <v>0</v>
      </c>
      <c r="R55" s="103">
        <f t="shared" ref="R55:R61" si="31">LOG(P55)</f>
        <v>12.827217153750668</v>
      </c>
      <c r="S55" s="103">
        <f>O55*[2]Calculation!$I13/[2]Calculation!$K12</f>
        <v>2.1795285554857143E-15</v>
      </c>
    </row>
    <row r="56" spans="1:19">
      <c r="A56" s="31">
        <v>10</v>
      </c>
      <c r="B56" s="62">
        <v>80</v>
      </c>
      <c r="C56" s="101">
        <f t="shared" si="28"/>
        <v>840</v>
      </c>
      <c r="D56" s="61">
        <v>14</v>
      </c>
      <c r="E56" s="96"/>
      <c r="F56" s="96"/>
      <c r="G56" s="102"/>
      <c r="H56" s="111">
        <f t="shared" si="21"/>
        <v>8.3333333333333925E-2</v>
      </c>
      <c r="I56" s="111">
        <f t="shared" si="22"/>
        <v>8.3333333333333925E-2</v>
      </c>
      <c r="J56" s="111">
        <f t="shared" si="23"/>
        <v>8.3333333333333925E-2</v>
      </c>
      <c r="K56" s="102">
        <f>((H56-'[2]CalibrationB. hydrogenotropBAD'!$D$45)/('[2]CalibrationB. hydrogenotropBAD'!$D$44))+$B$65</f>
        <v>12.826430432365118</v>
      </c>
      <c r="L56" s="102">
        <f>((I56-'[2]CalibrationB. hydrogenotropBAD'!$D$45)/('[2]CalibrationB. hydrogenotropBAD'!$D$44))+$B$65</f>
        <v>12.826430432365118</v>
      </c>
      <c r="M56" s="102">
        <f>((J56-'[2]CalibrationB. hydrogenotropBAD'!$D$45)/('[2]CalibrationB. hydrogenotropBAD'!$D$44))+$B$65</f>
        <v>12.826430432365118</v>
      </c>
      <c r="N56" s="103">
        <f t="shared" si="29"/>
        <v>12.82643043236512</v>
      </c>
      <c r="O56" s="103">
        <f t="shared" si="30"/>
        <v>2.1755839288168292E-15</v>
      </c>
      <c r="P56" s="104">
        <f>(AVERAGE(POWER(10,K56),POWER(10,L56),POWER(10,M56)))*[2]Calculation!$I14/[2]Calculation!$K13</f>
        <v>6724130828520.1396</v>
      </c>
      <c r="Q56" s="104">
        <f>(STDEV(POWER(10,K56),POWER(10,L56),POWER(10,M56)))*[2]Calculation!$I14/[2]Calculation!$K13</f>
        <v>0</v>
      </c>
      <c r="R56" s="103">
        <f t="shared" si="31"/>
        <v>12.827636154730495</v>
      </c>
      <c r="S56" s="103">
        <f>O56*[2]Calculation!$I14/[2]Calculation!$K13</f>
        <v>2.1816323475276893E-15</v>
      </c>
    </row>
    <row r="57" spans="1:19">
      <c r="A57" s="31">
        <v>11</v>
      </c>
      <c r="B57" s="62">
        <v>80</v>
      </c>
      <c r="C57" s="101">
        <f t="shared" si="28"/>
        <v>920</v>
      </c>
      <c r="D57" s="61">
        <v>15.333333333333334</v>
      </c>
      <c r="E57" s="96"/>
      <c r="F57" s="96"/>
      <c r="G57" s="102"/>
      <c r="H57" s="111">
        <f t="shared" si="21"/>
        <v>8.3333333333333925E-2</v>
      </c>
      <c r="I57" s="111">
        <f t="shared" si="22"/>
        <v>8.3333333333333925E-2</v>
      </c>
      <c r="J57" s="111">
        <f t="shared" si="23"/>
        <v>8.3333333333333925E-2</v>
      </c>
      <c r="K57" s="102">
        <f>((H57-'[2]CalibrationB. hydrogenotropBAD'!$D$45)/('[2]CalibrationB. hydrogenotropBAD'!$D$44))+$B$65</f>
        <v>12.826430432365118</v>
      </c>
      <c r="L57" s="102">
        <f>((I57-'[2]CalibrationB. hydrogenotropBAD'!$D$45)/('[2]CalibrationB. hydrogenotropBAD'!$D$44))+$B$65</f>
        <v>12.826430432365118</v>
      </c>
      <c r="M57" s="102">
        <f>((J57-'[2]CalibrationB. hydrogenotropBAD'!$D$45)/('[2]CalibrationB. hydrogenotropBAD'!$D$44))+$B$65</f>
        <v>12.826430432365118</v>
      </c>
      <c r="N57" s="103">
        <f t="shared" si="29"/>
        <v>12.82643043236512</v>
      </c>
      <c r="O57" s="103">
        <f t="shared" si="30"/>
        <v>2.1755839288168292E-15</v>
      </c>
      <c r="P57" s="104">
        <f>(AVERAGE(POWER(10,K57),POWER(10,L57),POWER(10,M57)))*[2]Calculation!$I15/[2]Calculation!$K14</f>
        <v>6730916026127.123</v>
      </c>
      <c r="Q57" s="104">
        <f>(STDEV(POWER(10,K57),POWER(10,L57),POWER(10,M57)))*[2]Calculation!$I15/[2]Calculation!$K14</f>
        <v>0</v>
      </c>
      <c r="R57" s="103">
        <f t="shared" si="31"/>
        <v>12.828074172399399</v>
      </c>
      <c r="S57" s="103">
        <f>O57*[2]Calculation!$I15/[2]Calculation!$K14</f>
        <v>2.1838337928834187E-15</v>
      </c>
    </row>
    <row r="58" spans="1:19">
      <c r="A58" s="31">
        <v>12</v>
      </c>
      <c r="B58" s="62">
        <v>80</v>
      </c>
      <c r="C58" s="101">
        <f t="shared" si="28"/>
        <v>1000</v>
      </c>
      <c r="D58" s="61">
        <v>16.666666666666668</v>
      </c>
      <c r="E58" s="96"/>
      <c r="F58" s="96"/>
      <c r="G58" s="102"/>
      <c r="H58" s="111">
        <f t="shared" si="21"/>
        <v>8.3333333333333925E-2</v>
      </c>
      <c r="I58" s="111">
        <f t="shared" si="22"/>
        <v>8.3333333333333925E-2</v>
      </c>
      <c r="J58" s="111">
        <f t="shared" si="23"/>
        <v>8.3333333333333925E-2</v>
      </c>
      <c r="K58" s="102">
        <f>((H58-'[2]CalibrationB. hydrogenotropBAD'!$D$45)/('[2]CalibrationB. hydrogenotropBAD'!$D$44))+$B$65</f>
        <v>12.826430432365118</v>
      </c>
      <c r="L58" s="102">
        <f>((I58-'[2]CalibrationB. hydrogenotropBAD'!$D$45)/('[2]CalibrationB. hydrogenotropBAD'!$D$44))+$B$65</f>
        <v>12.826430432365118</v>
      </c>
      <c r="M58" s="102">
        <f>((J58-'[2]CalibrationB. hydrogenotropBAD'!$D$45)/('[2]CalibrationB. hydrogenotropBAD'!$D$44))+$B$65</f>
        <v>12.826430432365118</v>
      </c>
      <c r="N58" s="103">
        <f t="shared" si="29"/>
        <v>12.82643043236512</v>
      </c>
      <c r="O58" s="103">
        <f t="shared" si="30"/>
        <v>2.1755839288168292E-15</v>
      </c>
      <c r="P58" s="104">
        <f>(AVERAGE(POWER(10,K58),POWER(10,L58),POWER(10,M58)))*[2]Calculation!$I16/[2]Calculation!$K15</f>
        <v>6738053794977.7354</v>
      </c>
      <c r="Q58" s="104">
        <f>(STDEV(POWER(10,K58),POWER(10,L58),POWER(10,M58)))*[2]Calculation!$I16/[2]Calculation!$K15</f>
        <v>0</v>
      </c>
      <c r="R58" s="103">
        <f t="shared" si="31"/>
        <v>12.828534473960138</v>
      </c>
      <c r="S58" s="103">
        <f>O58*[2]Calculation!$I16/[2]Calculation!$K15</f>
        <v>2.1861496293551929E-15</v>
      </c>
    </row>
    <row r="59" spans="1:19">
      <c r="A59" s="31">
        <v>13</v>
      </c>
      <c r="B59" s="62">
        <v>80</v>
      </c>
      <c r="C59" s="101">
        <f t="shared" si="28"/>
        <v>1080</v>
      </c>
      <c r="D59" s="61">
        <v>18</v>
      </c>
      <c r="E59" s="96"/>
      <c r="F59" s="96"/>
      <c r="G59" s="102"/>
      <c r="H59" s="111">
        <f t="shared" si="21"/>
        <v>8.3333333333333925E-2</v>
      </c>
      <c r="I59" s="111">
        <f t="shared" si="22"/>
        <v>8.3333333333333925E-2</v>
      </c>
      <c r="J59" s="111">
        <f t="shared" si="23"/>
        <v>8.3333333333333925E-2</v>
      </c>
      <c r="K59" s="102">
        <f>((H59-'[2]CalibrationB. hydrogenotropBAD'!$D$45)/('[2]CalibrationB. hydrogenotropBAD'!$D$44))+$B$65</f>
        <v>12.826430432365118</v>
      </c>
      <c r="L59" s="102">
        <f>((I59-'[2]CalibrationB. hydrogenotropBAD'!$D$45)/('[2]CalibrationB. hydrogenotropBAD'!$D$44))+$B$65</f>
        <v>12.826430432365118</v>
      </c>
      <c r="M59" s="102">
        <f>((J59-'[2]CalibrationB. hydrogenotropBAD'!$D$45)/('[2]CalibrationB. hydrogenotropBAD'!$D$44))+$B$65</f>
        <v>12.826430432365118</v>
      </c>
      <c r="N59" s="103">
        <f t="shared" si="29"/>
        <v>12.82643043236512</v>
      </c>
      <c r="O59" s="103">
        <f t="shared" si="30"/>
        <v>2.1755839288168292E-15</v>
      </c>
      <c r="P59" s="104">
        <f>(AVERAGE(POWER(10,K59),POWER(10,L59),POWER(10,M59)))*[2]Calculation!$I17/[2]Calculation!$K16</f>
        <v>6738053794977.7344</v>
      </c>
      <c r="Q59" s="104">
        <f>(STDEV(POWER(10,K59),POWER(10,L59),POWER(10,M59)))*[2]Calculation!$I17/[2]Calculation!$K16</f>
        <v>0</v>
      </c>
      <c r="R59" s="103">
        <f t="shared" si="31"/>
        <v>12.828534473960138</v>
      </c>
      <c r="S59" s="103">
        <f>O59*[2]Calculation!$I17/[2]Calculation!$K16</f>
        <v>2.1861496293551933E-15</v>
      </c>
    </row>
    <row r="60" spans="1:19">
      <c r="A60" s="31">
        <v>14</v>
      </c>
      <c r="B60" s="62">
        <v>360</v>
      </c>
      <c r="C60" s="101">
        <f t="shared" si="28"/>
        <v>1440</v>
      </c>
      <c r="D60" s="61">
        <v>24</v>
      </c>
      <c r="E60" s="96"/>
      <c r="F60" s="96"/>
      <c r="G60" s="102"/>
      <c r="H60" s="111">
        <f>(E60-'[2]CalibrationB. hydrogenotrophBAD'!$F$40)+$H$86</f>
        <v>-2.4376077651977539</v>
      </c>
      <c r="I60" s="111">
        <f>(F60-'[2]CalibrationB. hydrogenotrophBAD'!$F$40)+$H$86</f>
        <v>-2.4376077651977539</v>
      </c>
      <c r="J60" s="111">
        <f>(G60-'[2]CalibrationB. hydrogenotrophBAD'!$F$40)+$H$86</f>
        <v>-2.4376077651977539</v>
      </c>
      <c r="K60" s="102">
        <f>((H60-'[2]CalibrationB. hydrogenotropBAD'!$D$45)/('[2]CalibrationB. hydrogenotropBAD'!$D$44))+$B$65</f>
        <v>13.252632244488924</v>
      </c>
      <c r="L60" s="102">
        <f>((I60-'[2]CalibrationB. hydrogenotropBAD'!$D$45)/('[2]CalibrationB. hydrogenotropBAD'!$D$44))+$B$65</f>
        <v>13.252632244488924</v>
      </c>
      <c r="M60" s="102">
        <f>((J60-'[2]CalibrationB. hydrogenotropBAD'!$D$45)/('[2]CalibrationB. hydrogenotropBAD'!$D$44))+$B$65</f>
        <v>13.252632244488924</v>
      </c>
      <c r="N60" s="103">
        <f t="shared" si="29"/>
        <v>13.252632244488924</v>
      </c>
      <c r="O60" s="103">
        <f t="shared" si="30"/>
        <v>0</v>
      </c>
      <c r="P60" s="104">
        <f>(AVERAGE(POWER(10,K60),POWER(10,L60),POWER(10,M60)))*[2]Calculation!$I18/[2]Calculation!$K17</f>
        <v>17977789295917.75</v>
      </c>
      <c r="Q60" s="104">
        <f>(STDEV(POWER(10,K60),POWER(10,L60),POWER(10,M60)))*[2]Calculation!$I18/[2]Calculation!$K17</f>
        <v>0</v>
      </c>
      <c r="R60" s="103">
        <f t="shared" si="31"/>
        <v>13.254736286083945</v>
      </c>
      <c r="S60" s="103">
        <f>O60*[2]Calculation!$I18/[2]Calculation!$K17</f>
        <v>0</v>
      </c>
    </row>
    <row r="61" spans="1:19">
      <c r="A61" s="31">
        <v>15</v>
      </c>
      <c r="B61" s="62">
        <v>360</v>
      </c>
      <c r="C61" s="101">
        <f>C60+B61</f>
        <v>1800</v>
      </c>
      <c r="D61" s="61">
        <v>30</v>
      </c>
      <c r="E61" s="96"/>
      <c r="F61" s="96"/>
      <c r="G61" s="102"/>
      <c r="H61" s="111" t="e">
        <f>(E61-#REF!)+$H$86</f>
        <v>#REF!</v>
      </c>
      <c r="I61" s="111" t="e">
        <f>(F61-#REF!)+$H$86</f>
        <v>#REF!</v>
      </c>
      <c r="J61" s="111" t="e">
        <f>(G61-#REF!)+$H$86</f>
        <v>#REF!</v>
      </c>
      <c r="K61" s="102" t="e">
        <f>((H61-'[2]CalibrationB. hydrogenotropBAD'!$D$45)/('[2]CalibrationB. hydrogenotropBAD'!$D$44))+$B$65</f>
        <v>#REF!</v>
      </c>
      <c r="L61" s="102" t="e">
        <f>((I61-'[2]CalibrationB. hydrogenotropBAD'!$D$45)/('[2]CalibrationB. hydrogenotropBAD'!$D$44))+$B$65</f>
        <v>#REF!</v>
      </c>
      <c r="M61" s="102" t="e">
        <f>((J61-'[2]CalibrationB. hydrogenotropBAD'!$D$45)/('[2]CalibrationB. hydrogenotropBAD'!$D$44))+$B$65</f>
        <v>#REF!</v>
      </c>
      <c r="N61" s="103" t="e">
        <f t="shared" si="29"/>
        <v>#REF!</v>
      </c>
      <c r="O61" s="103" t="e">
        <f t="shared" si="30"/>
        <v>#REF!</v>
      </c>
      <c r="P61" s="104" t="e">
        <f>(AVERAGE(POWER(10,K61),POWER(10,L61),POWER(10,M61)))*[2]Calculation!$I19/[2]Calculation!$K18</f>
        <v>#REF!</v>
      </c>
      <c r="Q61" s="104" t="e">
        <f>(STDEV(POWER(10,K61),POWER(10,L61),POWER(10,M61)))*[2]Calculation!$I19/[2]Calculation!$K18</f>
        <v>#REF!</v>
      </c>
      <c r="R61" s="103" t="e">
        <f t="shared" si="31"/>
        <v>#REF!</v>
      </c>
      <c r="S61" s="103" t="e">
        <f>O61*[2]Calculation!$I19/[2]Calculation!$K18</f>
        <v>#REF!</v>
      </c>
    </row>
    <row r="62" spans="1:19">
      <c r="A62" s="31">
        <v>16</v>
      </c>
      <c r="B62" s="62">
        <v>1080</v>
      </c>
      <c r="C62" s="101">
        <f>C61+B62</f>
        <v>2880</v>
      </c>
      <c r="D62" s="61">
        <v>48</v>
      </c>
      <c r="E62" s="96"/>
      <c r="F62" s="96"/>
      <c r="G62" s="102"/>
      <c r="H62" s="111" t="e">
        <f>(E62-#REF!)+$H$86</f>
        <v>#REF!</v>
      </c>
      <c r="I62" s="111" t="e">
        <f>(F62-#REF!)+$H$86</f>
        <v>#REF!</v>
      </c>
      <c r="J62" s="111" t="e">
        <f>(G62-#REF!)+$H$86</f>
        <v>#REF!</v>
      </c>
      <c r="K62" s="102" t="e">
        <f>((H62-'[2]CalibrationB. hydrogenotropBAD'!$D$45)/('[2]CalibrationB. hydrogenotropBAD'!$D$44))+$B$65</f>
        <v>#REF!</v>
      </c>
      <c r="L62" s="102" t="e">
        <f>((I62-'[2]CalibrationB. hydrogenotropBAD'!$D$45)/('[2]CalibrationB. hydrogenotropBAD'!$D$44))+$B$65</f>
        <v>#REF!</v>
      </c>
      <c r="M62" s="102" t="e">
        <f>((J62-'[2]CalibrationB. hydrogenotropBAD'!$D$45)/('[2]CalibrationB. hydrogenotropBAD'!$D$44))+$B$65</f>
        <v>#REF!</v>
      </c>
      <c r="N62" s="103" t="e">
        <f t="shared" si="29"/>
        <v>#REF!</v>
      </c>
      <c r="O62" s="103" t="e">
        <f t="shared" si="30"/>
        <v>#REF!</v>
      </c>
      <c r="P62" s="104" t="e">
        <f>(AVERAGE(POWER(10,K62),POWER(10,L62),POWER(10,M62)))*[2]Calculation!$I20/[2]Calculation!$K19</f>
        <v>#REF!</v>
      </c>
      <c r="Q62" s="104" t="e">
        <f>(STDEV(POWER(10,K62),POWER(10,L62),POWER(10,M62)))*[2]Calculation!$I20/[2]Calculation!$K19</f>
        <v>#REF!</v>
      </c>
      <c r="R62" s="103" t="e">
        <f>LOG(P62)</f>
        <v>#REF!</v>
      </c>
      <c r="S62" s="103" t="e">
        <f>O62*[2]Calculation!$I20/[2]Calculation!$K19</f>
        <v>#REF!</v>
      </c>
    </row>
    <row r="63" spans="1:19">
      <c r="A63" s="31"/>
      <c r="B63" s="62"/>
      <c r="C63" s="117"/>
      <c r="D63" s="118"/>
      <c r="E63" s="119"/>
      <c r="F63" s="119"/>
      <c r="G63" s="120"/>
      <c r="H63" s="113"/>
      <c r="I63" s="113"/>
      <c r="J63" s="113"/>
      <c r="K63" s="120"/>
      <c r="L63" s="120"/>
      <c r="M63" s="120"/>
      <c r="N63" s="121"/>
      <c r="O63" s="121"/>
      <c r="P63" s="122"/>
      <c r="Q63" s="122"/>
      <c r="R63" s="121"/>
      <c r="S63" s="121"/>
    </row>
    <row r="64" spans="1:19">
      <c r="A64" s="31"/>
      <c r="B64" s="62"/>
      <c r="C64" s="117"/>
      <c r="D64" s="118"/>
      <c r="E64" s="119"/>
      <c r="F64" s="119"/>
      <c r="G64" s="120"/>
      <c r="H64" s="113"/>
      <c r="I64" s="113"/>
      <c r="J64" s="113"/>
      <c r="K64" s="120"/>
      <c r="L64" s="120"/>
      <c r="M64" s="120"/>
      <c r="N64" s="121"/>
      <c r="O64" s="121"/>
      <c r="P64" s="122"/>
      <c r="Q64" s="122"/>
      <c r="R64" s="121"/>
      <c r="S64" s="121"/>
    </row>
    <row r="65" spans="1:19">
      <c r="A65" s="99" t="s">
        <v>237</v>
      </c>
      <c r="B65" s="110">
        <f>LOG(B66)</f>
        <v>3.6532125137753435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1:19">
      <c r="A66" s="95" t="s">
        <v>264</v>
      </c>
      <c r="B66" s="82">
        <f>20*1800/4/2</f>
        <v>4500</v>
      </c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1:19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1:19">
      <c r="A68" s="59" t="s">
        <v>265</v>
      </c>
      <c r="B68" s="59"/>
      <c r="C68" s="59"/>
      <c r="D68" s="59"/>
      <c r="E68" s="112">
        <v>11.1</v>
      </c>
      <c r="F68" s="111">
        <v>11.4</v>
      </c>
      <c r="G68" s="111"/>
      <c r="H68" s="111">
        <f>AVERAGE(E68:G68)</f>
        <v>11.25</v>
      </c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1:19">
      <c r="A69" s="59" t="s">
        <v>266</v>
      </c>
      <c r="B69" s="59"/>
      <c r="C69" s="59"/>
      <c r="D69" s="59"/>
      <c r="E69" s="126">
        <v>10.7</v>
      </c>
      <c r="F69" s="127">
        <v>10.8</v>
      </c>
      <c r="G69" s="127">
        <v>10.7</v>
      </c>
      <c r="H69" s="111">
        <f t="shared" ref="H69:H100" si="32">AVERAGE(E69:G69)</f>
        <v>10.733333333333334</v>
      </c>
    </row>
    <row r="70" spans="1:19">
      <c r="A70" s="59" t="s">
        <v>268</v>
      </c>
      <c r="B70" s="59"/>
      <c r="C70" s="59"/>
      <c r="D70" s="59"/>
      <c r="E70" s="126">
        <v>11.5</v>
      </c>
      <c r="F70" s="127">
        <v>11.5</v>
      </c>
      <c r="G70" s="127">
        <v>11.5</v>
      </c>
      <c r="H70" s="111">
        <f t="shared" si="32"/>
        <v>11.5</v>
      </c>
    </row>
    <row r="71" spans="1:19">
      <c r="A71" s="59" t="s">
        <v>275</v>
      </c>
      <c r="B71" s="59"/>
      <c r="C71" s="59"/>
      <c r="D71" s="59"/>
      <c r="E71" s="126">
        <v>11.3</v>
      </c>
      <c r="F71" s="127">
        <v>11.6</v>
      </c>
      <c r="G71" s="127">
        <v>11.7</v>
      </c>
      <c r="H71" s="111">
        <f t="shared" si="32"/>
        <v>11.533333333333331</v>
      </c>
    </row>
    <row r="72" spans="1:19">
      <c r="A72" s="59" t="s">
        <v>276</v>
      </c>
      <c r="B72" s="59"/>
      <c r="C72" s="59"/>
      <c r="D72" s="59"/>
      <c r="E72" s="126">
        <v>11.5</v>
      </c>
      <c r="F72" s="127">
        <v>11.5</v>
      </c>
      <c r="G72" s="127">
        <v>11.5</v>
      </c>
      <c r="H72" s="111">
        <f t="shared" si="32"/>
        <v>11.5</v>
      </c>
    </row>
    <row r="73" spans="1:19">
      <c r="A73" s="59" t="s">
        <v>277</v>
      </c>
      <c r="B73" s="59"/>
      <c r="C73" s="59"/>
      <c r="D73" s="59"/>
      <c r="E73" s="126">
        <v>11.5</v>
      </c>
      <c r="F73" s="127">
        <v>11.5</v>
      </c>
      <c r="G73" s="127">
        <v>11.5</v>
      </c>
      <c r="H73" s="111">
        <f t="shared" si="32"/>
        <v>11.5</v>
      </c>
    </row>
    <row r="74" spans="1:19">
      <c r="A74" s="59" t="s">
        <v>278</v>
      </c>
      <c r="B74" s="59"/>
      <c r="C74" s="59"/>
      <c r="D74" s="59"/>
      <c r="E74" s="126">
        <v>11.6</v>
      </c>
      <c r="F74" s="127">
        <v>11.6</v>
      </c>
      <c r="G74" s="127">
        <v>11.6</v>
      </c>
      <c r="H74" s="111">
        <f t="shared" si="32"/>
        <v>11.6</v>
      </c>
    </row>
    <row r="75" spans="1:19">
      <c r="A75" s="59" t="s">
        <v>279</v>
      </c>
      <c r="B75" s="59"/>
      <c r="C75" s="59"/>
      <c r="D75" s="59"/>
      <c r="E75" s="126">
        <v>11.2</v>
      </c>
      <c r="F75" s="127">
        <v>11.2</v>
      </c>
      <c r="G75" s="127">
        <v>11.2</v>
      </c>
      <c r="H75" s="111">
        <f t="shared" si="32"/>
        <v>11.199999999999998</v>
      </c>
    </row>
    <row r="76" spans="1:19">
      <c r="A76" s="59" t="s">
        <v>280</v>
      </c>
      <c r="B76" s="59"/>
      <c r="C76" s="59"/>
      <c r="D76" s="59"/>
      <c r="E76" s="126">
        <v>10.4</v>
      </c>
      <c r="F76" s="127">
        <v>11.2</v>
      </c>
      <c r="G76" s="127">
        <v>11.4</v>
      </c>
      <c r="H76" s="111">
        <f t="shared" si="32"/>
        <v>11</v>
      </c>
    </row>
    <row r="77" spans="1:19">
      <c r="A77" s="59" t="s">
        <v>280</v>
      </c>
      <c r="B77" s="59"/>
      <c r="C77" s="59"/>
      <c r="D77" s="59"/>
      <c r="E77" s="126">
        <v>11.3</v>
      </c>
      <c r="F77" s="127">
        <v>11.5</v>
      </c>
      <c r="G77" s="127">
        <v>11.6</v>
      </c>
      <c r="H77" s="111">
        <f t="shared" si="32"/>
        <v>11.466666666666667</v>
      </c>
    </row>
    <row r="78" spans="1:19">
      <c r="A78" s="59" t="s">
        <v>281</v>
      </c>
      <c r="B78" s="59"/>
      <c r="C78" s="59"/>
      <c r="D78" s="59"/>
      <c r="E78" s="126">
        <v>11.7</v>
      </c>
      <c r="F78" s="127">
        <v>11.7</v>
      </c>
      <c r="G78" s="127">
        <v>11.7</v>
      </c>
      <c r="H78" s="111">
        <f t="shared" si="32"/>
        <v>11.699999999999998</v>
      </c>
    </row>
    <row r="79" spans="1:19">
      <c r="A79" s="59" t="s">
        <v>281</v>
      </c>
      <c r="B79" s="59"/>
      <c r="C79" s="59"/>
      <c r="D79" s="59"/>
      <c r="E79" s="126">
        <v>11.3</v>
      </c>
      <c r="F79" s="127">
        <v>11.5</v>
      </c>
      <c r="G79" s="127">
        <v>11</v>
      </c>
      <c r="H79" s="111">
        <f t="shared" si="32"/>
        <v>11.266666666666666</v>
      </c>
    </row>
    <row r="80" spans="1:19">
      <c r="A80" s="59" t="s">
        <v>297</v>
      </c>
      <c r="B80" s="59"/>
      <c r="C80" s="59"/>
      <c r="D80" s="59"/>
      <c r="E80" s="126">
        <v>11.2</v>
      </c>
      <c r="F80" s="127">
        <v>11.3</v>
      </c>
      <c r="G80" s="127">
        <v>11.4</v>
      </c>
      <c r="H80" s="111">
        <f t="shared" si="32"/>
        <v>11.299999999999999</v>
      </c>
    </row>
    <row r="81" spans="1:8">
      <c r="A81" s="59" t="s">
        <v>298</v>
      </c>
      <c r="B81" s="59"/>
      <c r="C81" s="59"/>
      <c r="D81" s="59"/>
      <c r="E81" s="126">
        <v>11.5</v>
      </c>
      <c r="F81" s="127">
        <v>11.5</v>
      </c>
      <c r="G81" s="127">
        <v>11.5</v>
      </c>
      <c r="H81" s="111">
        <f t="shared" si="32"/>
        <v>11.5</v>
      </c>
    </row>
    <row r="82" spans="1:8">
      <c r="A82" s="59" t="s">
        <v>299</v>
      </c>
      <c r="B82" s="59"/>
      <c r="C82" s="59"/>
      <c r="D82" s="59"/>
      <c r="E82" s="126">
        <v>11.3</v>
      </c>
      <c r="F82" s="127">
        <v>11.3</v>
      </c>
      <c r="G82" s="127">
        <v>11.3</v>
      </c>
      <c r="H82" s="111">
        <f t="shared" si="32"/>
        <v>11.300000000000002</v>
      </c>
    </row>
    <row r="83" spans="1:8">
      <c r="A83" s="59" t="s">
        <v>300</v>
      </c>
      <c r="B83" s="59"/>
      <c r="C83" s="59"/>
      <c r="D83" s="59"/>
      <c r="E83" s="126">
        <v>11.3</v>
      </c>
      <c r="F83" s="127">
        <v>11.3</v>
      </c>
      <c r="G83" s="127">
        <v>11.4</v>
      </c>
      <c r="H83" s="111">
        <f t="shared" si="32"/>
        <v>11.333333333333334</v>
      </c>
    </row>
    <row r="84" spans="1:8">
      <c r="A84" s="59" t="s">
        <v>301</v>
      </c>
      <c r="B84" s="59"/>
      <c r="C84" s="59"/>
      <c r="D84" s="59"/>
      <c r="E84" s="126">
        <v>11.1</v>
      </c>
      <c r="F84" s="127">
        <v>11.2</v>
      </c>
      <c r="G84" s="127">
        <v>11.2</v>
      </c>
      <c r="H84" s="111">
        <f t="shared" si="32"/>
        <v>11.166666666666666</v>
      </c>
    </row>
    <row r="85" spans="1:8">
      <c r="A85" s="59" t="s">
        <v>301</v>
      </c>
      <c r="B85" s="59"/>
      <c r="C85" s="59"/>
      <c r="D85" s="59"/>
      <c r="E85" s="126">
        <v>11.3</v>
      </c>
      <c r="F85" s="127">
        <v>11.3</v>
      </c>
      <c r="G85" s="127">
        <v>11.4</v>
      </c>
      <c r="H85" s="111">
        <f t="shared" si="32"/>
        <v>11.333333333333334</v>
      </c>
    </row>
    <row r="86" spans="1:8">
      <c r="A86" s="59" t="s">
        <v>302</v>
      </c>
      <c r="B86" s="59"/>
      <c r="C86" s="59"/>
      <c r="D86" s="59"/>
      <c r="E86" s="126">
        <v>11.3</v>
      </c>
      <c r="F86" s="127">
        <v>11.4</v>
      </c>
      <c r="G86" s="127">
        <v>11.3</v>
      </c>
      <c r="H86" s="111">
        <f t="shared" si="32"/>
        <v>11.333333333333334</v>
      </c>
    </row>
    <row r="87" spans="1:8">
      <c r="A87" s="59" t="s">
        <v>303</v>
      </c>
      <c r="B87" s="59"/>
      <c r="C87" s="59"/>
      <c r="D87" s="59"/>
      <c r="E87" s="126">
        <v>11.1</v>
      </c>
      <c r="F87" s="127">
        <v>11.4</v>
      </c>
      <c r="G87" s="127">
        <v>11.2</v>
      </c>
      <c r="H87" s="111">
        <f t="shared" si="32"/>
        <v>11.233333333333334</v>
      </c>
    </row>
    <row r="88" spans="1:8">
      <c r="A88" s="59" t="s">
        <v>303</v>
      </c>
      <c r="B88" s="59"/>
      <c r="C88" s="59"/>
      <c r="D88" s="59"/>
      <c r="E88" s="126">
        <v>11.4</v>
      </c>
      <c r="F88" s="127">
        <v>11.4</v>
      </c>
      <c r="G88" s="127">
        <v>11.4</v>
      </c>
      <c r="H88" s="111">
        <f t="shared" si="32"/>
        <v>11.4</v>
      </c>
    </row>
    <row r="89" spans="1:8">
      <c r="A89" s="59" t="s">
        <v>304</v>
      </c>
      <c r="B89" s="59"/>
      <c r="C89" s="59"/>
      <c r="D89" s="59"/>
      <c r="E89" s="126">
        <v>11.4</v>
      </c>
      <c r="F89" s="127">
        <v>11.4</v>
      </c>
      <c r="G89" s="127">
        <v>11.3</v>
      </c>
      <c r="H89" s="111">
        <f t="shared" si="32"/>
        <v>11.366666666666667</v>
      </c>
    </row>
    <row r="90" spans="1:8">
      <c r="A90" s="59" t="s">
        <v>305</v>
      </c>
      <c r="B90" s="59"/>
      <c r="C90" s="59"/>
      <c r="D90" s="59"/>
      <c r="E90" s="126">
        <v>11.4</v>
      </c>
      <c r="F90" s="127">
        <v>11.3</v>
      </c>
      <c r="G90" s="127">
        <v>11.3</v>
      </c>
      <c r="H90" s="111">
        <f t="shared" si="32"/>
        <v>11.333333333333334</v>
      </c>
    </row>
    <row r="91" spans="1:8">
      <c r="A91" s="59" t="s">
        <v>306</v>
      </c>
      <c r="B91" s="59"/>
      <c r="C91" s="59"/>
      <c r="D91" s="59"/>
      <c r="E91" s="126">
        <v>11.4</v>
      </c>
      <c r="F91" s="127">
        <v>11.4</v>
      </c>
      <c r="G91" s="127">
        <v>11.3</v>
      </c>
      <c r="H91" s="111">
        <f t="shared" si="32"/>
        <v>11.366666666666667</v>
      </c>
    </row>
    <row r="92" spans="1:8">
      <c r="A92" s="59" t="s">
        <v>316</v>
      </c>
      <c r="E92" s="112">
        <v>10.961522102355957</v>
      </c>
      <c r="F92" s="111">
        <v>10.991280555725098</v>
      </c>
      <c r="G92" s="111">
        <v>10.988773345947266</v>
      </c>
      <c r="H92" s="111">
        <f t="shared" si="32"/>
        <v>10.980525334676107</v>
      </c>
    </row>
    <row r="93" spans="1:8">
      <c r="A93" s="59" t="s">
        <v>317</v>
      </c>
      <c r="E93" s="112">
        <v>11.455920219421387</v>
      </c>
      <c r="F93" s="111">
        <v>11.47702693939209</v>
      </c>
      <c r="G93" s="111">
        <v>11.41429615020752</v>
      </c>
      <c r="H93" s="111">
        <f t="shared" si="32"/>
        <v>11.449081103006998</v>
      </c>
    </row>
    <row r="94" spans="1:8">
      <c r="A94" s="59" t="s">
        <v>318</v>
      </c>
      <c r="E94" s="112">
        <v>11.481462478637695</v>
      </c>
      <c r="F94" s="111">
        <v>11.294193267822266</v>
      </c>
      <c r="G94" s="111">
        <v>11.30172061920166</v>
      </c>
      <c r="H94" s="111">
        <f t="shared" si="32"/>
        <v>11.359125455220541</v>
      </c>
    </row>
    <row r="95" spans="1:8">
      <c r="A95" s="59" t="s">
        <v>318</v>
      </c>
      <c r="E95" s="112">
        <v>11.333268165588301</v>
      </c>
      <c r="F95" s="111">
        <v>11.3499765396118</v>
      </c>
      <c r="G95" s="111">
        <v>11.688117980956999</v>
      </c>
      <c r="H95" s="111">
        <f t="shared" si="32"/>
        <v>11.4571208953857</v>
      </c>
    </row>
    <row r="96" spans="1:8">
      <c r="A96" s="59" t="s">
        <v>319</v>
      </c>
      <c r="E96" s="112">
        <v>11.225685119628906</v>
      </c>
      <c r="F96" s="111">
        <v>11.295048713684082</v>
      </c>
      <c r="G96" s="111">
        <v>11.326059341430664</v>
      </c>
      <c r="H96" s="111">
        <f t="shared" si="32"/>
        <v>11.282264391581217</v>
      </c>
    </row>
    <row r="97" spans="1:9">
      <c r="A97" s="59" t="s">
        <v>320</v>
      </c>
      <c r="E97" s="112">
        <v>11.361672401428223</v>
      </c>
      <c r="F97" s="111">
        <v>11.304685592651367</v>
      </c>
      <c r="G97" s="111">
        <v>11.405701637268066</v>
      </c>
      <c r="H97" s="111">
        <f t="shared" si="32"/>
        <v>11.357353210449219</v>
      </c>
    </row>
    <row r="98" spans="1:9">
      <c r="A98" s="59" t="s">
        <v>320</v>
      </c>
      <c r="E98" s="112">
        <v>10.911848068237305</v>
      </c>
      <c r="F98" s="111">
        <v>10.950149536132812</v>
      </c>
      <c r="G98" s="111">
        <v>10.982019424438477</v>
      </c>
      <c r="H98" s="111">
        <f t="shared" si="32"/>
        <v>10.948005676269531</v>
      </c>
    </row>
    <row r="99" spans="1:9">
      <c r="A99" s="59" t="s">
        <v>325</v>
      </c>
      <c r="B99" s="59"/>
      <c r="C99" s="59"/>
      <c r="D99" s="82"/>
      <c r="E99" s="112">
        <v>11.097690582275391</v>
      </c>
      <c r="F99" s="111">
        <v>11.199633598327637</v>
      </c>
      <c r="G99" s="111">
        <v>11.211821556091309</v>
      </c>
      <c r="H99" s="111">
        <f t="shared" si="32"/>
        <v>11.169715245564779</v>
      </c>
    </row>
    <row r="100" spans="1:9">
      <c r="A100" s="59" t="s">
        <v>326</v>
      </c>
      <c r="B100" s="59"/>
      <c r="C100" s="59"/>
      <c r="D100" s="82"/>
      <c r="E100" s="112">
        <v>11.383224487304688</v>
      </c>
      <c r="F100" s="111">
        <v>11.329494476318359</v>
      </c>
      <c r="G100" s="111">
        <v>11.243021011352539</v>
      </c>
      <c r="H100" s="111">
        <f t="shared" si="32"/>
        <v>11.318579991658529</v>
      </c>
    </row>
    <row r="101" spans="1:9">
      <c r="A101" s="59" t="s">
        <v>326</v>
      </c>
      <c r="B101" s="59"/>
      <c r="C101" s="59"/>
      <c r="D101" s="82"/>
      <c r="E101" s="112">
        <v>11.171065330505371</v>
      </c>
      <c r="F101" s="111">
        <v>11.234642028808594</v>
      </c>
      <c r="G101" s="111">
        <v>11.325413703918457</v>
      </c>
      <c r="H101" s="111">
        <f>AVERAGE(E101:G101)</f>
        <v>11.243707021077475</v>
      </c>
    </row>
    <row r="102" spans="1:9">
      <c r="A102" s="59" t="s">
        <v>322</v>
      </c>
      <c r="B102" s="128"/>
      <c r="C102" s="82"/>
      <c r="D102" s="82"/>
      <c r="E102" s="112">
        <v>11.431556701660156</v>
      </c>
      <c r="F102" s="111">
        <v>11.393752098083496</v>
      </c>
      <c r="G102" s="111">
        <v>11.470895767211914</v>
      </c>
      <c r="H102" s="111">
        <f t="shared" ref="H102:H104" si="33">AVERAGE(E102:G102)</f>
        <v>11.432068188985189</v>
      </c>
    </row>
    <row r="103" spans="1:9">
      <c r="A103" s="59" t="s">
        <v>322</v>
      </c>
      <c r="B103" s="128"/>
      <c r="C103" s="82"/>
      <c r="D103" s="82"/>
      <c r="E103" s="112">
        <v>11.38902759552002</v>
      </c>
      <c r="F103" s="111">
        <v>11.318164825439453</v>
      </c>
      <c r="G103" s="111">
        <v>11.357851982116699</v>
      </c>
      <c r="H103" s="111">
        <f t="shared" si="33"/>
        <v>11.355014801025391</v>
      </c>
      <c r="I103" s="74"/>
    </row>
    <row r="104" spans="1:9">
      <c r="A104" s="59" t="s">
        <v>323</v>
      </c>
      <c r="B104" s="128"/>
      <c r="C104" s="82"/>
      <c r="D104" s="82"/>
      <c r="E104" s="112">
        <v>10.827228546142578</v>
      </c>
      <c r="F104" s="111">
        <v>10.980537414550781</v>
      </c>
      <c r="G104" s="111">
        <v>10.733705520629883</v>
      </c>
      <c r="H104" s="111">
        <f t="shared" si="33"/>
        <v>10.84715716044108</v>
      </c>
    </row>
    <row r="105" spans="1:9">
      <c r="A105" s="59" t="s">
        <v>324</v>
      </c>
      <c r="B105" s="128"/>
      <c r="C105" s="82"/>
      <c r="D105" s="82"/>
      <c r="E105" s="112">
        <v>11.185029029846191</v>
      </c>
      <c r="F105" s="111">
        <v>11.096076965332031</v>
      </c>
      <c r="G105" s="111">
        <v>11.32984447479248</v>
      </c>
      <c r="H105" s="111">
        <f>AVERAGE(E105:G105)</f>
        <v>11.2036501566569</v>
      </c>
    </row>
    <row r="106" spans="1:9">
      <c r="A106" s="59" t="s">
        <v>324</v>
      </c>
      <c r="B106" s="128"/>
      <c r="C106" s="82"/>
      <c r="D106" s="82"/>
      <c r="E106" s="112">
        <v>11.051477432250977</v>
      </c>
      <c r="F106" s="111">
        <v>10.973122596740723</v>
      </c>
      <c r="G106" s="111">
        <v>10.89690113067627</v>
      </c>
      <c r="H106" s="111">
        <f>AVERAGE(E106:G106)</f>
        <v>10.973833719889322</v>
      </c>
    </row>
    <row r="107" spans="1:9">
      <c r="A107" s="59"/>
      <c r="B107" s="59"/>
      <c r="C107" s="59"/>
      <c r="D107" s="59"/>
      <c r="E107" s="59"/>
      <c r="F107" s="59"/>
      <c r="G107" s="59"/>
      <c r="H107" s="59"/>
    </row>
    <row r="108" spans="1:9">
      <c r="A108" s="59"/>
      <c r="B108" s="59"/>
      <c r="C108" s="59"/>
      <c r="D108" s="59"/>
      <c r="E108" s="59"/>
      <c r="F108" s="59"/>
      <c r="G108" s="59" t="s">
        <v>307</v>
      </c>
      <c r="H108" s="75">
        <f>AVERAGE(H68:H106)</f>
        <v>11.297278692783454</v>
      </c>
    </row>
  </sheetData>
  <mergeCells count="57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S2:S3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:M3"/>
    <mergeCell ref="N2:N3"/>
    <mergeCell ref="O2:O3"/>
    <mergeCell ref="P2:P3"/>
    <mergeCell ref="Q2:Q3"/>
    <mergeCell ref="R2:R3"/>
    <mergeCell ref="F44:F45"/>
    <mergeCell ref="J23:J24"/>
    <mergeCell ref="K23:K24"/>
    <mergeCell ref="L23:L24"/>
    <mergeCell ref="M23:M24"/>
    <mergeCell ref="L44:L45"/>
    <mergeCell ref="G44:G45"/>
    <mergeCell ref="H44:H45"/>
    <mergeCell ref="I44:I45"/>
    <mergeCell ref="J44:J45"/>
    <mergeCell ref="K44:K45"/>
    <mergeCell ref="A44:A45"/>
    <mergeCell ref="B44:B45"/>
    <mergeCell ref="C44:C45"/>
    <mergeCell ref="D44:D45"/>
    <mergeCell ref="E44:E45"/>
    <mergeCell ref="P23:P24"/>
    <mergeCell ref="Q23:Q24"/>
    <mergeCell ref="R23:R24"/>
    <mergeCell ref="S23:S24"/>
    <mergeCell ref="N23:N24"/>
    <mergeCell ref="O23:O24"/>
    <mergeCell ref="S44:S45"/>
    <mergeCell ref="M44:M45"/>
    <mergeCell ref="N44:N45"/>
    <mergeCell ref="O44:O45"/>
    <mergeCell ref="P44:P45"/>
    <mergeCell ref="Q44:Q45"/>
    <mergeCell ref="R44:R4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"/>
  <sheetViews>
    <sheetView workbookViewId="0">
      <selection activeCell="M5" sqref="M5:M21"/>
    </sheetView>
  </sheetViews>
  <sheetFormatPr baseColWidth="10" defaultRowHeight="14" x14ac:dyDescent="0"/>
  <cols>
    <col min="5" max="5" width="17.33203125" customWidth="1"/>
    <col min="6" max="6" width="24.83203125" customWidth="1"/>
    <col min="12" max="12" width="21.1640625" customWidth="1"/>
    <col min="13" max="13" width="19.5" customWidth="1"/>
    <col min="15" max="15" width="12" customWidth="1"/>
  </cols>
  <sheetData>
    <row r="2" spans="1:17">
      <c r="A2" s="100" t="s">
        <v>220</v>
      </c>
      <c r="B2" s="82"/>
      <c r="C2" s="82"/>
      <c r="D2" s="82"/>
      <c r="H2" s="100" t="s">
        <v>262</v>
      </c>
      <c r="I2" s="82"/>
      <c r="J2" s="82"/>
      <c r="K2" s="82"/>
      <c r="O2" s="100" t="s">
        <v>269</v>
      </c>
    </row>
    <row r="3" spans="1:17">
      <c r="A3" s="133" t="s">
        <v>4</v>
      </c>
      <c r="B3" s="133" t="s">
        <v>117</v>
      </c>
      <c r="C3" s="133" t="s">
        <v>117</v>
      </c>
      <c r="D3" s="133" t="s">
        <v>5</v>
      </c>
      <c r="E3" s="151" t="s">
        <v>234</v>
      </c>
      <c r="F3" s="147" t="s">
        <v>235</v>
      </c>
      <c r="H3" s="133" t="s">
        <v>4</v>
      </c>
      <c r="I3" s="133" t="s">
        <v>117</v>
      </c>
      <c r="J3" s="133" t="s">
        <v>117</v>
      </c>
      <c r="K3" s="133" t="s">
        <v>5</v>
      </c>
      <c r="L3" s="151" t="s">
        <v>234</v>
      </c>
      <c r="M3" s="147" t="s">
        <v>235</v>
      </c>
      <c r="O3" s="151" t="s">
        <v>234</v>
      </c>
      <c r="P3" s="151" t="s">
        <v>234</v>
      </c>
      <c r="Q3" s="147" t="s">
        <v>235</v>
      </c>
    </row>
    <row r="4" spans="1:17">
      <c r="A4" s="134"/>
      <c r="B4" s="134"/>
      <c r="C4" s="134"/>
      <c r="D4" s="134"/>
      <c r="E4" s="160"/>
      <c r="F4" s="159"/>
      <c r="H4" s="134"/>
      <c r="I4" s="134"/>
      <c r="J4" s="134"/>
      <c r="K4" s="134"/>
      <c r="L4" s="160"/>
      <c r="M4" s="159"/>
      <c r="O4" s="160"/>
      <c r="P4" s="160"/>
      <c r="Q4" s="159"/>
    </row>
    <row r="5" spans="1:17">
      <c r="A5" s="39">
        <v>0</v>
      </c>
      <c r="B5" s="31">
        <v>10</v>
      </c>
      <c r="C5" s="31">
        <f>B5</f>
        <v>10</v>
      </c>
      <c r="D5" s="13">
        <f t="shared" ref="D5:D21" si="0">C5/60</f>
        <v>0.16666666666666666</v>
      </c>
      <c r="E5" s="103">
        <f>'Determination cell counts RI'!R4</f>
        <v>8.3720898262427763</v>
      </c>
      <c r="F5" s="103">
        <f>'Determination cell counts RI'!S4</f>
        <v>0.17918518146966619</v>
      </c>
      <c r="H5" s="39">
        <v>0</v>
      </c>
      <c r="I5" s="31">
        <v>10</v>
      </c>
      <c r="J5" s="31">
        <f>I5</f>
        <v>10</v>
      </c>
      <c r="K5" s="13">
        <f t="shared" ref="K5:K21" si="1">J5/60</f>
        <v>0.16666666666666666</v>
      </c>
      <c r="L5" s="103">
        <f>'Determination cell count BH'!R4</f>
        <v>7.3753724788169341</v>
      </c>
      <c r="M5" s="103">
        <f>'Determination cell count BH'!S4</f>
        <v>8.6178935750253136E-2</v>
      </c>
      <c r="O5" s="125">
        <f>POWER(10,E5)+POWER(10,L5)</f>
        <v>259287727.7199012</v>
      </c>
      <c r="P5" s="124">
        <f>LOG(O5)</f>
        <v>8.4137819617764613</v>
      </c>
      <c r="Q5" s="124">
        <f>F5+M5</f>
        <v>0.26536411721991932</v>
      </c>
    </row>
    <row r="6" spans="1:17">
      <c r="A6" s="39">
        <v>1</v>
      </c>
      <c r="B6" s="31">
        <v>110</v>
      </c>
      <c r="C6" s="31">
        <f>C5+B6</f>
        <v>120</v>
      </c>
      <c r="D6" s="13">
        <f t="shared" si="0"/>
        <v>2</v>
      </c>
      <c r="E6" s="103">
        <f>'Determination cell counts RI'!R5</f>
        <v>8.4709464753326262</v>
      </c>
      <c r="F6" s="103">
        <f>'Determination cell counts RI'!S5</f>
        <v>0.11292628043286539</v>
      </c>
      <c r="H6" s="39">
        <v>1</v>
      </c>
      <c r="I6" s="31">
        <v>110</v>
      </c>
      <c r="J6" s="31">
        <f>J5+I6</f>
        <v>120</v>
      </c>
      <c r="K6" s="13">
        <f t="shared" si="1"/>
        <v>2</v>
      </c>
      <c r="L6" s="103">
        <f>'Determination cell count BH'!R5</f>
        <v>7.9889198973487385</v>
      </c>
      <c r="M6" s="103">
        <f>'Determination cell count BH'!S5</f>
        <v>6.0372319477730141E-2</v>
      </c>
      <c r="O6" s="125">
        <f t="shared" ref="O6:O21" si="2">POWER(10,E6)+POWER(10,L6)</f>
        <v>393245775.25903863</v>
      </c>
      <c r="P6" s="124">
        <f t="shared" ref="P6:P21" si="3">LOG(O6)</f>
        <v>8.594664065582565</v>
      </c>
      <c r="Q6" s="124">
        <f t="shared" ref="Q6:Q21" si="4">F6+M6</f>
        <v>0.17329859991059554</v>
      </c>
    </row>
    <row r="7" spans="1:17">
      <c r="A7" s="39">
        <v>2</v>
      </c>
      <c r="B7" s="31">
        <v>80</v>
      </c>
      <c r="C7" s="31">
        <f>C6+B7</f>
        <v>200</v>
      </c>
      <c r="D7" s="13">
        <f t="shared" si="0"/>
        <v>3.3333333333333335</v>
      </c>
      <c r="E7" s="103">
        <f>'Determination cell counts RI'!R6</f>
        <v>9.1611408135926329</v>
      </c>
      <c r="F7" s="103">
        <f>'Determination cell counts RI'!S6</f>
        <v>6.1248533469126426E-2</v>
      </c>
      <c r="H7" s="39">
        <v>2</v>
      </c>
      <c r="I7" s="31">
        <v>80</v>
      </c>
      <c r="J7" s="31">
        <f>J6+I7</f>
        <v>200</v>
      </c>
      <c r="K7" s="13">
        <f t="shared" si="1"/>
        <v>3.3333333333333335</v>
      </c>
      <c r="L7" s="103">
        <f>'Determination cell count BH'!R6</f>
        <v>8.6255479298234263</v>
      </c>
      <c r="M7" s="103">
        <f>'Determination cell count BH'!S6</f>
        <v>4.8780898986592221E-2</v>
      </c>
      <c r="O7" s="125">
        <f t="shared" si="2"/>
        <v>1871470547.3659408</v>
      </c>
      <c r="P7" s="124">
        <f t="shared" si="3"/>
        <v>9.2721829967098053</v>
      </c>
      <c r="Q7" s="124">
        <f t="shared" si="4"/>
        <v>0.11002943245571864</v>
      </c>
    </row>
    <row r="8" spans="1:17">
      <c r="A8" s="39">
        <v>3</v>
      </c>
      <c r="B8" s="31">
        <v>80</v>
      </c>
      <c r="C8" s="31">
        <f>C7+B8</f>
        <v>280</v>
      </c>
      <c r="D8" s="13">
        <f t="shared" si="0"/>
        <v>4.666666666666667</v>
      </c>
      <c r="E8" s="103">
        <f>'Determination cell counts RI'!R7</f>
        <v>9.4267454404251332</v>
      </c>
      <c r="F8" s="103">
        <f>'Determination cell counts RI'!S7</f>
        <v>7.9046611309040671E-2</v>
      </c>
      <c r="H8" s="39">
        <v>3</v>
      </c>
      <c r="I8" s="31">
        <v>80</v>
      </c>
      <c r="J8" s="31">
        <f>J7+I8</f>
        <v>280</v>
      </c>
      <c r="K8" s="13">
        <f t="shared" si="1"/>
        <v>4.666666666666667</v>
      </c>
      <c r="L8" s="103">
        <f>'Determination cell count BH'!R7</f>
        <v>8.7075575386682136</v>
      </c>
      <c r="M8" s="103">
        <f>'Determination cell count BH'!S7</f>
        <v>7.2736931297926605E-2</v>
      </c>
      <c r="O8" s="125">
        <f t="shared" si="2"/>
        <v>3181425258.0388741</v>
      </c>
      <c r="P8" s="124">
        <f t="shared" si="3"/>
        <v>9.5026217247111475</v>
      </c>
      <c r="Q8" s="124">
        <f t="shared" si="4"/>
        <v>0.15178354260696728</v>
      </c>
    </row>
    <row r="9" spans="1:17">
      <c r="A9" s="39">
        <v>4</v>
      </c>
      <c r="B9" s="31">
        <v>80</v>
      </c>
      <c r="C9" s="31">
        <f t="shared" ref="C9:C19" si="5">C8+B9</f>
        <v>360</v>
      </c>
      <c r="D9" s="13">
        <f t="shared" si="0"/>
        <v>6</v>
      </c>
      <c r="E9" s="103">
        <f>'Determination cell counts RI'!R8</f>
        <v>9.7922922628691325</v>
      </c>
      <c r="F9" s="103">
        <f>'Determination cell counts RI'!S8</f>
        <v>0.14387502959038914</v>
      </c>
      <c r="H9" s="39">
        <v>4</v>
      </c>
      <c r="I9" s="31">
        <v>80</v>
      </c>
      <c r="J9" s="31">
        <f t="shared" ref="J9:J19" si="6">J8+I9</f>
        <v>360</v>
      </c>
      <c r="K9" s="13">
        <f t="shared" si="1"/>
        <v>6</v>
      </c>
      <c r="L9" s="103">
        <f>'Determination cell count BH'!R8</f>
        <v>8.8930273664936088</v>
      </c>
      <c r="M9" s="103">
        <f>'Determination cell count BH'!S8</f>
        <v>0.11156818941907322</v>
      </c>
      <c r="O9" s="125">
        <f t="shared" si="2"/>
        <v>6980257804.552618</v>
      </c>
      <c r="P9" s="124">
        <f t="shared" si="3"/>
        <v>9.8438714628849091</v>
      </c>
      <c r="Q9" s="124">
        <f t="shared" si="4"/>
        <v>0.25544321900946237</v>
      </c>
    </row>
    <row r="10" spans="1:17">
      <c r="A10" s="39">
        <v>5</v>
      </c>
      <c r="B10" s="31">
        <v>80</v>
      </c>
      <c r="C10" s="31">
        <f t="shared" si="5"/>
        <v>440</v>
      </c>
      <c r="D10" s="13">
        <f t="shared" si="0"/>
        <v>7.333333333333333</v>
      </c>
      <c r="E10" s="103">
        <f>'Determination cell counts RI'!R9</f>
        <v>9.9420304954856622</v>
      </c>
      <c r="F10" s="103">
        <f>'Determination cell counts RI'!S9</f>
        <v>8.8133738643107709E-2</v>
      </c>
      <c r="H10" s="39">
        <v>5</v>
      </c>
      <c r="I10" s="31">
        <v>80</v>
      </c>
      <c r="J10" s="31">
        <f t="shared" si="6"/>
        <v>440</v>
      </c>
      <c r="K10" s="13">
        <f t="shared" si="1"/>
        <v>7.333333333333333</v>
      </c>
      <c r="L10" s="103">
        <f>'Determination cell count BH'!R9</f>
        <v>9.1476200334050848</v>
      </c>
      <c r="M10" s="103">
        <f>'Determination cell count BH'!S9</f>
        <v>0.11086809419441071</v>
      </c>
      <c r="O10" s="125">
        <f t="shared" si="2"/>
        <v>10155270077.41013</v>
      </c>
      <c r="P10" s="124">
        <f t="shared" si="3"/>
        <v>10.006691477870731</v>
      </c>
      <c r="Q10" s="124">
        <f t="shared" si="4"/>
        <v>0.19900183283751843</v>
      </c>
    </row>
    <row r="11" spans="1:17">
      <c r="A11" s="39">
        <v>6</v>
      </c>
      <c r="B11" s="31">
        <v>80</v>
      </c>
      <c r="C11" s="31">
        <f t="shared" si="5"/>
        <v>520</v>
      </c>
      <c r="D11" s="13">
        <f t="shared" si="0"/>
        <v>8.6666666666666661</v>
      </c>
      <c r="E11" s="103">
        <f>'Determination cell counts RI'!R10</f>
        <v>9.9712529517955488</v>
      </c>
      <c r="F11" s="103">
        <f>'Determination cell counts RI'!S10</f>
        <v>3.7105225995490244E-2</v>
      </c>
      <c r="H11" s="39">
        <v>6</v>
      </c>
      <c r="I11" s="31">
        <v>80</v>
      </c>
      <c r="J11" s="31">
        <f t="shared" si="6"/>
        <v>520</v>
      </c>
      <c r="K11" s="13">
        <f t="shared" si="1"/>
        <v>8.6666666666666661</v>
      </c>
      <c r="L11" s="103">
        <f>'Determination cell count BH'!R10</f>
        <v>9.2961121777482489</v>
      </c>
      <c r="M11" s="103">
        <f>'Determination cell count BH'!S10</f>
        <v>5.9874619862730356E-2</v>
      </c>
      <c r="O11" s="125">
        <f t="shared" si="2"/>
        <v>11336986888.578644</v>
      </c>
      <c r="P11" s="124">
        <f t="shared" si="3"/>
        <v>10.05449764436789</v>
      </c>
      <c r="Q11" s="124">
        <f t="shared" si="4"/>
        <v>9.6979845858220601E-2</v>
      </c>
    </row>
    <row r="12" spans="1:17">
      <c r="A12" s="39">
        <v>7</v>
      </c>
      <c r="B12" s="31">
        <v>80</v>
      </c>
      <c r="C12" s="31">
        <f t="shared" si="5"/>
        <v>600</v>
      </c>
      <c r="D12" s="13">
        <f t="shared" si="0"/>
        <v>10</v>
      </c>
      <c r="E12" s="103">
        <f>'Determination cell counts RI'!R11</f>
        <v>9.9472923487362053</v>
      </c>
      <c r="F12" s="103">
        <f>'Determination cell counts RI'!S11</f>
        <v>5.8108744405972419E-2</v>
      </c>
      <c r="H12" s="39">
        <v>7</v>
      </c>
      <c r="I12" s="31">
        <v>80</v>
      </c>
      <c r="J12" s="31">
        <f t="shared" si="6"/>
        <v>600</v>
      </c>
      <c r="K12" s="13">
        <f t="shared" si="1"/>
        <v>10</v>
      </c>
      <c r="L12" s="103">
        <f>'Determination cell count BH'!R11</f>
        <v>9.330646781534039</v>
      </c>
      <c r="M12" s="103">
        <f>'Determination cell count BH'!S11</f>
        <v>9.8548218292718537E-2</v>
      </c>
      <c r="O12" s="125">
        <f t="shared" si="2"/>
        <v>10998264792.679329</v>
      </c>
      <c r="P12" s="124">
        <f t="shared" si="3"/>
        <v>10.041324171484716</v>
      </c>
      <c r="Q12" s="124">
        <f t="shared" si="4"/>
        <v>0.15665696269869095</v>
      </c>
    </row>
    <row r="13" spans="1:17">
      <c r="A13" s="39">
        <v>8</v>
      </c>
      <c r="B13" s="31">
        <v>80</v>
      </c>
      <c r="C13" s="31">
        <f t="shared" si="5"/>
        <v>680</v>
      </c>
      <c r="D13" s="13">
        <f t="shared" si="0"/>
        <v>11.333333333333334</v>
      </c>
      <c r="E13" s="103">
        <f>'Determination cell counts RI'!R12</f>
        <v>9.9446085796590253</v>
      </c>
      <c r="F13" s="103">
        <f>'Determination cell counts RI'!S12</f>
        <v>7.6277796563359895E-2</v>
      </c>
      <c r="H13" s="39">
        <v>8</v>
      </c>
      <c r="I13" s="31">
        <v>80</v>
      </c>
      <c r="J13" s="31">
        <f t="shared" si="6"/>
        <v>680</v>
      </c>
      <c r="K13" s="13">
        <f t="shared" si="1"/>
        <v>11.333333333333334</v>
      </c>
      <c r="L13" s="103">
        <f>'Determination cell count BH'!R12</f>
        <v>9.3939027693119304</v>
      </c>
      <c r="M13" s="103">
        <f>'Determination cell count BH'!S12</f>
        <v>4.1037674409734576E-2</v>
      </c>
      <c r="O13" s="125">
        <f t="shared" si="2"/>
        <v>11279419071.757217</v>
      </c>
      <c r="P13" s="124">
        <f t="shared" si="3"/>
        <v>10.052286732588183</v>
      </c>
      <c r="Q13" s="124">
        <f t="shared" si="4"/>
        <v>0.11731547097309447</v>
      </c>
    </row>
    <row r="14" spans="1:17">
      <c r="A14" s="39">
        <v>9</v>
      </c>
      <c r="B14" s="31">
        <v>80</v>
      </c>
      <c r="C14" s="31">
        <f t="shared" si="5"/>
        <v>760</v>
      </c>
      <c r="D14" s="13">
        <f t="shared" si="0"/>
        <v>12.666666666666666</v>
      </c>
      <c r="E14" s="103">
        <f>'Determination cell counts RI'!R13</f>
        <v>9.9666722295162682</v>
      </c>
      <c r="F14" s="103">
        <f>'Determination cell counts RI'!S13</f>
        <v>1.6611894816323098E-2</v>
      </c>
      <c r="H14" s="39">
        <v>9</v>
      </c>
      <c r="I14" s="31">
        <v>80</v>
      </c>
      <c r="J14" s="31">
        <f t="shared" si="6"/>
        <v>760</v>
      </c>
      <c r="K14" s="13">
        <f t="shared" si="1"/>
        <v>12.666666666666666</v>
      </c>
      <c r="L14" s="103">
        <f>'Determination cell count BH'!R13</f>
        <v>9.4010424512623558</v>
      </c>
      <c r="M14" s="103">
        <f>'Determination cell count BH'!S13</f>
        <v>3.7420733457692576E-2</v>
      </c>
      <c r="O14" s="125">
        <f t="shared" si="2"/>
        <v>11779228944.764282</v>
      </c>
      <c r="P14" s="124">
        <f t="shared" si="3"/>
        <v>10.071116862947363</v>
      </c>
      <c r="Q14" s="124">
        <f t="shared" si="4"/>
        <v>5.403262827401567E-2</v>
      </c>
    </row>
    <row r="15" spans="1:17">
      <c r="A15" s="39">
        <v>10</v>
      </c>
      <c r="B15" s="31">
        <v>80</v>
      </c>
      <c r="C15" s="31">
        <f t="shared" si="5"/>
        <v>840</v>
      </c>
      <c r="D15" s="13">
        <f t="shared" si="0"/>
        <v>14</v>
      </c>
      <c r="E15" s="103">
        <f>'Determination cell counts RI'!R14</f>
        <v>9.8989379089136005</v>
      </c>
      <c r="F15" s="103">
        <f>'Determination cell counts RI'!S14</f>
        <v>3.6825638092842623E-2</v>
      </c>
      <c r="H15" s="39">
        <v>10</v>
      </c>
      <c r="I15" s="31">
        <v>80</v>
      </c>
      <c r="J15" s="31">
        <f t="shared" si="6"/>
        <v>840</v>
      </c>
      <c r="K15" s="13">
        <f t="shared" si="1"/>
        <v>14</v>
      </c>
      <c r="L15" s="103">
        <f>'Determination cell count BH'!R14</f>
        <v>9.3632152987662725</v>
      </c>
      <c r="M15" s="103">
        <f>'Determination cell count BH'!S14</f>
        <v>8.8772059716867635E-2</v>
      </c>
      <c r="O15" s="125">
        <f t="shared" si="2"/>
        <v>10231771374.242229</v>
      </c>
      <c r="P15" s="124">
        <f t="shared" si="3"/>
        <v>10.009950827403522</v>
      </c>
      <c r="Q15" s="124">
        <f t="shared" si="4"/>
        <v>0.12559769780971025</v>
      </c>
    </row>
    <row r="16" spans="1:17">
      <c r="A16" s="39">
        <v>11</v>
      </c>
      <c r="B16" s="31">
        <v>80</v>
      </c>
      <c r="C16" s="31">
        <f t="shared" si="5"/>
        <v>920</v>
      </c>
      <c r="D16" s="13">
        <f t="shared" si="0"/>
        <v>15.333333333333334</v>
      </c>
      <c r="E16" s="103">
        <f>'Determination cell counts RI'!R15</f>
        <v>9.7854657066141524</v>
      </c>
      <c r="F16" s="103">
        <f>'Determination cell counts RI'!S15</f>
        <v>7.8328287989007303E-2</v>
      </c>
      <c r="H16" s="39">
        <v>11</v>
      </c>
      <c r="I16" s="31">
        <v>80</v>
      </c>
      <c r="J16" s="31">
        <f t="shared" si="6"/>
        <v>920</v>
      </c>
      <c r="K16" s="13">
        <f t="shared" si="1"/>
        <v>15.333333333333334</v>
      </c>
      <c r="L16" s="103">
        <f>'Determination cell count BH'!R15</f>
        <v>9.3617490063298039</v>
      </c>
      <c r="M16" s="103">
        <f>'Determination cell count BH'!S15</f>
        <v>6.0092528287627345E-2</v>
      </c>
      <c r="O16" s="125">
        <f t="shared" si="2"/>
        <v>8402020839.282444</v>
      </c>
      <c r="P16" s="124">
        <f t="shared" si="3"/>
        <v>9.9243837543709983</v>
      </c>
      <c r="Q16" s="124">
        <f t="shared" si="4"/>
        <v>0.13842081627663466</v>
      </c>
    </row>
    <row r="17" spans="1:17">
      <c r="A17" s="39">
        <v>12</v>
      </c>
      <c r="B17" s="31">
        <v>80</v>
      </c>
      <c r="C17" s="31">
        <f t="shared" si="5"/>
        <v>1000</v>
      </c>
      <c r="D17" s="13">
        <f t="shared" si="0"/>
        <v>16.666666666666668</v>
      </c>
      <c r="E17" s="103">
        <f>'Determination cell counts RI'!R16</f>
        <v>9.6556440453669019</v>
      </c>
      <c r="F17" s="103">
        <f>'Determination cell counts RI'!S16</f>
        <v>8.8817021620283085E-2</v>
      </c>
      <c r="H17" s="39">
        <v>12</v>
      </c>
      <c r="I17" s="31">
        <v>80</v>
      </c>
      <c r="J17" s="31">
        <f t="shared" si="6"/>
        <v>1000</v>
      </c>
      <c r="K17" s="13">
        <f t="shared" si="1"/>
        <v>16.666666666666668</v>
      </c>
      <c r="L17" s="103">
        <f>'Determination cell count BH'!R16</f>
        <v>9.2899728382126394</v>
      </c>
      <c r="M17" s="103">
        <f>'Determination cell count BH'!S16</f>
        <v>0.11793350483064614</v>
      </c>
      <c r="O17" s="125">
        <f t="shared" si="2"/>
        <v>6474987955.3220491</v>
      </c>
      <c r="P17" s="124">
        <f t="shared" si="3"/>
        <v>9.8112389648857938</v>
      </c>
      <c r="Q17" s="124">
        <f t="shared" si="4"/>
        <v>0.20675052645092923</v>
      </c>
    </row>
    <row r="18" spans="1:17">
      <c r="A18" s="39">
        <v>13</v>
      </c>
      <c r="B18" s="31">
        <v>80</v>
      </c>
      <c r="C18" s="31">
        <f t="shared" si="5"/>
        <v>1080</v>
      </c>
      <c r="D18" s="13">
        <f t="shared" si="0"/>
        <v>18</v>
      </c>
      <c r="E18" s="103">
        <f>'Determination cell counts RI'!R17</f>
        <v>9.5595112219948675</v>
      </c>
      <c r="F18" s="103">
        <f>'Determination cell counts RI'!S17</f>
        <v>0.14173227615185574</v>
      </c>
      <c r="H18" s="39">
        <v>13</v>
      </c>
      <c r="I18" s="31">
        <v>80</v>
      </c>
      <c r="J18" s="31">
        <f t="shared" si="6"/>
        <v>1080</v>
      </c>
      <c r="K18" s="13">
        <f t="shared" si="1"/>
        <v>18</v>
      </c>
      <c r="L18" s="103">
        <f>'Determination cell count BH'!R17</f>
        <v>9.3116166462056214</v>
      </c>
      <c r="M18" s="103">
        <f>'Determination cell count BH'!S17</f>
        <v>8.2923372016773036E-2</v>
      </c>
      <c r="O18" s="125">
        <f t="shared" si="2"/>
        <v>5676048980.7482071</v>
      </c>
      <c r="P18" s="124">
        <f t="shared" si="3"/>
        <v>9.7540461344910181</v>
      </c>
      <c r="Q18" s="124">
        <f t="shared" si="4"/>
        <v>0.22465564816862876</v>
      </c>
    </row>
    <row r="19" spans="1:17">
      <c r="A19" s="39">
        <v>14</v>
      </c>
      <c r="B19" s="31">
        <v>360</v>
      </c>
      <c r="C19" s="31">
        <f t="shared" si="5"/>
        <v>1440</v>
      </c>
      <c r="D19" s="13">
        <f t="shared" si="0"/>
        <v>24</v>
      </c>
      <c r="E19" s="103">
        <f>'Determination cell counts RI'!R18</f>
        <v>9.3055276810728298</v>
      </c>
      <c r="F19" s="103">
        <f>'Determination cell counts RI'!S18</f>
        <v>0.28671244108759292</v>
      </c>
      <c r="H19" s="39">
        <v>14</v>
      </c>
      <c r="I19" s="31">
        <v>360</v>
      </c>
      <c r="J19" s="31">
        <f t="shared" si="6"/>
        <v>1440</v>
      </c>
      <c r="K19" s="13">
        <f t="shared" si="1"/>
        <v>24</v>
      </c>
      <c r="L19" s="103">
        <f>'Determination cell count BH'!R18</f>
        <v>9.1183115145561686</v>
      </c>
      <c r="M19" s="103">
        <f>'Determination cell count BH'!S18</f>
        <v>0.23205265020336721</v>
      </c>
      <c r="O19" s="125">
        <f t="shared" si="2"/>
        <v>3333961693.9005671</v>
      </c>
      <c r="P19" s="124">
        <f t="shared" si="3"/>
        <v>9.5229606056230072</v>
      </c>
      <c r="Q19" s="124">
        <f t="shared" si="4"/>
        <v>0.51876509129096016</v>
      </c>
    </row>
    <row r="20" spans="1:17">
      <c r="A20" s="39">
        <v>15</v>
      </c>
      <c r="B20" s="31">
        <v>360</v>
      </c>
      <c r="C20" s="31">
        <f>C19+B20</f>
        <v>1800</v>
      </c>
      <c r="D20" s="13">
        <f t="shared" si="0"/>
        <v>30</v>
      </c>
      <c r="E20" s="103">
        <f>'Determination cell counts RI'!R19</f>
        <v>9.2529939816690057</v>
      </c>
      <c r="F20" s="103">
        <f>'Determination cell counts RI'!S19</f>
        <v>0.17085900951665683</v>
      </c>
      <c r="H20" s="39">
        <v>15</v>
      </c>
      <c r="I20" s="31">
        <v>360</v>
      </c>
      <c r="J20" s="31">
        <f>J19+I20</f>
        <v>1800</v>
      </c>
      <c r="K20" s="13">
        <f t="shared" si="1"/>
        <v>30</v>
      </c>
      <c r="L20" s="103">
        <f>'Determination cell count BH'!R19</f>
        <v>8.9625977264624002</v>
      </c>
      <c r="M20" s="103">
        <f>'Determination cell count BH'!S19</f>
        <v>0.18307235510507186</v>
      </c>
      <c r="O20" s="125">
        <f t="shared" si="2"/>
        <v>2708063407.7463017</v>
      </c>
      <c r="P20" s="124">
        <f t="shared" si="3"/>
        <v>9.4326588288875293</v>
      </c>
      <c r="Q20" s="124">
        <f t="shared" si="4"/>
        <v>0.35393136462172869</v>
      </c>
    </row>
    <row r="21" spans="1:17">
      <c r="A21" s="39">
        <v>16</v>
      </c>
      <c r="B21" s="31">
        <v>1080</v>
      </c>
      <c r="C21" s="31">
        <f>C20+B21</f>
        <v>2880</v>
      </c>
      <c r="D21" s="13">
        <f t="shared" si="0"/>
        <v>48</v>
      </c>
      <c r="E21" s="103">
        <f>'Determination cell counts RI'!R20</f>
        <v>8.9663846097806221</v>
      </c>
      <c r="F21" s="103">
        <f>'Determination cell counts RI'!S20</f>
        <v>0.37671804638013745</v>
      </c>
      <c r="H21" s="39">
        <v>16</v>
      </c>
      <c r="I21" s="31">
        <v>1080</v>
      </c>
      <c r="J21" s="31">
        <f>J20+I21</f>
        <v>2880</v>
      </c>
      <c r="K21" s="13">
        <f t="shared" si="1"/>
        <v>48</v>
      </c>
      <c r="L21" s="103">
        <f>'Determination cell count BH'!R20</f>
        <v>8.8844939023307106</v>
      </c>
      <c r="M21" s="103">
        <f>'Determination cell count BH'!S20</f>
        <v>0.32520828675139268</v>
      </c>
      <c r="O21" s="125">
        <f t="shared" si="2"/>
        <v>1691985224.9234107</v>
      </c>
      <c r="P21" s="124">
        <f t="shared" si="3"/>
        <v>9.2283965662903285</v>
      </c>
      <c r="Q21" s="124">
        <f t="shared" si="4"/>
        <v>0.70192633313153019</v>
      </c>
    </row>
  </sheetData>
  <mergeCells count="15">
    <mergeCell ref="M3:M4"/>
    <mergeCell ref="P3:P4"/>
    <mergeCell ref="Q3:Q4"/>
    <mergeCell ref="O3:O4"/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K3:K4"/>
    <mergeCell ref="L3:L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Fermentation</vt:lpstr>
      <vt:lpstr>Calculation</vt:lpstr>
      <vt:lpstr>Plate Count</vt:lpstr>
      <vt:lpstr>Flow cytometer</vt:lpstr>
      <vt:lpstr>Calibration R. intestinalis </vt:lpstr>
      <vt:lpstr>Determination cell counts RI</vt:lpstr>
      <vt:lpstr>CalibrationB. hydrogenotrophica</vt:lpstr>
      <vt:lpstr>Determination cell count BH</vt:lpstr>
      <vt:lpstr>Total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2016-04-13T15:50:28Z</dcterms:modified>
</cp:coreProperties>
</file>